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d.docs.live.net/d1b751852d1dd4e2/Program Excel (New)/[!] Ready to Upload/"/>
    </mc:Choice>
  </mc:AlternateContent>
  <xr:revisionPtr revIDLastSave="30" documentId="13_ncr:1_{9E3779C7-A9E8-430B-A689-C91A3AAD4F65}" xr6:coauthVersionLast="47" xr6:coauthVersionMax="47" xr10:uidLastSave="{BBAF446F-D2B0-4718-B71F-814E9C035D39}"/>
  <bookViews>
    <workbookView xWindow="-120" yWindow="-120" windowWidth="29040" windowHeight="15720" activeTab="4" xr2:uid="{00000000-000D-0000-FFFF-FFFF00000000}"/>
  </bookViews>
  <sheets>
    <sheet name="About" sheetId="13" r:id="rId1"/>
    <sheet name="Input Data" sheetId="6" r:id="rId2"/>
    <sheet name="Table" sheetId="14" state="hidden" r:id="rId3"/>
    <sheet name="Process" sheetId="3" r:id="rId4"/>
    <sheet name="Report" sheetId="12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9" i="3" l="1"/>
  <c r="H5" i="3"/>
  <c r="H6" i="3"/>
  <c r="H17" i="3"/>
  <c r="H16" i="3"/>
  <c r="H15" i="3"/>
  <c r="H19" i="3"/>
  <c r="H20" i="3"/>
  <c r="H21" i="3"/>
  <c r="H12" i="3" a="1"/>
  <c r="H12" i="3"/>
  <c r="H82" i="3"/>
  <c r="H83" i="3"/>
  <c r="H84" i="3"/>
  <c r="H85" i="3"/>
  <c r="H86" i="3"/>
  <c r="H87" i="3"/>
  <c r="H88" i="3"/>
  <c r="H89" i="3"/>
  <c r="H90" i="3"/>
  <c r="H80" i="3"/>
  <c r="H81" i="3"/>
  <c r="H79" i="3"/>
  <c r="H11" i="3" a="1"/>
  <c r="H11" i="3"/>
  <c r="G80" i="3"/>
  <c r="G81" i="3"/>
  <c r="G82" i="3"/>
  <c r="G83" i="3"/>
  <c r="G84" i="3"/>
  <c r="G85" i="3"/>
  <c r="G86" i="3"/>
  <c r="G87" i="3"/>
  <c r="G88" i="3"/>
  <c r="G89" i="3"/>
  <c r="G90" i="3"/>
  <c r="G79" i="3"/>
  <c r="B62" i="3"/>
  <c r="F62" i="3"/>
  <c r="C88" i="3"/>
  <c r="E88" i="3"/>
  <c r="E62" i="3"/>
  <c r="C87" i="3"/>
  <c r="E87" i="3"/>
  <c r="D62" i="3"/>
  <c r="C86" i="3"/>
  <c r="E86" i="3"/>
  <c r="C62" i="3"/>
  <c r="C85" i="3"/>
  <c r="E85" i="3"/>
  <c r="B58" i="3"/>
  <c r="D58" i="3"/>
  <c r="C80" i="3"/>
  <c r="E80" i="3"/>
  <c r="E58" i="3"/>
  <c r="C81" i="3"/>
  <c r="E81" i="3"/>
  <c r="F58" i="3"/>
  <c r="C82" i="3"/>
  <c r="E82" i="3"/>
  <c r="C58" i="3"/>
  <c r="C79" i="3"/>
  <c r="E79" i="3"/>
  <c r="D88" i="3"/>
  <c r="D86" i="3"/>
  <c r="D87" i="3"/>
  <c r="D85" i="3"/>
  <c r="D80" i="3"/>
  <c r="D81" i="3"/>
  <c r="D82" i="3"/>
  <c r="H61" i="12"/>
  <c r="H59" i="12"/>
  <c r="H58" i="12"/>
  <c r="H56" i="12"/>
  <c r="H55" i="12"/>
  <c r="H54" i="12"/>
  <c r="H51" i="12"/>
  <c r="H50" i="12"/>
  <c r="F138" i="12"/>
  <c r="G138" i="12" s="1"/>
  <c r="H138" i="12"/>
  <c r="F137" i="12"/>
  <c r="H137" i="12" s="1"/>
  <c r="F136" i="12"/>
  <c r="H136" i="12" s="1"/>
  <c r="F135" i="12"/>
  <c r="H135" i="12" s="1"/>
  <c r="F134" i="12"/>
  <c r="H134" i="12" s="1"/>
  <c r="F133" i="12"/>
  <c r="H133" i="12" s="1"/>
  <c r="F132" i="12"/>
  <c r="H132" i="12" s="1"/>
  <c r="F131" i="12"/>
  <c r="G131" i="12" s="1"/>
  <c r="F130" i="12"/>
  <c r="H130" i="12" s="1"/>
  <c r="F129" i="12"/>
  <c r="G129" i="12" s="1"/>
  <c r="H129" i="12"/>
  <c r="F128" i="12"/>
  <c r="H128" i="12" s="1"/>
  <c r="F127" i="12"/>
  <c r="H127" i="12"/>
  <c r="B114" i="12"/>
  <c r="B110" i="12"/>
  <c r="B105" i="12"/>
  <c r="C105" i="12" s="1"/>
  <c r="C133" i="12" s="1"/>
  <c r="B101" i="12"/>
  <c r="E101" i="12" s="1"/>
  <c r="C129" i="12" s="1"/>
  <c r="E8" i="3"/>
  <c r="H8" i="3"/>
  <c r="H47" i="12"/>
  <c r="G47" i="12"/>
  <c r="F8" i="3"/>
  <c r="F47" i="12"/>
  <c r="E47" i="12"/>
  <c r="H45" i="12"/>
  <c r="H44" i="12"/>
  <c r="H12" i="12" a="1"/>
  <c r="H12" i="12" s="1"/>
  <c r="H11" i="12"/>
  <c r="I13" i="12"/>
  <c r="H14" i="12"/>
  <c r="H15" i="12"/>
  <c r="H16" i="12"/>
  <c r="H17" i="12"/>
  <c r="H18" i="12"/>
  <c r="H13" i="12"/>
  <c r="F101" i="12"/>
  <c r="C130" i="12" s="1"/>
  <c r="D105" i="12"/>
  <c r="C134" i="12" s="1"/>
  <c r="D134" i="12" s="1"/>
  <c r="E105" i="12"/>
  <c r="C135" i="12" s="1"/>
  <c r="F105" i="12"/>
  <c r="C136" i="12" s="1"/>
  <c r="G134" i="12"/>
  <c r="G132" i="12"/>
  <c r="G133" i="12"/>
  <c r="G127" i="12"/>
  <c r="G136" i="12"/>
  <c r="G135" i="12"/>
  <c r="C101" i="12"/>
  <c r="C127" i="12" s="1"/>
  <c r="G130" i="12"/>
  <c r="G137" i="12"/>
  <c r="F85" i="3"/>
  <c r="F86" i="3"/>
  <c r="F87" i="3"/>
  <c r="F88" i="3"/>
  <c r="F89" i="3"/>
  <c r="F90" i="3"/>
  <c r="F84" i="3"/>
  <c r="F83" i="3"/>
  <c r="F82" i="3"/>
  <c r="F81" i="3"/>
  <c r="F80" i="3"/>
  <c r="F79" i="3"/>
  <c r="B71" i="3"/>
  <c r="B67" i="3"/>
  <c r="B55" i="14"/>
  <c r="C55" i="14"/>
  <c r="B56" i="14"/>
  <c r="C56" i="14"/>
  <c r="C67" i="14"/>
  <c r="B74" i="14"/>
  <c r="C74" i="14"/>
  <c r="D74" i="14"/>
  <c r="B47" i="14"/>
  <c r="C47" i="14"/>
  <c r="C40" i="14"/>
  <c r="B29" i="14"/>
  <c r="B41" i="14"/>
  <c r="B28" i="14"/>
  <c r="F28" i="14"/>
  <c r="C16" i="14"/>
  <c r="D16" i="14"/>
  <c r="B15" i="14"/>
  <c r="B3" i="14"/>
  <c r="C3" i="14"/>
  <c r="B2" i="14"/>
  <c r="B8" i="14"/>
  <c r="B67" i="14"/>
  <c r="E67" i="14"/>
  <c r="B61" i="14"/>
  <c r="C61" i="14"/>
  <c r="F56" i="14"/>
  <c r="E56" i="14"/>
  <c r="I61" i="14"/>
  <c r="B75" i="14"/>
  <c r="D56" i="14"/>
  <c r="G61" i="14"/>
  <c r="D67" i="14"/>
  <c r="E74" i="14"/>
  <c r="D55" i="14"/>
  <c r="H74" i="14"/>
  <c r="D61" i="14"/>
  <c r="B60" i="14"/>
  <c r="F55" i="14"/>
  <c r="B68" i="14"/>
  <c r="E75" i="14"/>
  <c r="J74" i="14"/>
  <c r="B40" i="14"/>
  <c r="E40" i="14"/>
  <c r="B33" i="14"/>
  <c r="C41" i="14"/>
  <c r="H47" i="14"/>
  <c r="D47" i="14"/>
  <c r="F29" i="14"/>
  <c r="B34" i="14"/>
  <c r="E29" i="14"/>
  <c r="C29" i="14"/>
  <c r="C28" i="14"/>
  <c r="F8" i="14"/>
  <c r="G8" i="14"/>
  <c r="E3" i="14"/>
  <c r="F3" i="14"/>
  <c r="B9" i="14"/>
  <c r="C9" i="14"/>
  <c r="F22" i="14"/>
  <c r="D3" i="14"/>
  <c r="F9" i="14"/>
  <c r="F15" i="14"/>
  <c r="B21" i="14"/>
  <c r="C15" i="14"/>
  <c r="B16" i="14"/>
  <c r="C2" i="14"/>
  <c r="F2" i="14"/>
  <c r="H68" i="14"/>
  <c r="H61" i="14"/>
  <c r="E55" i="14"/>
  <c r="C68" i="14"/>
  <c r="I74" i="14"/>
  <c r="H41" i="14"/>
  <c r="I34" i="14"/>
  <c r="C34" i="14"/>
  <c r="C48" i="14"/>
  <c r="D41" i="14"/>
  <c r="J47" i="14"/>
  <c r="D40" i="14"/>
  <c r="E47" i="14"/>
  <c r="E48" i="14"/>
  <c r="B48" i="14"/>
  <c r="D29" i="14"/>
  <c r="D28" i="14"/>
  <c r="D15" i="14"/>
  <c r="D9" i="14"/>
  <c r="D2" i="14"/>
  <c r="H9" i="14"/>
  <c r="H8" i="14"/>
  <c r="B22" i="14"/>
  <c r="F16" i="14"/>
  <c r="E16" i="14"/>
  <c r="D68" i="14"/>
  <c r="C75" i="14"/>
  <c r="D60" i="14"/>
  <c r="G60" i="14"/>
  <c r="E41" i="14"/>
  <c r="H48" i="14"/>
  <c r="D48" i="14"/>
  <c r="I47" i="14"/>
  <c r="D34" i="14"/>
  <c r="E28" i="14"/>
  <c r="G34" i="14"/>
  <c r="H22" i="14"/>
  <c r="D8" i="14"/>
  <c r="E2" i="14"/>
  <c r="F21" i="14"/>
  <c r="D21" i="14"/>
  <c r="E15" i="14"/>
  <c r="C22" i="14"/>
  <c r="H67" i="14"/>
  <c r="I60" i="14"/>
  <c r="H60" i="14"/>
  <c r="C60" i="14"/>
  <c r="G28" i="14" a="1"/>
  <c r="G28" i="14"/>
  <c r="G55" i="14"/>
  <c r="H75" i="14"/>
  <c r="D75" i="14"/>
  <c r="E68" i="14"/>
  <c r="H34" i="14"/>
  <c r="D33" i="14"/>
  <c r="G33" i="14"/>
  <c r="I48" i="14"/>
  <c r="J41" i="14"/>
  <c r="G21" i="14"/>
  <c r="D22" i="14"/>
  <c r="C21" i="14"/>
  <c r="G22" i="14"/>
  <c r="E43" i="14"/>
  <c r="J68" i="14"/>
  <c r="D77" i="14"/>
  <c r="I75" i="14"/>
  <c r="J67" i="14"/>
  <c r="I50" i="14"/>
  <c r="J48" i="14"/>
  <c r="J50" i="14"/>
  <c r="B49" i="14"/>
  <c r="F30" i="14"/>
  <c r="E42" i="14"/>
  <c r="B31" i="14"/>
  <c r="C49" i="14"/>
  <c r="B30" i="14"/>
  <c r="B43" i="14"/>
  <c r="B35" i="14"/>
  <c r="C42" i="14"/>
  <c r="B42" i="14"/>
  <c r="E31" i="14"/>
  <c r="B36" i="14"/>
  <c r="C30" i="14"/>
  <c r="F31" i="14"/>
  <c r="C31" i="14"/>
  <c r="H49" i="14"/>
  <c r="C43" i="14"/>
  <c r="D49" i="14"/>
  <c r="E49" i="14"/>
  <c r="B50" i="14"/>
  <c r="H43" i="14"/>
  <c r="D43" i="14"/>
  <c r="E50" i="14"/>
  <c r="D31" i="14"/>
  <c r="D42" i="14"/>
  <c r="C50" i="14"/>
  <c r="C36" i="14"/>
  <c r="J49" i="14"/>
  <c r="D30" i="14"/>
  <c r="I36" i="14"/>
  <c r="I49" i="14"/>
  <c r="D36" i="14"/>
  <c r="E30" i="14"/>
  <c r="D35" i="14"/>
  <c r="C33" i="14"/>
  <c r="C35" i="14"/>
  <c r="G36" i="14"/>
  <c r="J43" i="14"/>
  <c r="I41" i="14"/>
  <c r="I43" i="14"/>
  <c r="H50" i="14"/>
  <c r="D50" i="14"/>
  <c r="G35" i="14"/>
  <c r="H40" i="14"/>
  <c r="I33" i="14"/>
  <c r="I35" i="14"/>
  <c r="H36" i="14"/>
  <c r="B4" i="14" a="1"/>
  <c r="B4" i="14"/>
  <c r="C23" i="14"/>
  <c r="H21" i="14"/>
  <c r="J69" i="14"/>
  <c r="H69" i="14"/>
  <c r="I67" i="14"/>
  <c r="I69" i="14"/>
  <c r="I62" i="14"/>
  <c r="C62" i="14"/>
  <c r="H77" i="14"/>
  <c r="J75" i="14"/>
  <c r="J77" i="14"/>
  <c r="I77" i="14"/>
  <c r="H62" i="14"/>
  <c r="G63" i="14"/>
  <c r="B69" i="14"/>
  <c r="C69" i="14"/>
  <c r="B57" i="14"/>
  <c r="B76" i="14"/>
  <c r="H63" i="14"/>
  <c r="B63" i="14"/>
  <c r="I63" i="14"/>
  <c r="E76" i="14"/>
  <c r="D76" i="14"/>
  <c r="B77" i="14"/>
  <c r="E58" i="14"/>
  <c r="C58" i="14"/>
  <c r="C76" i="14"/>
  <c r="E69" i="14"/>
  <c r="C63" i="14"/>
  <c r="F58" i="14"/>
  <c r="C57" i="14"/>
  <c r="D58" i="14"/>
  <c r="B58" i="14"/>
  <c r="D69" i="14"/>
  <c r="J76" i="14"/>
  <c r="H70" i="14"/>
  <c r="D57" i="14"/>
  <c r="B70" i="14"/>
  <c r="B62" i="14"/>
  <c r="H76" i="14"/>
  <c r="E77" i="14"/>
  <c r="F57" i="14"/>
  <c r="D63" i="14"/>
  <c r="C70" i="14"/>
  <c r="I76" i="14"/>
  <c r="E57" i="14"/>
  <c r="G62" i="14"/>
  <c r="D62" i="14"/>
  <c r="C77" i="14"/>
  <c r="D70" i="14"/>
  <c r="E70" i="14"/>
  <c r="J70" i="14"/>
  <c r="I68" i="14"/>
  <c r="I70" i="14"/>
  <c r="H42" i="14"/>
  <c r="J40" i="14"/>
  <c r="J42" i="14"/>
  <c r="H33" i="14"/>
  <c r="H35" i="14"/>
  <c r="G23" i="14"/>
  <c r="D24" i="14"/>
  <c r="H23" i="14"/>
  <c r="C19" i="14"/>
  <c r="C10" i="14"/>
  <c r="B5" i="14"/>
  <c r="F5" i="14"/>
  <c r="G11" i="14"/>
  <c r="B6" i="14"/>
  <c r="F6" i="14"/>
  <c r="F24" i="14"/>
  <c r="C6" i="14"/>
  <c r="B10" i="14"/>
  <c r="F10" i="14"/>
  <c r="B11" i="14"/>
  <c r="B18" i="14"/>
  <c r="F18" i="14"/>
  <c r="E6" i="14"/>
  <c r="D19" i="14"/>
  <c r="C18" i="14"/>
  <c r="B19" i="14"/>
  <c r="F19" i="14"/>
  <c r="D6" i="14"/>
  <c r="F11" i="14"/>
  <c r="B23" i="14"/>
  <c r="C11" i="14"/>
  <c r="C5" i="14"/>
  <c r="G10" i="14"/>
  <c r="H11" i="14"/>
  <c r="D11" i="14"/>
  <c r="D18" i="14"/>
  <c r="E19" i="14"/>
  <c r="H10" i="14"/>
  <c r="D5" i="14"/>
  <c r="B24" i="14"/>
  <c r="D10" i="14"/>
  <c r="E18" i="14"/>
  <c r="E5" i="14"/>
  <c r="C24" i="14"/>
  <c r="F23" i="14"/>
  <c r="H24" i="14"/>
  <c r="D23" i="14"/>
  <c r="G24" i="14"/>
  <c r="I40" i="14"/>
  <c r="I42" i="14"/>
  <c r="H131" i="12" l="1"/>
  <c r="D101" i="12"/>
  <c r="C128" i="12" s="1"/>
  <c r="E128" i="12" s="1"/>
  <c r="G128" i="12"/>
  <c r="D129" i="12"/>
  <c r="E129" i="12"/>
  <c r="E127" i="12"/>
  <c r="D127" i="12"/>
  <c r="D133" i="12"/>
  <c r="E133" i="12"/>
  <c r="D136" i="12"/>
  <c r="E136" i="12"/>
  <c r="D135" i="12"/>
  <c r="E135" i="12"/>
  <c r="D130" i="12"/>
  <c r="E130" i="12"/>
  <c r="E134" i="12"/>
  <c r="D128" i="1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<sst xmlns="http://schemas.openxmlformats.org/spreadsheetml/2006/main" count="473" uniqueCount="168">
  <si>
    <t>→</t>
  </si>
  <si>
    <t>m</t>
  </si>
  <si>
    <t>B =</t>
  </si>
  <si>
    <t>L =</t>
  </si>
  <si>
    <t>NO.</t>
  </si>
  <si>
    <t>A.1.</t>
  </si>
  <si>
    <t>A.2.</t>
  </si>
  <si>
    <t>EXPLANATORY</t>
  </si>
  <si>
    <t>FORMULA</t>
  </si>
  <si>
    <t>VALUE</t>
  </si>
  <si>
    <t>UNIT</t>
  </si>
  <si>
    <t>A.</t>
  </si>
  <si>
    <t>B.</t>
  </si>
  <si>
    <t xml:space="preserve">REPORT OUTPUT EXCEL SPREADSHEET </t>
  </si>
  <si>
    <t>• Nama Program</t>
  </si>
  <si>
    <t xml:space="preserve">• Versi </t>
  </si>
  <si>
    <t>• Penyusun</t>
  </si>
  <si>
    <t>Indra K Raj Suweda</t>
  </si>
  <si>
    <t>• email</t>
  </si>
  <si>
    <t>indrakrajsuweda@gmail.com</t>
  </si>
  <si>
    <t>Judul Program</t>
  </si>
  <si>
    <t>:</t>
  </si>
  <si>
    <t>Versi Program</t>
  </si>
  <si>
    <t>V1.00</t>
  </si>
  <si>
    <t>Update ke 0</t>
  </si>
  <si>
    <t>Penyusun</t>
  </si>
  <si>
    <t>Indra Kusuma Jati Raj Suweda</t>
  </si>
  <si>
    <t>Email</t>
  </si>
  <si>
    <t>Selalu cek versi terbaru dan juga program - program lainnya hanya di :</t>
  </si>
  <si>
    <t xml:space="preserve">"Terima kasih sudah membeli program ini sebagai bentuk dukungan kepada salah satu visi Inpetra ID </t>
  </si>
  <si>
    <t>mengembangkan program bantu yang berkualitas dan sesuai dengan kebutuhan kondisi di Indonesia"</t>
  </si>
  <si>
    <t xml:space="preserve">Ada permintaan program? Hubungi kami di : </t>
  </si>
  <si>
    <t>info@inpetra.id</t>
  </si>
  <si>
    <t>Juni 2021</t>
  </si>
  <si>
    <t>Analisa Daya Dukung dan Perencanaan Fondasi Dangkal</t>
  </si>
  <si>
    <t>A</t>
  </si>
  <si>
    <t>B</t>
  </si>
  <si>
    <t>C</t>
  </si>
  <si>
    <t>D</t>
  </si>
  <si>
    <t>X</t>
  </si>
  <si>
    <t>Y</t>
  </si>
  <si>
    <t>X'</t>
  </si>
  <si>
    <t>Y'</t>
  </si>
  <si>
    <t>E</t>
  </si>
  <si>
    <t>Fondasi</t>
  </si>
  <si>
    <t>Kolom</t>
  </si>
  <si>
    <t>a</t>
  </si>
  <si>
    <t>b</t>
  </si>
  <si>
    <t>c</t>
  </si>
  <si>
    <t>d</t>
  </si>
  <si>
    <t>e</t>
  </si>
  <si>
    <t>Garis X</t>
  </si>
  <si>
    <t>Garis Y</t>
  </si>
  <si>
    <t>I</t>
  </si>
  <si>
    <t>J</t>
  </si>
  <si>
    <t>K</t>
  </si>
  <si>
    <t>L</t>
  </si>
  <si>
    <t>F</t>
  </si>
  <si>
    <t>G</t>
  </si>
  <si>
    <t>H</t>
  </si>
  <si>
    <t>MAX</t>
  </si>
  <si>
    <t>SCALE</t>
  </si>
  <si>
    <t>FONDASI</t>
  </si>
  <si>
    <t>KOLOM</t>
  </si>
  <si>
    <t>TANAH</t>
  </si>
  <si>
    <r>
      <t>Garis L</t>
    </r>
    <r>
      <rPr>
        <vertAlign val="subscript"/>
        <sz val="11"/>
        <color theme="1"/>
        <rFont val="Calibri"/>
        <family val="2"/>
        <scheme val="minor"/>
      </rPr>
      <t>x</t>
    </r>
  </si>
  <si>
    <t>Garis Hp</t>
  </si>
  <si>
    <t>Garis Df</t>
  </si>
  <si>
    <t>Garis bc</t>
  </si>
  <si>
    <r>
      <t>Garis L</t>
    </r>
    <r>
      <rPr>
        <vertAlign val="subscript"/>
        <sz val="11"/>
        <color theme="1"/>
        <rFont val="Calibri"/>
        <family val="2"/>
        <scheme val="minor"/>
      </rPr>
      <t>y</t>
    </r>
  </si>
  <si>
    <t>Garis wc</t>
  </si>
  <si>
    <t>=</t>
  </si>
  <si>
    <t>INPUT DATA DIMENSI</t>
  </si>
  <si>
    <t>B.1.</t>
  </si>
  <si>
    <t>Kategori eksposur,</t>
  </si>
  <si>
    <t>Tinggi ujung atap,</t>
  </si>
  <si>
    <t>Tinggi dinding,</t>
  </si>
  <si>
    <t>Faktor topografi,</t>
  </si>
  <si>
    <t>Kecepatan angin dasar,</t>
  </si>
  <si>
    <t>m/s</t>
  </si>
  <si>
    <t>V =</t>
  </si>
  <si>
    <t xml:space="preserve">Faktor arah angin,  </t>
  </si>
  <si>
    <r>
      <t>K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 =</t>
    </r>
  </si>
  <si>
    <r>
      <t>K</t>
    </r>
    <r>
      <rPr>
        <vertAlign val="subscript"/>
        <sz val="11"/>
        <color theme="1"/>
        <rFont val="Calibri"/>
        <family val="2"/>
        <scheme val="minor"/>
      </rPr>
      <t>zt</t>
    </r>
    <r>
      <rPr>
        <sz val="11"/>
        <color theme="1"/>
        <rFont val="Calibri"/>
        <family val="2"/>
        <scheme val="minor"/>
      </rPr>
      <t xml:space="preserve"> =</t>
    </r>
  </si>
  <si>
    <t>Faktor elevasi permukaan tanah,</t>
  </si>
  <si>
    <t>Faktor efek hembusan angin,</t>
  </si>
  <si>
    <t>Klasifikasi ketertutupan,</t>
  </si>
  <si>
    <t>Koefisien tekanan internal positif,</t>
  </si>
  <si>
    <t>Koefisien tekanan internal negatif,</t>
  </si>
  <si>
    <r>
      <t>K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=</t>
    </r>
  </si>
  <si>
    <t>G =</t>
  </si>
  <si>
    <t>BANGUNAN TERTUTUP</t>
  </si>
  <si>
    <t>Tekanan angin desain,</t>
  </si>
  <si>
    <t>Tekanan velositas diukur pada tinggi atap rata-rata h,</t>
  </si>
  <si>
    <t>Tinggi rata - rata atap,</t>
  </si>
  <si>
    <r>
      <t>h</t>
    </r>
    <r>
      <rPr>
        <vertAlign val="subscript"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 xml:space="preserve"> =</t>
    </r>
  </si>
  <si>
    <r>
      <t>h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=</t>
    </r>
  </si>
  <si>
    <t>Sudut kemiringan atap,</t>
  </si>
  <si>
    <t>o</t>
  </si>
  <si>
    <t>θ =</t>
  </si>
  <si>
    <r>
      <t>Jika θ &gt; 10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,</t>
    </r>
  </si>
  <si>
    <r>
      <t>h = (h</t>
    </r>
    <r>
      <rPr>
        <vertAlign val="subscript"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 xml:space="preserve"> + h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) / 2 =</t>
    </r>
  </si>
  <si>
    <r>
      <t>h = h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=</t>
    </r>
  </si>
  <si>
    <r>
      <t xml:space="preserve">Jika θ </t>
    </r>
    <r>
      <rPr>
        <sz val="11"/>
        <color theme="1"/>
        <rFont val="Calibri"/>
        <family val="2"/>
      </rPr>
      <t>≤</t>
    </r>
    <r>
      <rPr>
        <sz val="11"/>
        <color theme="1"/>
        <rFont val="Calibri"/>
        <family val="2"/>
        <scheme val="minor"/>
      </rPr>
      <t xml:space="preserve"> 10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,</t>
    </r>
  </si>
  <si>
    <r>
      <t>Sudut atap θ 
(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)</t>
    </r>
  </si>
  <si>
    <t>Permukaan Bangunan Gedung</t>
  </si>
  <si>
    <t>1E</t>
  </si>
  <si>
    <t>2E</t>
  </si>
  <si>
    <t>3E</t>
  </si>
  <si>
    <t>4E</t>
  </si>
  <si>
    <t>5E</t>
  </si>
  <si>
    <t>6E</t>
  </si>
  <si>
    <r>
      <t>Koefisien tekanan eksternal, GC</t>
    </r>
    <r>
      <rPr>
        <b/>
        <vertAlign val="subscript"/>
        <sz val="11"/>
        <color theme="1"/>
        <rFont val="Calibri"/>
        <family val="2"/>
        <scheme val="minor"/>
      </rPr>
      <t>pf</t>
    </r>
    <r>
      <rPr>
        <b/>
        <sz val="11"/>
        <color theme="1"/>
        <rFont val="Calibri"/>
        <family val="2"/>
        <scheme val="minor"/>
      </rPr>
      <t>, untuk kasus beban B (longitudinal),</t>
    </r>
  </si>
  <si>
    <r>
      <t>Koefisien tekanan eksternal, GC</t>
    </r>
    <r>
      <rPr>
        <b/>
        <vertAlign val="subscript"/>
        <sz val="11"/>
        <color theme="1"/>
        <rFont val="Calibri"/>
        <family val="2"/>
        <scheme val="minor"/>
      </rPr>
      <t>pf</t>
    </r>
    <r>
      <rPr>
        <b/>
        <sz val="11"/>
        <color theme="1"/>
        <rFont val="Calibri"/>
        <family val="2"/>
        <scheme val="minor"/>
      </rPr>
      <t>, untuk kasus beban A (transversal),</t>
    </r>
  </si>
  <si>
    <r>
      <t>q</t>
    </r>
    <r>
      <rPr>
        <vertAlign val="subscript"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 xml:space="preserve"> = 0,613 * K</t>
    </r>
    <r>
      <rPr>
        <vertAlign val="subscript"/>
        <sz val="11"/>
        <color theme="1"/>
        <rFont val="Calibri"/>
        <family val="2"/>
        <scheme val="minor"/>
      </rPr>
      <t>z</t>
    </r>
    <r>
      <rPr>
        <sz val="11"/>
        <color theme="1"/>
        <rFont val="Calibri"/>
        <family val="2"/>
        <scheme val="minor"/>
      </rPr>
      <t xml:space="preserve"> * K</t>
    </r>
    <r>
      <rPr>
        <vertAlign val="subscript"/>
        <sz val="11"/>
        <color theme="1"/>
        <rFont val="Calibri"/>
        <family val="2"/>
        <scheme val="minor"/>
      </rPr>
      <t>zt</t>
    </r>
    <r>
      <rPr>
        <sz val="11"/>
        <color theme="1"/>
        <rFont val="Calibri"/>
        <family val="2"/>
        <scheme val="minor"/>
      </rPr>
      <t xml:space="preserve"> * K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 * K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* V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=</t>
    </r>
  </si>
  <si>
    <t>Beban Angin SPGAU untuk Kasus A</t>
  </si>
  <si>
    <t>Permukaan</t>
  </si>
  <si>
    <t>Beban Angin SPGAU untuk Kasus B</t>
  </si>
  <si>
    <r>
      <t>GC</t>
    </r>
    <r>
      <rPr>
        <vertAlign val="subscript"/>
        <sz val="11"/>
        <color theme="1"/>
        <rFont val="Calibri"/>
        <family val="2"/>
        <scheme val="minor"/>
      </rPr>
      <t>pf</t>
    </r>
  </si>
  <si>
    <t>-</t>
  </si>
  <si>
    <r>
      <t>+ GC</t>
    </r>
    <r>
      <rPr>
        <vertAlign val="subscript"/>
        <sz val="11"/>
        <color theme="1"/>
        <rFont val="Calibri"/>
        <family val="2"/>
        <scheme val="minor"/>
      </rPr>
      <t>pi</t>
    </r>
  </si>
  <si>
    <r>
      <t>- GC</t>
    </r>
    <r>
      <rPr>
        <vertAlign val="subscript"/>
        <sz val="11"/>
        <color theme="1"/>
        <rFont val="Calibri"/>
        <family val="2"/>
        <scheme val="minor"/>
      </rPr>
      <t>pi</t>
    </r>
  </si>
  <si>
    <r>
      <t xml:space="preserve">p </t>
    </r>
    <r>
      <rPr>
        <sz val="11"/>
        <color theme="1"/>
        <rFont val="Calibri"/>
        <family val="2"/>
        <scheme val="minor"/>
      </rPr>
      <t>(N/m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</si>
  <si>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rPr>
        <i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 = q</t>
    </r>
    <r>
      <rPr>
        <vertAlign val="subscript"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 xml:space="preserve"> * (GC</t>
    </r>
    <r>
      <rPr>
        <vertAlign val="subscript"/>
        <sz val="11"/>
        <color theme="1"/>
        <rFont val="Calibri"/>
        <family val="2"/>
        <scheme val="minor"/>
      </rPr>
      <t>pf</t>
    </r>
    <r>
      <rPr>
        <sz val="11"/>
        <color theme="1"/>
        <rFont val="Calibri"/>
        <family val="2"/>
        <scheme val="minor"/>
      </rPr>
      <t xml:space="preserve"> - Gc</t>
    </r>
    <r>
      <rPr>
        <vertAlign val="subscript"/>
        <sz val="11"/>
        <color theme="1"/>
        <rFont val="Calibri"/>
        <family val="2"/>
        <scheme val="minor"/>
      </rPr>
      <t>pi</t>
    </r>
    <r>
      <rPr>
        <sz val="11"/>
        <color theme="1"/>
        <rFont val="Calibri"/>
        <family val="2"/>
        <scheme val="minor"/>
      </rPr>
      <t>)</t>
    </r>
  </si>
  <si>
    <t>Koefisien eksposur tekanan kecepatan,</t>
  </si>
  <si>
    <r>
      <t xml:space="preserve">Untuk 4,6 m </t>
    </r>
    <r>
      <rPr>
        <sz val="11"/>
        <color theme="1"/>
        <rFont val="Calibri"/>
        <family val="2"/>
      </rPr>
      <t>≤ z ≤ z</t>
    </r>
    <r>
      <rPr>
        <vertAlign val="subscript"/>
        <sz val="11"/>
        <color theme="1"/>
        <rFont val="Calibri"/>
        <family val="2"/>
      </rPr>
      <t>g</t>
    </r>
    <r>
      <rPr>
        <sz val="11"/>
        <color theme="1"/>
        <rFont val="Calibri"/>
        <family val="2"/>
      </rPr>
      <t>,</t>
    </r>
  </si>
  <si>
    <t>Untuk z &lt; 4,6 m,</t>
  </si>
  <si>
    <r>
      <t>z</t>
    </r>
    <r>
      <rPr>
        <vertAlign val="subscript"/>
        <sz val="11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</si>
  <si>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α</t>
    </r>
    <r>
      <rPr>
        <sz val="11"/>
        <color theme="1"/>
        <rFont val="Calibri"/>
        <family val="2"/>
        <scheme val="minor"/>
      </rPr>
      <t xml:space="preserve"> =</t>
    </r>
  </si>
  <si>
    <t>z = h =</t>
  </si>
  <si>
    <r>
      <t>N/m</t>
    </r>
    <r>
      <rPr>
        <vertAlign val="superscript"/>
        <sz val="11"/>
        <color theme="1"/>
        <rFont val="Calibri"/>
        <family val="2"/>
        <scheme val="minor"/>
      </rPr>
      <t>2</t>
    </r>
  </si>
  <si>
    <t xml:space="preserve">*Catatan: </t>
  </si>
  <si>
    <r>
      <t>- GC</t>
    </r>
    <r>
      <rPr>
        <vertAlign val="subscript"/>
        <sz val="11"/>
        <color theme="1"/>
        <rFont val="Calibri"/>
        <family val="2"/>
        <scheme val="minor"/>
      </rPr>
      <t>pi</t>
    </r>
    <r>
      <rPr>
        <sz val="11"/>
        <color theme="1"/>
        <rFont val="Calibri"/>
        <family val="2"/>
        <scheme val="minor"/>
      </rPr>
      <t xml:space="preserve"> =</t>
    </r>
  </si>
  <si>
    <r>
      <t>+ GC</t>
    </r>
    <r>
      <rPr>
        <vertAlign val="subscript"/>
        <sz val="11"/>
        <color theme="1"/>
        <rFont val="Calibri"/>
        <family val="2"/>
        <scheme val="minor"/>
      </rPr>
      <t>pi</t>
    </r>
    <r>
      <rPr>
        <sz val="11"/>
        <color theme="1"/>
        <rFont val="Calibri"/>
        <family val="2"/>
        <scheme val="minor"/>
      </rPr>
      <t xml:space="preserve"> =</t>
    </r>
  </si>
  <si>
    <t>Klasifikasi tinggi bangunan,</t>
  </si>
  <si>
    <t>Parameter untuk menghitung koefisien eksposur tekanan kecepatan,</t>
  </si>
  <si>
    <r>
      <t>K</t>
    </r>
    <r>
      <rPr>
        <vertAlign val="subscript"/>
        <sz val="11"/>
        <color theme="1"/>
        <rFont val="Calibri"/>
        <family val="2"/>
        <scheme val="minor"/>
      </rPr>
      <t>z</t>
    </r>
    <r>
      <rPr>
        <sz val="11"/>
        <color theme="1"/>
        <rFont val="Calibri"/>
        <family val="2"/>
        <scheme val="minor"/>
      </rPr>
      <t xml:space="preserve"> = 2,01 * ( z / z</t>
    </r>
    <r>
      <rPr>
        <vertAlign val="subscript"/>
        <sz val="11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 xml:space="preserve"> )</t>
    </r>
    <r>
      <rPr>
        <vertAlign val="superscript"/>
        <sz val="11"/>
        <color theme="1"/>
        <rFont val="Calibri"/>
        <family val="2"/>
        <scheme val="minor"/>
      </rPr>
      <t>2/α</t>
    </r>
    <r>
      <rPr>
        <sz val="11"/>
        <color theme="1"/>
        <rFont val="Calibri"/>
        <family val="2"/>
        <scheme val="minor"/>
      </rPr>
      <t xml:space="preserve"> =</t>
    </r>
  </si>
  <si>
    <r>
      <t>K</t>
    </r>
    <r>
      <rPr>
        <vertAlign val="subscript"/>
        <sz val="11"/>
        <color theme="1"/>
        <rFont val="Calibri"/>
        <family val="2"/>
        <scheme val="minor"/>
      </rPr>
      <t>z</t>
    </r>
    <r>
      <rPr>
        <sz val="11"/>
        <color theme="1"/>
        <rFont val="Calibri"/>
        <family val="2"/>
        <scheme val="minor"/>
      </rPr>
      <t xml:space="preserve"> = 2,01 * ( 15 * z / z</t>
    </r>
    <r>
      <rPr>
        <vertAlign val="subscript"/>
        <sz val="11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 xml:space="preserve"> )</t>
    </r>
    <r>
      <rPr>
        <vertAlign val="superscript"/>
        <sz val="11"/>
        <color theme="1"/>
        <rFont val="Calibri"/>
        <family val="2"/>
        <scheme val="minor"/>
      </rPr>
      <t>2/α</t>
    </r>
    <r>
      <rPr>
        <sz val="11"/>
        <color theme="1"/>
        <rFont val="Calibri"/>
        <family val="2"/>
        <scheme val="minor"/>
      </rPr>
      <t xml:space="preserve"> =</t>
    </r>
  </si>
  <si>
    <t>TEKANAN ANGIN DESAIN</t>
  </si>
  <si>
    <t>Lebar bangunan ke arah angin datang,</t>
  </si>
  <si>
    <t>tanda (-) menandakan tekanan bekerja menjauhi permukaan (hisap)</t>
  </si>
  <si>
    <t xml:space="preserve">tanda (+) menandakan tekanan bekerja ke arah permukaan (tekan), </t>
  </si>
  <si>
    <t>Lebar bangunan tegak lurus terhadap angin datang,</t>
  </si>
  <si>
    <t>SNI 1727 2020 Tabel 26.6-1,</t>
  </si>
  <si>
    <t>SNI 1727 2020 Pasal 26.7.3,</t>
  </si>
  <si>
    <t>SNI 1727 2020 Pasal 26.8.2,</t>
  </si>
  <si>
    <t>SNI 1727 2020 Pasal 26.11,</t>
  </si>
  <si>
    <t>SNI 1727 2020 Tabel 26.13-1,</t>
  </si>
  <si>
    <t>[ BANGUNAN BERTINGKAT TENDAH ]</t>
  </si>
  <si>
    <t>KONTROL TINGGI BANGUNAN</t>
  </si>
  <si>
    <t>Untuk bangunan bertingkat rendah,</t>
  </si>
  <si>
    <t>Syarat : h ≤ 18,3 m</t>
  </si>
  <si>
    <t>PERHITUNGAN BEBAN ANGIN</t>
  </si>
  <si>
    <t>Diagram kasus beban, Gambar 28.3-1, SNI 1727:2020</t>
  </si>
  <si>
    <t>INPUT DATA PARAMETER BEBAN ANGIN</t>
  </si>
  <si>
    <t>INPUT DATA KONDISI BANGUNAN</t>
  </si>
  <si>
    <t>DATA KONDISI BANGUNAN</t>
  </si>
  <si>
    <t>B.2.</t>
  </si>
  <si>
    <t>DATA PARAMETER BEBAN ANGIN</t>
  </si>
  <si>
    <r>
      <t>K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 =</t>
    </r>
  </si>
  <si>
    <r>
      <t>K</t>
    </r>
    <r>
      <rPr>
        <vertAlign val="subscript"/>
        <sz val="11"/>
        <color theme="1"/>
        <rFont val="Calibri"/>
        <family val="2"/>
        <scheme val="minor"/>
      </rPr>
      <t>zt</t>
    </r>
    <r>
      <rPr>
        <sz val="11"/>
        <color theme="1"/>
        <rFont val="Calibri"/>
        <family val="2"/>
        <scheme val="minor"/>
      </rPr>
      <t xml:space="preserve"> =</t>
    </r>
  </si>
  <si>
    <r>
      <t>K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=</t>
    </r>
  </si>
  <si>
    <t>DATA DIMENSI</t>
  </si>
  <si>
    <t>Perhitungan Beban Angin SPGAU untuk Bangunan Bertingkat Rendah</t>
  </si>
  <si>
    <r>
      <t xml:space="preserve">p </t>
    </r>
    <r>
      <rPr>
        <sz val="11"/>
        <color theme="1"/>
        <rFont val="Calibri"/>
        <family val="2"/>
        <scheme val="minor"/>
      </rPr>
      <t>(kN/m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</si>
  <si>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1.0.0</t>
  </si>
  <si>
    <t>Shafannisa Sabila Sulhi</t>
  </si>
  <si>
    <r>
      <t>Sudut atap θ 
(</t>
    </r>
    <r>
      <rPr>
        <vertAlign val="superscript"/>
        <sz val="10"/>
        <color theme="1"/>
        <rFont val="Calibri"/>
        <family val="2"/>
        <scheme val="minor"/>
      </rPr>
      <t>o</t>
    </r>
    <r>
      <rPr>
        <sz val="10"/>
        <color theme="1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</si>
</sst>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name val="Calibri"/>
      <family val="2"/>
    </font>
    <font>
      <sz val="11"/>
      <name val="Arial"/>
      <family val="2"/>
    </font>
    <font>
      <sz val="11"/>
      <color indexed="10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0"/>
      <name val="Calibri Light"/>
      <family val="2"/>
      <scheme val="maj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0"/>
      <name val="Calibri"/>
      <family val="2"/>
      <charset val="1"/>
      <scheme val="minor"/>
    </font>
    <font>
      <u/>
      <sz val="12"/>
      <color theme="0"/>
      <name val="Calibri"/>
      <family val="2"/>
      <charset val="1"/>
      <scheme val="minor"/>
    </font>
    <font>
      <sz val="12"/>
      <color theme="0"/>
      <name val="Calibri Light"/>
      <family val="2"/>
      <scheme val="major"/>
    </font>
    <font>
      <u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</font>
    <font>
      <sz val="11"/>
      <color rgb="FFFF0000"/>
      <name val="Calibri"/>
      <family val="2"/>
    </font>
    <font>
      <vertAlign val="superscript"/>
      <sz val="1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24994659260841701"/>
      </bottom>
      <diagonal/>
    </border>
    <border>
      <left/>
      <right/>
      <top style="thin">
        <color theme="0" tint="-0.499984740745262"/>
      </top>
      <bottom style="thin">
        <color theme="0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24994659260841701"/>
      </top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theme="0" tint="-0.24994659260841701"/>
      </left>
      <right/>
      <top/>
      <bottom/>
      <diagonal/>
    </border>
  </borders>
  <cellStyleXfs count="3">
    <xf numFmtId="0" fontId="0" fillId="0" borderId="0"/>
    <xf numFmtId="0" fontId="4" fillId="0" borderId="0"/>
    <xf numFmtId="0" fontId="20" fillId="0" borderId="0" applyNumberFormat="0" applyFill="0" applyBorder="0" applyAlignment="0" applyProtection="0"/>
  </cellStyleXfs>
  <cellXfs count="165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horizontal="left" vertical="center" indent="1"/>
    </xf>
    <xf numFmtId="2" fontId="0" fillId="0" borderId="1" xfId="0" applyNumberForma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5" fillId="0" borderId="0" xfId="1" applyFont="1" applyAlignment="1">
      <alignment vertical="center"/>
    </xf>
    <xf numFmtId="0" fontId="15" fillId="0" borderId="0" xfId="1" applyFont="1" applyAlignment="1">
      <alignment vertical="center"/>
    </xf>
    <xf numFmtId="0" fontId="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164" fontId="5" fillId="0" borderId="1" xfId="1" applyNumberFormat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2" fontId="10" fillId="0" borderId="0" xfId="0" applyNumberFormat="1" applyFont="1" applyAlignment="1">
      <alignment horizontal="center" vertical="center"/>
    </xf>
    <xf numFmtId="0" fontId="0" fillId="0" borderId="5" xfId="0" applyBorder="1" applyAlignment="1">
      <alignment horizontal="left" vertical="center" indent="1"/>
    </xf>
    <xf numFmtId="0" fontId="0" fillId="0" borderId="0" xfId="0" applyAlignment="1">
      <alignment horizontal="right" vertical="center"/>
    </xf>
    <xf numFmtId="0" fontId="5" fillId="0" borderId="0" xfId="1" applyFont="1" applyAlignment="1">
      <alignment horizontal="righ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horizontal="left" vertical="center" indent="1"/>
    </xf>
    <xf numFmtId="0" fontId="11" fillId="0" borderId="11" xfId="0" applyFont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11" fillId="0" borderId="8" xfId="0" applyFont="1" applyBorder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0" fillId="3" borderId="0" xfId="0" applyFill="1" applyAlignment="1">
      <alignment horizontal="right" vertical="center"/>
    </xf>
    <xf numFmtId="0" fontId="11" fillId="3" borderId="11" xfId="0" applyFont="1" applyFill="1" applyBorder="1" applyAlignment="1">
      <alignment horizontal="center" vertical="center"/>
    </xf>
    <xf numFmtId="0" fontId="6" fillId="3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2" fontId="10" fillId="3" borderId="0" xfId="0" applyNumberFormat="1" applyFont="1" applyFill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0" fontId="18" fillId="5" borderId="5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left" vertical="center" indent="2"/>
    </xf>
    <xf numFmtId="0" fontId="19" fillId="6" borderId="0" xfId="0" applyFont="1" applyFill="1" applyAlignment="1">
      <alignment horizontal="center" vertical="center"/>
    </xf>
    <xf numFmtId="0" fontId="19" fillId="6" borderId="0" xfId="0" applyFont="1" applyFill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18" fillId="6" borderId="0" xfId="0" applyFont="1" applyFill="1"/>
    <xf numFmtId="0" fontId="5" fillId="0" borderId="0" xfId="0" applyFont="1" applyAlignment="1">
      <alignment horizontal="left" vertical="center" indent="1"/>
    </xf>
    <xf numFmtId="0" fontId="5" fillId="3" borderId="0" xfId="0" applyFont="1" applyFill="1" applyAlignment="1">
      <alignment horizontal="left" vertical="center" indent="1"/>
    </xf>
    <xf numFmtId="2" fontId="5" fillId="0" borderId="1" xfId="0" applyNumberFormat="1" applyFont="1" applyBorder="1" applyAlignment="1" applyProtection="1">
      <alignment horizontal="center" vertical="center"/>
      <protection locked="0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164" fontId="0" fillId="0" borderId="0" xfId="0" applyNumberFormat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3" fillId="8" borderId="0" xfId="0" applyFont="1" applyFill="1" applyAlignment="1">
      <alignment vertical="center"/>
    </xf>
    <xf numFmtId="0" fontId="24" fillId="8" borderId="0" xfId="0" applyFont="1" applyFill="1" applyAlignment="1">
      <alignment horizontal="center" vertical="center"/>
    </xf>
    <xf numFmtId="0" fontId="24" fillId="8" borderId="0" xfId="0" applyFont="1" applyFill="1" applyAlignment="1">
      <alignment vertical="center"/>
    </xf>
    <xf numFmtId="0" fontId="24" fillId="8" borderId="0" xfId="0" quotePrefix="1" applyFont="1" applyFill="1" applyAlignment="1">
      <alignment vertical="center"/>
    </xf>
    <xf numFmtId="0" fontId="25" fillId="8" borderId="0" xfId="2" quotePrefix="1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26" fillId="8" borderId="0" xfId="0" applyFont="1" applyFill="1" applyAlignment="1">
      <alignment vertical="center"/>
    </xf>
    <xf numFmtId="0" fontId="17" fillId="8" borderId="0" xfId="0" applyFont="1" applyFill="1" applyAlignment="1">
      <alignment vertical="center" wrapText="1"/>
    </xf>
    <xf numFmtId="0" fontId="27" fillId="8" borderId="0" xfId="2" applyFont="1" applyFill="1" applyAlignment="1">
      <alignment vertical="center"/>
    </xf>
    <xf numFmtId="0" fontId="28" fillId="8" borderId="0" xfId="0" applyFont="1" applyFill="1" applyAlignment="1">
      <alignment vertical="center"/>
    </xf>
    <xf numFmtId="0" fontId="14" fillId="0" borderId="0" xfId="0" applyFont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vertical="center"/>
    </xf>
    <xf numFmtId="0" fontId="0" fillId="3" borderId="0" xfId="0" applyFill="1" applyAlignment="1">
      <alignment horizontal="center" vertical="center"/>
    </xf>
    <xf numFmtId="164" fontId="0" fillId="3" borderId="0" xfId="0" applyNumberFormat="1" applyFill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0" fontId="18" fillId="3" borderId="5" xfId="1" applyFont="1" applyFill="1" applyBorder="1" applyAlignment="1">
      <alignment horizontal="center" vertical="center"/>
    </xf>
    <xf numFmtId="164" fontId="0" fillId="3" borderId="5" xfId="0" applyNumberFormat="1" applyFill="1" applyBorder="1" applyAlignment="1">
      <alignment horizontal="center" vertical="center"/>
    </xf>
    <xf numFmtId="0" fontId="17" fillId="4" borderId="2" xfId="1" applyFont="1" applyFill="1" applyBorder="1" applyAlignment="1">
      <alignment horizontal="center" vertical="center"/>
    </xf>
    <xf numFmtId="0" fontId="17" fillId="4" borderId="12" xfId="1" applyFont="1" applyFill="1" applyBorder="1" applyAlignment="1">
      <alignment horizontal="center" vertical="center"/>
    </xf>
    <xf numFmtId="0" fontId="11" fillId="5" borderId="0" xfId="0" applyFont="1" applyFill="1" applyAlignment="1">
      <alignment vertical="center"/>
    </xf>
    <xf numFmtId="0" fontId="18" fillId="5" borderId="0" xfId="1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 wrapText="1"/>
    </xf>
    <xf numFmtId="0" fontId="0" fillId="0" borderId="5" xfId="0" applyBorder="1" applyAlignment="1">
      <alignment horizontal="left" vertical="center"/>
    </xf>
    <xf numFmtId="0" fontId="17" fillId="4" borderId="6" xfId="1" applyFont="1" applyFill="1" applyBorder="1" applyAlignment="1">
      <alignment horizontal="center" vertical="center"/>
    </xf>
    <xf numFmtId="0" fontId="18" fillId="3" borderId="0" xfId="1" applyFont="1" applyFill="1" applyAlignment="1">
      <alignment horizontal="center" vertical="center"/>
    </xf>
    <xf numFmtId="165" fontId="11" fillId="2" borderId="1" xfId="0" applyNumberFormat="1" applyFont="1" applyFill="1" applyBorder="1" applyAlignment="1">
      <alignment horizontal="center" vertical="center"/>
    </xf>
    <xf numFmtId="0" fontId="0" fillId="0" borderId="0" xfId="0" quotePrefix="1" applyAlignment="1">
      <alignment horizontal="right" vertical="center"/>
    </xf>
    <xf numFmtId="0" fontId="31" fillId="0" borderId="5" xfId="0" applyFont="1" applyBorder="1" applyAlignment="1">
      <alignment horizontal="left" vertical="center" indent="1"/>
    </xf>
    <xf numFmtId="0" fontId="32" fillId="0" borderId="0" xfId="0" applyFont="1" applyAlignment="1">
      <alignment horizontal="right" vertical="center"/>
    </xf>
    <xf numFmtId="0" fontId="0" fillId="10" borderId="1" xfId="0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0" fillId="10" borderId="1" xfId="0" quotePrefix="1" applyFill="1" applyBorder="1" applyAlignment="1">
      <alignment horizontal="center" vertical="center" wrapText="1"/>
    </xf>
    <xf numFmtId="0" fontId="0" fillId="10" borderId="13" xfId="0" quotePrefix="1" applyFill="1" applyBorder="1" applyAlignment="1">
      <alignment horizontal="center" vertical="center" wrapText="1"/>
    </xf>
    <xf numFmtId="2" fontId="0" fillId="0" borderId="4" xfId="0" applyNumberForma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" fontId="0" fillId="0" borderId="2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 wrapText="1"/>
    </xf>
    <xf numFmtId="2" fontId="0" fillId="0" borderId="0" xfId="0" applyNumberFormat="1" applyAlignment="1">
      <alignment horizontal="left" vertical="center"/>
    </xf>
    <xf numFmtId="1" fontId="0" fillId="0" borderId="0" xfId="0" applyNumberFormat="1" applyAlignment="1">
      <alignment horizontal="right" vertical="center"/>
    </xf>
    <xf numFmtId="0" fontId="8" fillId="0" borderId="0" xfId="1" applyFont="1" applyAlignment="1">
      <alignment horizontal="center" vertical="center"/>
    </xf>
    <xf numFmtId="2" fontId="11" fillId="2" borderId="6" xfId="0" applyNumberFormat="1" applyFont="1" applyFill="1" applyBorder="1" applyAlignment="1">
      <alignment horizontal="center" vertical="center"/>
    </xf>
    <xf numFmtId="165" fontId="11" fillId="0" borderId="0" xfId="0" applyNumberFormat="1" applyFont="1" applyAlignment="1">
      <alignment horizontal="right" vertical="center"/>
    </xf>
    <xf numFmtId="165" fontId="5" fillId="0" borderId="1" xfId="1" applyNumberFormat="1" applyFont="1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left" vertical="center"/>
    </xf>
    <xf numFmtId="0" fontId="13" fillId="0" borderId="24" xfId="0" applyFont="1" applyBorder="1" applyAlignment="1">
      <alignment vertical="center"/>
    </xf>
    <xf numFmtId="0" fontId="11" fillId="0" borderId="25" xfId="0" applyFont="1" applyBorder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8" fillId="0" borderId="0" xfId="0" applyFont="1" applyAlignment="1">
      <alignment horizontal="left" vertical="center" indent="1"/>
    </xf>
    <xf numFmtId="2" fontId="6" fillId="0" borderId="0" xfId="0" applyNumberFormat="1" applyFont="1" applyAlignment="1" applyProtection="1">
      <alignment horizontal="right" vertical="center"/>
      <protection locked="0"/>
    </xf>
    <xf numFmtId="0" fontId="11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left" vertical="center" indent="1"/>
    </xf>
    <xf numFmtId="2" fontId="0" fillId="0" borderId="12" xfId="0" applyNumberFormat="1" applyBorder="1" applyAlignment="1">
      <alignment horizontal="center" vertical="center"/>
    </xf>
    <xf numFmtId="0" fontId="0" fillId="0" borderId="25" xfId="0" applyBorder="1" applyAlignment="1">
      <alignment vertical="center"/>
    </xf>
    <xf numFmtId="2" fontId="0" fillId="0" borderId="26" xfId="0" applyNumberFormat="1" applyBorder="1" applyAlignment="1">
      <alignment horizontal="center" vertical="center" wrapText="1"/>
    </xf>
    <xf numFmtId="2" fontId="0" fillId="11" borderId="1" xfId="0" applyNumberFormat="1" applyFill="1" applyBorder="1" applyAlignment="1">
      <alignment horizontal="center" vertical="center"/>
    </xf>
    <xf numFmtId="2" fontId="0" fillId="11" borderId="6" xfId="0" applyNumberFormat="1" applyFill="1" applyBorder="1" applyAlignment="1">
      <alignment horizontal="center" vertical="center"/>
    </xf>
    <xf numFmtId="2" fontId="0" fillId="11" borderId="26" xfId="0" applyNumberFormat="1" applyFill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9" fillId="3" borderId="0" xfId="0" applyFont="1" applyFill="1" applyAlignment="1">
      <alignment horizontal="left" vertical="center" indent="1"/>
    </xf>
    <xf numFmtId="0" fontId="2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0" fillId="0" borderId="7" xfId="0" applyBorder="1" applyAlignment="1">
      <alignment horizontal="left" vertical="center" indent="1"/>
    </xf>
    <xf numFmtId="0" fontId="0" fillId="0" borderId="4" xfId="0" applyBorder="1" applyAlignment="1">
      <alignment horizontal="left" vertical="center" indent="1"/>
    </xf>
    <xf numFmtId="0" fontId="0" fillId="0" borderId="3" xfId="0" applyBorder="1" applyAlignment="1">
      <alignment horizontal="left" vertical="center" indent="1"/>
    </xf>
    <xf numFmtId="0" fontId="17" fillId="4" borderId="2" xfId="1" applyFont="1" applyFill="1" applyBorder="1" applyAlignment="1">
      <alignment horizontal="center" vertical="center"/>
    </xf>
    <xf numFmtId="165" fontId="11" fillId="2" borderId="3" xfId="0" applyNumberFormat="1" applyFont="1" applyFill="1" applyBorder="1" applyAlignment="1">
      <alignment horizontal="center" vertical="center"/>
    </xf>
    <xf numFmtId="165" fontId="11" fillId="2" borderId="4" xfId="0" applyNumberFormat="1" applyFont="1" applyFill="1" applyBorder="1" applyAlignment="1">
      <alignment horizontal="center" vertical="center"/>
    </xf>
    <xf numFmtId="0" fontId="11" fillId="7" borderId="14" xfId="0" applyFont="1" applyFill="1" applyBorder="1" applyAlignment="1">
      <alignment horizontal="center"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6" xfId="0" applyFont="1" applyFill="1" applyBorder="1" applyAlignment="1">
      <alignment horizontal="center" vertical="center"/>
    </xf>
    <xf numFmtId="0" fontId="11" fillId="9" borderId="17" xfId="0" applyFont="1" applyFill="1" applyBorder="1" applyAlignment="1">
      <alignment horizontal="center" vertical="center" wrapText="1"/>
    </xf>
    <xf numFmtId="0" fontId="11" fillId="9" borderId="18" xfId="0" applyFont="1" applyFill="1" applyBorder="1" applyAlignment="1">
      <alignment horizontal="center" vertical="center" wrapText="1"/>
    </xf>
    <xf numFmtId="0" fontId="11" fillId="9" borderId="19" xfId="0" applyFont="1" applyFill="1" applyBorder="1" applyAlignment="1">
      <alignment horizontal="center" vertical="center" wrapText="1"/>
    </xf>
    <xf numFmtId="0" fontId="0" fillId="10" borderId="9" xfId="0" applyFill="1" applyBorder="1" applyAlignment="1">
      <alignment horizontal="center" vertical="center"/>
    </xf>
    <xf numFmtId="0" fontId="0" fillId="10" borderId="0" xfId="0" applyFill="1" applyAlignment="1">
      <alignment horizontal="center" vertical="center" wrapText="1"/>
    </xf>
    <xf numFmtId="0" fontId="0" fillId="10" borderId="9" xfId="0" applyFill="1" applyBorder="1" applyAlignment="1">
      <alignment horizontal="center" vertical="center" wrapText="1"/>
    </xf>
    <xf numFmtId="0" fontId="0" fillId="10" borderId="4" xfId="0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/>
    </xf>
    <xf numFmtId="0" fontId="0" fillId="10" borderId="13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left" vertical="center" wrapText="1" indent="1"/>
    </xf>
    <xf numFmtId="0" fontId="0" fillId="0" borderId="7" xfId="0" applyBorder="1" applyAlignment="1">
      <alignment horizontal="left" vertical="center" wrapText="1" indent="1"/>
    </xf>
    <xf numFmtId="0" fontId="0" fillId="0" borderId="4" xfId="0" applyBorder="1" applyAlignment="1">
      <alignment horizontal="left" vertical="center" wrapText="1" indent="1"/>
    </xf>
    <xf numFmtId="20" fontId="0" fillId="0" borderId="3" xfId="0" quotePrefix="1" applyNumberFormat="1" applyBorder="1" applyAlignment="1">
      <alignment horizontal="left" vertical="center" indent="1"/>
    </xf>
    <xf numFmtId="0" fontId="0" fillId="0" borderId="7" xfId="0" applyBorder="1" applyAlignment="1">
      <alignment horizontal="left" vertical="center" indent="1"/>
    </xf>
    <xf numFmtId="0" fontId="0" fillId="0" borderId="4" xfId="0" applyBorder="1" applyAlignment="1">
      <alignment horizontal="left" vertical="center" indent="1"/>
    </xf>
    <xf numFmtId="0" fontId="0" fillId="0" borderId="3" xfId="0" applyBorder="1" applyAlignment="1">
      <alignment horizontal="left" vertical="center" indent="1"/>
    </xf>
    <xf numFmtId="0" fontId="20" fillId="0" borderId="3" xfId="2" applyBorder="1" applyAlignment="1">
      <alignment horizontal="left" vertical="center" indent="1"/>
    </xf>
    <xf numFmtId="0" fontId="14" fillId="10" borderId="1" xfId="0" applyFon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 indent="1"/>
    </xf>
    <xf numFmtId="0" fontId="18" fillId="0" borderId="0" xfId="1" applyFont="1" applyBorder="1" applyAlignment="1">
      <alignment horizontal="center" vertical="center"/>
    </xf>
    <xf numFmtId="164" fontId="0" fillId="3" borderId="0" xfId="0" applyNumberFormat="1" applyFill="1" applyBorder="1" applyAlignment="1">
      <alignment horizontal="center" vertical="center"/>
    </xf>
    <xf numFmtId="0" fontId="18" fillId="0" borderId="0" xfId="0" applyFont="1" applyBorder="1" applyAlignment="1">
      <alignment horizontal="left" vertical="center" indent="1"/>
    </xf>
    <xf numFmtId="0" fontId="13" fillId="0" borderId="27" xfId="0" applyFont="1" applyBorder="1" applyAlignment="1">
      <alignment vertical="center"/>
    </xf>
    <xf numFmtId="0" fontId="0" fillId="0" borderId="27" xfId="0" applyBorder="1" applyAlignment="1">
      <alignment vertical="center"/>
    </xf>
  </cellXfs>
  <cellStyles count="3">
    <cellStyle name="Hyperlink" xfId="2" builtinId="8"/>
    <cellStyle name="Normal" xfId="0" builtinId="0"/>
    <cellStyle name="Normal 2" xfId="1" xr:uid="{9BB709C9-C676-4BA1-9A95-0C93F281965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inpetra.id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18</xdr:row>
      <xdr:rowOff>171450</xdr:rowOff>
    </xdr:from>
    <xdr:to>
      <xdr:col>5</xdr:col>
      <xdr:colOff>552450</xdr:colOff>
      <xdr:row>20</xdr:row>
      <xdr:rowOff>28575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AA75FD-B7C8-443E-8F47-C72B368C3E42}"/>
            </a:ext>
          </a:extLst>
        </xdr:cNvPr>
        <xdr:cNvSpPr/>
      </xdr:nvSpPr>
      <xdr:spPr>
        <a:xfrm>
          <a:off x="1724025" y="4114800"/>
          <a:ext cx="1638300" cy="333375"/>
        </a:xfrm>
        <a:prstGeom prst="rect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 b="1"/>
            <a:t>Web</a:t>
          </a:r>
          <a:r>
            <a:rPr lang="en-US" sz="1100" b="1" baseline="0"/>
            <a:t> : Inpetra.ID</a:t>
          </a:r>
          <a:endParaRPr lang="en-US" sz="1100" b="1"/>
        </a:p>
      </xdr:txBody>
    </xdr:sp>
    <xdr:clientData/>
  </xdr:twoCellAnchor>
  <xdr:twoCellAnchor editAs="oneCell">
    <xdr:from>
      <xdr:col>3</xdr:col>
      <xdr:colOff>219075</xdr:colOff>
      <xdr:row>11</xdr:row>
      <xdr:rowOff>142875</xdr:rowOff>
    </xdr:from>
    <xdr:to>
      <xdr:col>5</xdr:col>
      <xdr:colOff>485775</xdr:colOff>
      <xdr:row>18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FB2F91-5E84-4EEC-AC53-C0E56C5F6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2457450"/>
          <a:ext cx="1485900" cy="1485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285749</xdr:colOff>
      <xdr:row>20</xdr:row>
      <xdr:rowOff>0</xdr:rowOff>
    </xdr:from>
    <xdr:to>
      <xdr:col>8</xdr:col>
      <xdr:colOff>251670</xdr:colOff>
      <xdr:row>30</xdr:row>
      <xdr:rowOff>215900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99830DF-E827-47E7-8577-95AF0BF65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649" y="4699000"/>
          <a:ext cx="6792171" cy="2565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515471</xdr:colOff>
      <xdr:row>24</xdr:row>
      <xdr:rowOff>141940</xdr:rowOff>
    </xdr:from>
    <xdr:to>
      <xdr:col>6</xdr:col>
      <xdr:colOff>910672</xdr:colOff>
      <xdr:row>52</xdr:row>
      <xdr:rowOff>224117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3525B6C9-1AC5-E850-310E-A0EA64F3A215}"/>
            </a:ext>
          </a:extLst>
        </xdr:cNvPr>
        <xdr:cNvGrpSpPr/>
      </xdr:nvGrpSpPr>
      <xdr:grpSpPr>
        <a:xfrm>
          <a:off x="1868021" y="5856940"/>
          <a:ext cx="4014701" cy="6749677"/>
          <a:chOff x="2084294" y="5700058"/>
          <a:chExt cx="4190260" cy="6566647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6A31484B-ABDE-461D-9CC2-8149448C5D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084294" y="5700058"/>
            <a:ext cx="4190260" cy="6566647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95768FC0-02F0-4CD5-8E41-CD1B47D478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02529" y="12072470"/>
            <a:ext cx="889001" cy="167493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219075</xdr:rowOff>
    </xdr:from>
    <xdr:to>
      <xdr:col>2</xdr:col>
      <xdr:colOff>635000</xdr:colOff>
      <xdr:row>4</xdr:row>
      <xdr:rowOff>126300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B2356B5-E9F8-4EF9-B114-4BF602401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695325"/>
          <a:ext cx="1377950" cy="62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25</xdr:row>
      <xdr:rowOff>223560</xdr:rowOff>
    </xdr:from>
    <xdr:to>
      <xdr:col>8</xdr:col>
      <xdr:colOff>361950</xdr:colOff>
      <xdr:row>35</xdr:row>
      <xdr:rowOff>51800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0DB0845-2ADF-B692-D1F1-C8CF624F5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6103660"/>
          <a:ext cx="5765800" cy="2177740"/>
        </a:xfrm>
        <a:prstGeom prst="rect">
          <a:avLst/>
        </a:prstGeom>
      </xdr:spPr>
    </xdr:pic>
    <xdr:clientData/>
  </xdr:twoCellAnchor>
  <xdr:twoCellAnchor editAs="oneCell">
    <xdr:from>
      <xdr:col>1</xdr:col>
      <xdr:colOff>133476</xdr:colOff>
      <xdr:row>63</xdr:row>
      <xdr:rowOff>146050</xdr:rowOff>
    </xdr:from>
    <xdr:to>
      <xdr:col>7</xdr:col>
      <xdr:colOff>701140</xdr:colOff>
      <xdr:row>77</xdr:row>
      <xdr:rowOff>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852D5D2-AE11-F3C7-8CB7-6E415398D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0976" y="14719300"/>
          <a:ext cx="5114264" cy="3143250"/>
        </a:xfrm>
        <a:prstGeom prst="rect">
          <a:avLst/>
        </a:prstGeom>
      </xdr:spPr>
    </xdr:pic>
    <xdr:clientData/>
  </xdr:twoCellAnchor>
  <xdr:twoCellAnchor>
    <xdr:from>
      <xdr:col>1</xdr:col>
      <xdr:colOff>301408</xdr:colOff>
      <xdr:row>81</xdr:row>
      <xdr:rowOff>6349</xdr:rowOff>
    </xdr:from>
    <xdr:to>
      <xdr:col>7</xdr:col>
      <xdr:colOff>600730</xdr:colOff>
      <xdr:row>95</xdr:row>
      <xdr:rowOff>50800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E423911C-A155-4B8B-7486-5FC3C251F4BA}"/>
            </a:ext>
          </a:extLst>
        </xdr:cNvPr>
        <xdr:cNvGrpSpPr/>
      </xdr:nvGrpSpPr>
      <xdr:grpSpPr>
        <a:xfrm>
          <a:off x="615733" y="19532599"/>
          <a:ext cx="4804647" cy="3378201"/>
          <a:chOff x="621098" y="18692866"/>
          <a:chExt cx="4792494" cy="3355210"/>
        </a:xfrm>
      </xdr:grpSpPr>
      <xdr:grpSp>
        <xdr:nvGrpSpPr>
          <xdr:cNvPr id="34" name="Group 33">
            <a:extLst>
              <a:ext uri="{FF2B5EF4-FFF2-40B4-BE49-F238E27FC236}">
                <a16:creationId xmlns:a16="http://schemas.microsoft.com/office/drawing/2014/main" id="{B8C860E3-5CD5-395B-C26A-B25703D4C2B5}"/>
              </a:ext>
            </a:extLst>
          </xdr:cNvPr>
          <xdr:cNvGrpSpPr/>
        </xdr:nvGrpSpPr>
        <xdr:grpSpPr>
          <a:xfrm>
            <a:off x="621098" y="18692866"/>
            <a:ext cx="4792494" cy="3355210"/>
            <a:chOff x="618908" y="18573749"/>
            <a:chExt cx="4795122" cy="3333751"/>
          </a:xfrm>
        </xdr:grpSpPr>
        <xdr:pic>
          <xdr:nvPicPr>
            <xdr:cNvPr id="32" name="Picture 31">
              <a:extLst>
                <a:ext uri="{FF2B5EF4-FFF2-40B4-BE49-F238E27FC236}">
                  <a16:creationId xmlns:a16="http://schemas.microsoft.com/office/drawing/2014/main" id="{5DF0FB47-C4C4-42C7-5AB1-6F2EF0FB0B2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618908" y="18573749"/>
              <a:ext cx="4795122" cy="3333751"/>
            </a:xfrm>
            <a:prstGeom prst="rect">
              <a:avLst/>
            </a:prstGeom>
          </xdr:spPr>
        </xdr:pic>
        <xdr:pic>
          <xdr:nvPicPr>
            <xdr:cNvPr id="33" name="Picture 32">
              <a:extLst>
                <a:ext uri="{FF2B5EF4-FFF2-40B4-BE49-F238E27FC236}">
                  <a16:creationId xmlns:a16="http://schemas.microsoft.com/office/drawing/2014/main" id="{07FB6270-E79C-7DE0-1571-0F05D2644A9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2587408" y="21653499"/>
              <a:ext cx="902341" cy="184151"/>
            </a:xfrm>
            <a:prstGeom prst="rect">
              <a:avLst/>
            </a:prstGeom>
          </xdr:spPr>
        </xdr:pic>
      </xdr:grpSp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0CF5D497-EA77-FA2D-B12B-E809819B68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794000" y="18775575"/>
            <a:ext cx="965373" cy="178079"/>
          </a:xfrm>
          <a:prstGeom prst="rect">
            <a:avLst/>
          </a:prstGeom>
        </xdr:spPr>
      </xdr:pic>
    </xdr:grp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7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5517800-F51F-462E-9ACC-1B68FCEB8AA5}">
  <we:reference id="wa200001584" version="2.8.1.5" store="en-US" storeType="OMEX"/>
  <we:alternateReferences>
    <we:reference id="wa200001584" version="2.8.1.5" store="WA200001584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info@inpetra.id" TargetMode="External"/><Relationship Id="rId1" Type="http://schemas.openxmlformats.org/officeDocument/2006/relationships/hyperlink" Target="mailto:indrakrajsuweda@gmail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info@inpetra.i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C1283-028E-410A-A880-B26CDBCC8D63}">
  <sheetPr>
    <tabColor rgb="FF00B0F0"/>
  </sheetPr>
  <dimension ref="B2:J27"/>
  <sheetViews>
    <sheetView workbookViewId="0"/>
  </sheetViews>
  <sheetFormatPr defaultColWidth="9.140625" defaultRowHeight="18.75" customHeight="1" x14ac:dyDescent="0.25"/>
  <cols>
    <col min="1" max="1" width="4.28515625" style="59" customWidth="1"/>
    <col min="2" max="2" width="16.7109375" style="59" customWidth="1"/>
    <col min="3" max="3" width="2.85546875" style="58" customWidth="1"/>
    <col min="4" max="16384" width="9.140625" style="59"/>
  </cols>
  <sheetData>
    <row r="2" spans="2:10" ht="15.75" x14ac:dyDescent="0.25">
      <c r="B2" s="57" t="s">
        <v>20</v>
      </c>
      <c r="C2" s="58" t="s">
        <v>21</v>
      </c>
      <c r="D2" s="59" t="s">
        <v>34</v>
      </c>
    </row>
    <row r="3" spans="2:10" ht="15.75" x14ac:dyDescent="0.25">
      <c r="B3" s="57" t="s">
        <v>22</v>
      </c>
      <c r="C3" s="58" t="s">
        <v>21</v>
      </c>
      <c r="D3" s="59" t="s">
        <v>23</v>
      </c>
    </row>
    <row r="4" spans="2:10" ht="15.75" x14ac:dyDescent="0.25">
      <c r="B4" s="57" t="s">
        <v>24</v>
      </c>
      <c r="C4" s="58" t="s">
        <v>21</v>
      </c>
      <c r="D4" s="60" t="s">
        <v>33</v>
      </c>
    </row>
    <row r="5" spans="2:10" ht="15.75" x14ac:dyDescent="0.25">
      <c r="B5" s="57"/>
    </row>
    <row r="6" spans="2:10" ht="15.75" x14ac:dyDescent="0.25">
      <c r="B6" s="57" t="s">
        <v>25</v>
      </c>
      <c r="C6" s="58" t="s">
        <v>21</v>
      </c>
      <c r="D6" s="59" t="s">
        <v>26</v>
      </c>
    </row>
    <row r="7" spans="2:10" ht="15.75" x14ac:dyDescent="0.25">
      <c r="B7" s="57" t="s">
        <v>27</v>
      </c>
      <c r="C7" s="58" t="s">
        <v>21</v>
      </c>
      <c r="D7" s="61" t="s">
        <v>19</v>
      </c>
    </row>
    <row r="8" spans="2:10" ht="15.75" x14ac:dyDescent="0.25">
      <c r="C8" s="59"/>
      <c r="J8" s="62"/>
    </row>
    <row r="10" spans="2:10" ht="15.75" x14ac:dyDescent="0.25">
      <c r="B10" s="63" t="s">
        <v>28</v>
      </c>
      <c r="C10" s="64"/>
      <c r="D10" s="64"/>
      <c r="E10" s="64"/>
      <c r="F10" s="64"/>
      <c r="G10" s="64"/>
      <c r="H10" s="64"/>
      <c r="I10" s="64"/>
    </row>
    <row r="12" spans="2:10" ht="15.75" x14ac:dyDescent="0.25"/>
    <row r="23" spans="2:10" ht="15.75" x14ac:dyDescent="0.25">
      <c r="B23" s="59" t="s">
        <v>29</v>
      </c>
    </row>
    <row r="24" spans="2:10" ht="15.75" x14ac:dyDescent="0.25">
      <c r="B24" s="59" t="s">
        <v>30</v>
      </c>
    </row>
    <row r="26" spans="2:10" ht="15.75" x14ac:dyDescent="0.25">
      <c r="B26" s="59" t="s">
        <v>31</v>
      </c>
      <c r="C26" s="59"/>
    </row>
    <row r="27" spans="2:10" ht="15.75" x14ac:dyDescent="0.25">
      <c r="B27" s="65" t="s">
        <v>32</v>
      </c>
      <c r="C27" s="66"/>
      <c r="D27" s="66"/>
      <c r="E27" s="66"/>
      <c r="F27" s="66"/>
      <c r="G27" s="66"/>
      <c r="H27" s="66"/>
      <c r="I27" s="66"/>
      <c r="J27" s="66"/>
    </row>
  </sheetData>
  <sheetProtection algorithmName="SHA-512" hashValue="QYzUMOje+4lzrqMi8YY+3klnBJBmTK5pT81yfRENJYfA+QsOv1sU786HAZzJieZpab1ffinRzFXRZBSZhR0NzA==" saltValue="dD++Z2Bm5WfDuMl6sH4wCA==" spinCount="100000" sheet="1" objects="1" scenarios="1"/>
  <hyperlinks>
    <hyperlink ref="D7" r:id="rId1" xr:uid="{3E0273BB-A93A-4A2B-81C3-6FD63B88BD08}"/>
    <hyperlink ref="B27" r:id="rId2" xr:uid="{33183B0C-6FDD-4E84-85F6-43413D67AB55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3A337-44B6-42BB-B406-FC9BF44568C4}">
  <sheetPr>
    <tabColor theme="7"/>
  </sheetPr>
  <dimension ref="A1:J33"/>
  <sheetViews>
    <sheetView showGridLines="0" zoomScaleNormal="100" workbookViewId="0">
      <selection activeCell="J6" sqref="J6"/>
    </sheetView>
  </sheetViews>
  <sheetFormatPr defaultColWidth="9.140625" defaultRowHeight="18.75" customHeight="1" x14ac:dyDescent="0.25"/>
  <cols>
    <col min="1" max="1" width="6.7109375" style="10" customWidth="1"/>
    <col min="2" max="6" width="13.5703125" style="1" customWidth="1"/>
    <col min="7" max="7" width="14.28515625" style="1" customWidth="1"/>
    <col min="8" max="8" width="15.7109375" style="1" customWidth="1"/>
    <col min="9" max="9" width="11.42578125" style="3" customWidth="1"/>
    <col min="10" max="16384" width="9.140625" style="1"/>
  </cols>
  <sheetData>
    <row r="1" spans="1:10" ht="18.75" customHeight="1" x14ac:dyDescent="0.25">
      <c r="A1" s="85" t="s">
        <v>4</v>
      </c>
      <c r="B1" s="129" t="s">
        <v>7</v>
      </c>
      <c r="C1" s="129"/>
      <c r="D1" s="129"/>
      <c r="E1" s="129"/>
      <c r="F1" s="129"/>
      <c r="G1" s="78" t="s">
        <v>8</v>
      </c>
      <c r="H1" s="78" t="s">
        <v>9</v>
      </c>
      <c r="I1" s="79" t="s">
        <v>10</v>
      </c>
    </row>
    <row r="2" spans="1:10" ht="18.75" customHeight="1" x14ac:dyDescent="0.25">
      <c r="A2" s="31" t="s">
        <v>11</v>
      </c>
      <c r="B2" s="80" t="s">
        <v>155</v>
      </c>
      <c r="C2" s="81"/>
      <c r="D2" s="81"/>
      <c r="E2" s="81"/>
      <c r="F2" s="81"/>
      <c r="G2" s="81"/>
      <c r="H2" s="81"/>
      <c r="I2" s="32"/>
    </row>
    <row r="3" spans="1:10" s="8" customFormat="1" ht="18.75" customHeight="1" x14ac:dyDescent="0.25">
      <c r="A3" s="27" t="s">
        <v>5</v>
      </c>
      <c r="B3" s="25" t="s">
        <v>154</v>
      </c>
      <c r="C3" s="86"/>
      <c r="D3" s="86"/>
      <c r="E3" s="86"/>
      <c r="F3" s="86"/>
      <c r="G3" s="86"/>
      <c r="H3" s="86"/>
      <c r="I3" s="76"/>
    </row>
    <row r="4" spans="1:10" ht="18.75" customHeight="1" x14ac:dyDescent="0.25">
      <c r="A4" s="23"/>
      <c r="B4" s="34" t="s">
        <v>134</v>
      </c>
      <c r="D4" s="18"/>
      <c r="H4" s="104" t="s">
        <v>148</v>
      </c>
      <c r="I4" s="84"/>
    </row>
    <row r="5" spans="1:10" ht="18.75" customHeight="1" x14ac:dyDescent="0.25">
      <c r="A5" s="23"/>
      <c r="B5" s="1" t="s">
        <v>78</v>
      </c>
      <c r="G5" s="18" t="s">
        <v>80</v>
      </c>
      <c r="H5" s="55">
        <v>40</v>
      </c>
      <c r="I5" s="17" t="s">
        <v>79</v>
      </c>
    </row>
    <row r="6" spans="1:10" ht="18.75" customHeight="1" x14ac:dyDescent="0.25">
      <c r="A6" s="23"/>
      <c r="B6" s="1" t="s">
        <v>81</v>
      </c>
      <c r="D6" s="18" t="s">
        <v>0</v>
      </c>
      <c r="E6" s="1" t="s">
        <v>143</v>
      </c>
      <c r="G6" s="18" t="s">
        <v>82</v>
      </c>
      <c r="H6" s="55">
        <v>0.85</v>
      </c>
      <c r="I6" s="17"/>
      <c r="J6" s="124"/>
    </row>
    <row r="7" spans="1:10" ht="18.75" customHeight="1" x14ac:dyDescent="0.25">
      <c r="A7" s="23"/>
      <c r="B7" s="1" t="s">
        <v>74</v>
      </c>
      <c r="D7" s="18" t="s">
        <v>0</v>
      </c>
      <c r="E7" s="1" t="s">
        <v>144</v>
      </c>
      <c r="G7" s="18" t="s">
        <v>71</v>
      </c>
      <c r="H7" s="55" t="s">
        <v>37</v>
      </c>
      <c r="I7" s="17"/>
    </row>
    <row r="8" spans="1:10" ht="18.75" customHeight="1" x14ac:dyDescent="0.25">
      <c r="A8" s="23"/>
      <c r="B8" s="1" t="s">
        <v>77</v>
      </c>
      <c r="D8" s="18" t="s">
        <v>0</v>
      </c>
      <c r="E8" s="1" t="s">
        <v>145</v>
      </c>
      <c r="G8" s="18" t="s">
        <v>83</v>
      </c>
      <c r="H8" s="87">
        <v>1</v>
      </c>
      <c r="I8" s="17"/>
    </row>
    <row r="9" spans="1:10" ht="18.75" customHeight="1" x14ac:dyDescent="0.25">
      <c r="A9" s="23"/>
      <c r="B9" s="1" t="s">
        <v>84</v>
      </c>
      <c r="D9" s="18" t="s">
        <v>0</v>
      </c>
      <c r="E9" s="1" t="s">
        <v>145</v>
      </c>
      <c r="G9" s="18" t="s">
        <v>89</v>
      </c>
      <c r="H9" s="87">
        <v>1</v>
      </c>
      <c r="I9" s="17"/>
    </row>
    <row r="10" spans="1:10" ht="18.75" customHeight="1" x14ac:dyDescent="0.25">
      <c r="A10" s="23"/>
      <c r="B10" s="1" t="s">
        <v>85</v>
      </c>
      <c r="D10" s="18" t="s">
        <v>0</v>
      </c>
      <c r="E10" s="1" t="s">
        <v>146</v>
      </c>
      <c r="G10" s="18" t="s">
        <v>90</v>
      </c>
      <c r="H10" s="103">
        <v>0.85</v>
      </c>
      <c r="I10" s="17"/>
    </row>
    <row r="11" spans="1:10" ht="18.75" customHeight="1" x14ac:dyDescent="0.25">
      <c r="A11" s="23"/>
      <c r="B11" s="1" t="s">
        <v>86</v>
      </c>
      <c r="D11" s="18" t="s">
        <v>0</v>
      </c>
      <c r="E11" s="1" t="s">
        <v>147</v>
      </c>
      <c r="G11" s="130" t="s">
        <v>91</v>
      </c>
      <c r="H11" s="131"/>
      <c r="I11" s="17"/>
    </row>
    <row r="12" spans="1:10" ht="18.75" customHeight="1" x14ac:dyDescent="0.25">
      <c r="A12" s="23"/>
      <c r="B12" s="34"/>
      <c r="G12" s="18"/>
      <c r="H12" s="35"/>
      <c r="I12" s="84"/>
    </row>
    <row r="13" spans="1:10" s="8" customFormat="1" ht="18.75" customHeight="1" x14ac:dyDescent="0.25">
      <c r="A13" s="27" t="s">
        <v>6</v>
      </c>
      <c r="B13" s="25" t="s">
        <v>72</v>
      </c>
      <c r="C13" s="86"/>
      <c r="D13" s="86"/>
      <c r="E13" s="86"/>
      <c r="F13" s="86"/>
      <c r="G13" s="86"/>
      <c r="H13" s="86"/>
      <c r="I13" s="76"/>
    </row>
    <row r="14" spans="1:10" ht="18.75" customHeight="1" x14ac:dyDescent="0.25">
      <c r="A14" s="23"/>
      <c r="B14" s="1" t="s">
        <v>75</v>
      </c>
      <c r="G14" s="18" t="s">
        <v>95</v>
      </c>
      <c r="H14" s="55">
        <v>12.891999999999999</v>
      </c>
      <c r="I14" s="17" t="s">
        <v>1</v>
      </c>
    </row>
    <row r="15" spans="1:10" ht="18.75" customHeight="1" x14ac:dyDescent="0.25">
      <c r="A15" s="23"/>
      <c r="B15" s="1" t="s">
        <v>76</v>
      </c>
      <c r="G15" s="18" t="s">
        <v>96</v>
      </c>
      <c r="H15" s="55">
        <v>9.4120000000000008</v>
      </c>
      <c r="I15" s="17" t="s">
        <v>1</v>
      </c>
    </row>
    <row r="16" spans="1:10" ht="18.75" customHeight="1" x14ac:dyDescent="0.25">
      <c r="A16" s="22"/>
      <c r="B16" s="1" t="s">
        <v>97</v>
      </c>
      <c r="G16" s="90" t="s">
        <v>99</v>
      </c>
      <c r="H16" s="55">
        <v>17</v>
      </c>
      <c r="I16" s="89" t="s">
        <v>98</v>
      </c>
    </row>
    <row r="17" spans="1:10" ht="18.75" customHeight="1" x14ac:dyDescent="0.25">
      <c r="A17" s="22"/>
      <c r="B17" s="1" t="s">
        <v>139</v>
      </c>
      <c r="G17" s="18" t="s">
        <v>3</v>
      </c>
      <c r="H17" s="55">
        <v>10</v>
      </c>
      <c r="I17" s="17" t="s">
        <v>1</v>
      </c>
    </row>
    <row r="18" spans="1:10" ht="18.75" customHeight="1" x14ac:dyDescent="0.25">
      <c r="A18" s="22"/>
      <c r="B18" s="1" t="s">
        <v>142</v>
      </c>
      <c r="G18" s="18" t="s">
        <v>2</v>
      </c>
      <c r="H18" s="55">
        <v>15</v>
      </c>
      <c r="I18" s="17" t="s">
        <v>1</v>
      </c>
    </row>
    <row r="19" spans="1:10" ht="18.75" customHeight="1" x14ac:dyDescent="0.25">
      <c r="A19" s="22"/>
      <c r="I19" s="17"/>
    </row>
    <row r="20" spans="1:10" ht="18.600000000000001" customHeight="1" x14ac:dyDescent="0.25">
      <c r="A20" s="22"/>
      <c r="I20" s="17"/>
    </row>
    <row r="21" spans="1:10" ht="18.75" customHeight="1" x14ac:dyDescent="0.25">
      <c r="A21" s="22"/>
      <c r="I21" s="17"/>
    </row>
    <row r="22" spans="1:10" ht="18.75" customHeight="1" x14ac:dyDescent="0.25">
      <c r="A22" s="22"/>
      <c r="I22" s="17"/>
    </row>
    <row r="23" spans="1:10" ht="18.75" customHeight="1" x14ac:dyDescent="0.25">
      <c r="A23" s="22"/>
      <c r="I23" s="17"/>
    </row>
    <row r="24" spans="1:10" ht="18.75" customHeight="1" x14ac:dyDescent="0.25">
      <c r="A24" s="22"/>
      <c r="I24" s="17"/>
    </row>
    <row r="25" spans="1:10" ht="18.75" customHeight="1" x14ac:dyDescent="0.25">
      <c r="A25" s="22"/>
      <c r="I25" s="17"/>
    </row>
    <row r="26" spans="1:10" ht="18.75" customHeight="1" x14ac:dyDescent="0.25">
      <c r="A26" s="22"/>
      <c r="I26" s="17"/>
    </row>
    <row r="27" spans="1:10" ht="18.75" customHeight="1" x14ac:dyDescent="0.25">
      <c r="A27" s="22"/>
      <c r="I27" s="17"/>
    </row>
    <row r="28" spans="1:10" ht="18.75" customHeight="1" x14ac:dyDescent="0.25">
      <c r="A28" s="22"/>
      <c r="I28" s="17"/>
    </row>
    <row r="29" spans="1:10" ht="18.75" customHeight="1" x14ac:dyDescent="0.25">
      <c r="A29" s="22"/>
      <c r="I29" s="17"/>
    </row>
    <row r="30" spans="1:10" ht="18.75" customHeight="1" x14ac:dyDescent="0.25">
      <c r="A30" s="22"/>
      <c r="I30" s="17"/>
    </row>
    <row r="31" spans="1:10" ht="18.75" customHeight="1" x14ac:dyDescent="0.25">
      <c r="A31" s="22"/>
      <c r="I31" s="17"/>
    </row>
    <row r="32" spans="1:10" ht="18.75" customHeight="1" x14ac:dyDescent="0.25">
      <c r="A32" s="22"/>
      <c r="I32" s="17"/>
      <c r="J32" s="124"/>
    </row>
    <row r="33" spans="1:10" ht="18.75" customHeight="1" x14ac:dyDescent="0.25">
      <c r="A33" s="24"/>
      <c r="B33" s="20"/>
      <c r="C33" s="20"/>
      <c r="D33" s="20"/>
      <c r="E33" s="20"/>
      <c r="F33" s="20"/>
      <c r="G33" s="20"/>
      <c r="H33" s="20"/>
      <c r="I33" s="21"/>
      <c r="J33" s="124"/>
    </row>
  </sheetData>
  <mergeCells count="2">
    <mergeCell ref="B1:F1"/>
    <mergeCell ref="G11:H11"/>
  </mergeCells>
  <dataValidations count="2">
    <dataValidation type="list" allowBlank="1" showInputMessage="1" showErrorMessage="1" sqref="H7" xr:uid="{039B0653-5C8B-4A1D-A198-496B9C966DD1}">
      <formula1>"B,C,D"</formula1>
    </dataValidation>
    <dataValidation type="list" allowBlank="1" showInputMessage="1" showErrorMessage="1" sqref="G11:H11" xr:uid="{FBEB79B6-6A88-4C8E-9679-237EB7FBFFB9}">
      <formula1>"BANGUNAN TERTUTUP,BANGUNAN TERTUTUP SEBAGIAN, BANGUNAN TERBUKA"</formula1>
    </dataValidation>
  </dataValidations>
  <pageMargins left="0.7" right="0.7" top="0.75" bottom="0.75" header="0.3" footer="0.3"/>
  <pageSetup orientation="portrait" horizont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23FCC-E97D-4485-A225-030D620A391C}">
  <sheetPr>
    <tabColor theme="7"/>
  </sheetPr>
  <dimension ref="A1:J77"/>
  <sheetViews>
    <sheetView workbookViewId="0">
      <selection activeCell="B4" sqref="B4"/>
    </sheetView>
  </sheetViews>
  <sheetFormatPr defaultRowHeight="15" x14ac:dyDescent="0.25"/>
  <sheetData>
    <row r="1" spans="1:8" x14ac:dyDescent="0.25">
      <c r="A1" s="37" t="s">
        <v>44</v>
      </c>
      <c r="B1" s="37" t="s">
        <v>35</v>
      </c>
      <c r="C1" s="37" t="s">
        <v>36</v>
      </c>
      <c r="D1" s="37" t="s">
        <v>37</v>
      </c>
      <c r="E1" s="37" t="s">
        <v>38</v>
      </c>
      <c r="F1" s="37" t="s">
        <v>43</v>
      </c>
      <c r="G1" s="1"/>
      <c r="H1" s="1"/>
    </row>
    <row r="2" spans="1:8" x14ac:dyDescent="0.25">
      <c r="A2" s="37" t="s">
        <v>39</v>
      </c>
      <c r="B2" s="37" t="e">
        <f>-0.5*'Input Data'!#REF!</f>
        <v>#REF!</v>
      </c>
      <c r="C2" s="37" t="e">
        <f>B2</f>
        <v>#REF!</v>
      </c>
      <c r="D2" s="37" t="e">
        <f>-C2</f>
        <v>#REF!</v>
      </c>
      <c r="E2" s="37" t="e">
        <f>D2</f>
        <v>#REF!</v>
      </c>
      <c r="F2" s="37" t="e">
        <f>B2</f>
        <v>#REF!</v>
      </c>
      <c r="G2" s="1"/>
      <c r="H2" s="1"/>
    </row>
    <row r="3" spans="1:8" x14ac:dyDescent="0.25">
      <c r="A3" s="37" t="s">
        <v>40</v>
      </c>
      <c r="B3" s="37" t="e">
        <f>-0.5*'Input Data'!#REF!</f>
        <v>#REF!</v>
      </c>
      <c r="C3" s="37" t="e">
        <f>-B3</f>
        <v>#REF!</v>
      </c>
      <c r="D3" s="37" t="e">
        <f>C3</f>
        <v>#REF!</v>
      </c>
      <c r="E3" s="37" t="e">
        <f>B3</f>
        <v>#REF!</v>
      </c>
      <c r="F3" s="37" t="e">
        <f>B3</f>
        <v>#REF!</v>
      </c>
      <c r="G3" s="1"/>
      <c r="H3" s="1"/>
    </row>
    <row r="4" spans="1:8" x14ac:dyDescent="0.25">
      <c r="A4" s="1"/>
      <c r="B4" s="37" t="e" cm="1">
        <f t="array" ref="B4">MAX(ABS(B2:E3),ABS(B8:D9),ABS(F8:H9),ABS(B21:D22),ABS(F21:H22))</f>
        <v>#REF!</v>
      </c>
      <c r="C4" s="37">
        <v>50</v>
      </c>
      <c r="D4" s="37"/>
      <c r="E4" s="37"/>
      <c r="F4" s="37"/>
      <c r="G4" s="1"/>
      <c r="H4" s="1"/>
    </row>
    <row r="5" spans="1:8" x14ac:dyDescent="0.25">
      <c r="A5" s="37" t="s">
        <v>41</v>
      </c>
      <c r="B5" s="36" t="e">
        <f t="shared" ref="B5:E6" si="0">B2/$B$4*$C$4</f>
        <v>#REF!</v>
      </c>
      <c r="C5" s="36" t="e">
        <f t="shared" si="0"/>
        <v>#REF!</v>
      </c>
      <c r="D5" s="36" t="e">
        <f t="shared" si="0"/>
        <v>#REF!</v>
      </c>
      <c r="E5" s="36" t="e">
        <f t="shared" si="0"/>
        <v>#REF!</v>
      </c>
      <c r="F5" s="36" t="e">
        <f>B5</f>
        <v>#REF!</v>
      </c>
      <c r="G5" s="1"/>
      <c r="H5" s="1"/>
    </row>
    <row r="6" spans="1:8" x14ac:dyDescent="0.25">
      <c r="A6" s="37" t="s">
        <v>42</v>
      </c>
      <c r="B6" s="36" t="e">
        <f t="shared" si="0"/>
        <v>#REF!</v>
      </c>
      <c r="C6" s="36" t="e">
        <f t="shared" si="0"/>
        <v>#REF!</v>
      </c>
      <c r="D6" s="36" t="e">
        <f t="shared" si="0"/>
        <v>#REF!</v>
      </c>
      <c r="E6" s="36" t="e">
        <f t="shared" si="0"/>
        <v>#REF!</v>
      </c>
      <c r="F6" s="36" t="e">
        <f>B6</f>
        <v>#REF!</v>
      </c>
      <c r="G6" s="5"/>
      <c r="H6" s="5"/>
    </row>
    <row r="7" spans="1:8" x14ac:dyDescent="0.25">
      <c r="A7" s="1"/>
      <c r="B7" s="35" t="s">
        <v>35</v>
      </c>
      <c r="C7" s="35" t="s">
        <v>36</v>
      </c>
      <c r="D7" s="35" t="s">
        <v>37</v>
      </c>
      <c r="E7" s="1"/>
      <c r="F7" s="35" t="s">
        <v>35</v>
      </c>
      <c r="G7" s="35" t="s">
        <v>36</v>
      </c>
      <c r="H7" s="35" t="s">
        <v>37</v>
      </c>
    </row>
    <row r="8" spans="1:8" x14ac:dyDescent="0.25">
      <c r="A8" s="1" t="s">
        <v>51</v>
      </c>
      <c r="B8" s="1" t="e">
        <f>B2</f>
        <v>#REF!</v>
      </c>
      <c r="C8" s="1">
        <v>0</v>
      </c>
      <c r="D8" s="1" t="e">
        <f>D2</f>
        <v>#REF!</v>
      </c>
      <c r="E8" s="1" t="s">
        <v>52</v>
      </c>
      <c r="F8" s="1" t="e">
        <f>1.2*B2</f>
        <v>#REF!</v>
      </c>
      <c r="G8" s="1" t="e">
        <f>F8</f>
        <v>#REF!</v>
      </c>
      <c r="H8" s="1" t="e">
        <f>G8</f>
        <v>#REF!</v>
      </c>
    </row>
    <row r="9" spans="1:8" x14ac:dyDescent="0.25">
      <c r="A9" s="1"/>
      <c r="B9" s="1" t="e">
        <f>B3*1.2</f>
        <v>#REF!</v>
      </c>
      <c r="C9" s="1" t="e">
        <f>B9</f>
        <v>#REF!</v>
      </c>
      <c r="D9" s="1" t="e">
        <f>C9</f>
        <v>#REF!</v>
      </c>
      <c r="E9" s="1"/>
      <c r="F9" s="1" t="e">
        <f>C3</f>
        <v>#REF!</v>
      </c>
      <c r="G9" s="1">
        <v>0</v>
      </c>
      <c r="H9" s="1" t="e">
        <f>-F9</f>
        <v>#REF!</v>
      </c>
    </row>
    <row r="10" spans="1:8" x14ac:dyDescent="0.25">
      <c r="A10" s="37" t="s">
        <v>41</v>
      </c>
      <c r="B10" s="36" t="e">
        <f t="shared" ref="B10:D11" si="1">B8/$B$4*$C$4</f>
        <v>#REF!</v>
      </c>
      <c r="C10" s="36" t="e">
        <f t="shared" si="1"/>
        <v>#REF!</v>
      </c>
      <c r="D10" s="36" t="e">
        <f t="shared" si="1"/>
        <v>#REF!</v>
      </c>
      <c r="E10" s="37" t="s">
        <v>41</v>
      </c>
      <c r="F10" s="36" t="e">
        <f t="shared" ref="F10:H11" si="2">F8/$B$4*$C$4</f>
        <v>#REF!</v>
      </c>
      <c r="G10" s="36" t="e">
        <f t="shared" si="2"/>
        <v>#REF!</v>
      </c>
      <c r="H10" s="36" t="e">
        <f t="shared" si="2"/>
        <v>#REF!</v>
      </c>
    </row>
    <row r="11" spans="1:8" x14ac:dyDescent="0.25">
      <c r="A11" s="37" t="s">
        <v>42</v>
      </c>
      <c r="B11" s="36" t="e">
        <f t="shared" si="1"/>
        <v>#REF!</v>
      </c>
      <c r="C11" s="36" t="e">
        <f t="shared" si="1"/>
        <v>#REF!</v>
      </c>
      <c r="D11" s="36" t="e">
        <f t="shared" si="1"/>
        <v>#REF!</v>
      </c>
      <c r="E11" s="37" t="s">
        <v>42</v>
      </c>
      <c r="F11" s="36" t="e">
        <f t="shared" si="2"/>
        <v>#REF!</v>
      </c>
      <c r="G11" s="36" t="e">
        <f t="shared" si="2"/>
        <v>#REF!</v>
      </c>
      <c r="H11" s="36" t="e">
        <f t="shared" si="2"/>
        <v>#REF!</v>
      </c>
    </row>
    <row r="12" spans="1:8" x14ac:dyDescent="0.25">
      <c r="A12" s="6"/>
      <c r="B12" s="6"/>
      <c r="C12" s="6"/>
      <c r="D12" s="6"/>
      <c r="E12" s="1"/>
      <c r="F12" s="1"/>
      <c r="G12" s="7"/>
      <c r="H12" s="7"/>
    </row>
    <row r="13" spans="1:8" x14ac:dyDescent="0.25">
      <c r="A13" s="1"/>
      <c r="B13" s="1"/>
      <c r="C13" s="1"/>
      <c r="D13" s="1"/>
      <c r="E13" s="1"/>
      <c r="F13" s="1"/>
      <c r="G13" s="1"/>
      <c r="H13" s="1"/>
    </row>
    <row r="14" spans="1:8" x14ac:dyDescent="0.25">
      <c r="A14" s="35" t="s">
        <v>45</v>
      </c>
      <c r="B14" s="35" t="s">
        <v>46</v>
      </c>
      <c r="C14" s="35" t="s">
        <v>47</v>
      </c>
      <c r="D14" s="35" t="s">
        <v>48</v>
      </c>
      <c r="E14" s="67" t="s">
        <v>49</v>
      </c>
      <c r="F14" s="67" t="s">
        <v>50</v>
      </c>
      <c r="G14" s="5"/>
      <c r="H14" s="5"/>
    </row>
    <row r="15" spans="1:8" x14ac:dyDescent="0.25">
      <c r="A15" s="37" t="s">
        <v>39</v>
      </c>
      <c r="B15" s="35" t="e">
        <f>IF('Input Data'!#REF!=40,-0.5*'Input Data'!#REF!,-0.5*'Input Data'!#REF!-0.5*('Input Data'!#REF!-'Input Data'!#REF!))</f>
        <v>#REF!</v>
      </c>
      <c r="C15" s="37" t="e">
        <f>B15</f>
        <v>#REF!</v>
      </c>
      <c r="D15" s="42" t="e">
        <f>C15+'Input Data'!#REF!</f>
        <v>#REF!</v>
      </c>
      <c r="E15" s="37" t="e">
        <f>D15</f>
        <v>#REF!</v>
      </c>
      <c r="F15" s="37" t="e">
        <f>B15</f>
        <v>#REF!</v>
      </c>
      <c r="G15" s="9"/>
      <c r="H15" s="9"/>
    </row>
    <row r="16" spans="1:8" x14ac:dyDescent="0.25">
      <c r="A16" s="37" t="s">
        <v>40</v>
      </c>
      <c r="B16" s="70" t="e">
        <f>C16-'Input Data'!#REF!</f>
        <v>#REF!</v>
      </c>
      <c r="C16" s="37" t="e">
        <f>IF('Input Data'!#REF!=20,0.5*'Input Data'!#REF!+0.5*('Input Data'!#REF!-'Input Data'!#REF!),0.5*'Input Data'!#REF!)</f>
        <v>#REF!</v>
      </c>
      <c r="D16" s="37" t="e">
        <f>C16</f>
        <v>#REF!</v>
      </c>
      <c r="E16" s="37" t="e">
        <f>B16</f>
        <v>#REF!</v>
      </c>
      <c r="F16" s="37" t="e">
        <f>B16</f>
        <v>#REF!</v>
      </c>
      <c r="G16" s="5"/>
      <c r="H16" s="5"/>
    </row>
    <row r="17" spans="1:10" x14ac:dyDescent="0.25">
      <c r="A17" s="1"/>
      <c r="B17" s="68"/>
      <c r="C17" s="12"/>
      <c r="D17" s="12"/>
      <c r="E17" s="69"/>
      <c r="F17" s="69"/>
      <c r="G17" s="1"/>
      <c r="H17" s="1"/>
    </row>
    <row r="18" spans="1:10" x14ac:dyDescent="0.25">
      <c r="A18" s="37" t="s">
        <v>41</v>
      </c>
      <c r="B18" s="36" t="e">
        <f t="shared" ref="B18:E19" si="3">B15/$B$4*$C$4</f>
        <v>#REF!</v>
      </c>
      <c r="C18" s="36" t="e">
        <f t="shared" si="3"/>
        <v>#REF!</v>
      </c>
      <c r="D18" s="36" t="e">
        <f t="shared" si="3"/>
        <v>#REF!</v>
      </c>
      <c r="E18" s="36" t="e">
        <f t="shared" si="3"/>
        <v>#REF!</v>
      </c>
      <c r="F18" s="36" t="e">
        <f>B18</f>
        <v>#REF!</v>
      </c>
      <c r="G18" s="1"/>
      <c r="H18" s="1"/>
    </row>
    <row r="19" spans="1:10" x14ac:dyDescent="0.25">
      <c r="A19" s="37" t="s">
        <v>42</v>
      </c>
      <c r="B19" s="36" t="e">
        <f t="shared" si="3"/>
        <v>#REF!</v>
      </c>
      <c r="C19" s="36" t="e">
        <f t="shared" si="3"/>
        <v>#REF!</v>
      </c>
      <c r="D19" s="36" t="e">
        <f t="shared" si="3"/>
        <v>#REF!</v>
      </c>
      <c r="E19" s="36" t="e">
        <f t="shared" si="3"/>
        <v>#REF!</v>
      </c>
      <c r="F19" s="36" t="e">
        <f>B19</f>
        <v>#REF!</v>
      </c>
      <c r="G19" s="1"/>
      <c r="H19" s="1"/>
    </row>
    <row r="20" spans="1:10" x14ac:dyDescent="0.25">
      <c r="A20" s="1"/>
      <c r="B20" s="35" t="s">
        <v>35</v>
      </c>
      <c r="C20" s="35" t="s">
        <v>36</v>
      </c>
      <c r="D20" s="35" t="s">
        <v>37</v>
      </c>
      <c r="E20" s="1"/>
      <c r="F20" s="35" t="s">
        <v>35</v>
      </c>
      <c r="G20" s="35" t="s">
        <v>36</v>
      </c>
      <c r="H20" s="35" t="s">
        <v>37</v>
      </c>
    </row>
    <row r="21" spans="1:10" x14ac:dyDescent="0.25">
      <c r="A21" s="1" t="s">
        <v>51</v>
      </c>
      <c r="B21" s="1" t="e">
        <f>B15</f>
        <v>#REF!</v>
      </c>
      <c r="C21" s="1" t="e">
        <f>(B21+D21)/2</f>
        <v>#REF!</v>
      </c>
      <c r="D21" s="71" t="e">
        <f>D15</f>
        <v>#REF!</v>
      </c>
      <c r="E21" s="1" t="s">
        <v>52</v>
      </c>
      <c r="F21" s="71" t="e">
        <f>D15+0.115</f>
        <v>#REF!</v>
      </c>
      <c r="G21" s="1" t="e">
        <f>F21</f>
        <v>#REF!</v>
      </c>
      <c r="H21" s="1" t="e">
        <f>G21</f>
        <v>#REF!</v>
      </c>
    </row>
    <row r="22" spans="1:10" x14ac:dyDescent="0.25">
      <c r="A22" s="1"/>
      <c r="B22" s="71" t="e">
        <f>B16-0.115</f>
        <v>#REF!</v>
      </c>
      <c r="C22" s="1" t="e">
        <f>B22</f>
        <v>#REF!</v>
      </c>
      <c r="D22" s="1" t="e">
        <f>C22</f>
        <v>#REF!</v>
      </c>
      <c r="E22" s="1"/>
      <c r="F22" s="1" t="e">
        <f>C16</f>
        <v>#REF!</v>
      </c>
      <c r="G22" s="1" t="e">
        <f>(F22+H22)/2</f>
        <v>#REF!</v>
      </c>
      <c r="H22" s="1" t="e">
        <f>E16</f>
        <v>#REF!</v>
      </c>
    </row>
    <row r="23" spans="1:10" x14ac:dyDescent="0.25">
      <c r="A23" s="37" t="s">
        <v>41</v>
      </c>
      <c r="B23" s="36" t="e">
        <f t="shared" ref="B23:D24" si="4">B21/$B$4*$C$4</f>
        <v>#REF!</v>
      </c>
      <c r="C23" s="36" t="e">
        <f t="shared" si="4"/>
        <v>#REF!</v>
      </c>
      <c r="D23" s="36" t="e">
        <f t="shared" si="4"/>
        <v>#REF!</v>
      </c>
      <c r="E23" s="37" t="s">
        <v>41</v>
      </c>
      <c r="F23" s="36" t="e">
        <f t="shared" ref="F23:H24" si="5">F21/$B$4*$C$4</f>
        <v>#REF!</v>
      </c>
      <c r="G23" s="36" t="e">
        <f t="shared" si="5"/>
        <v>#REF!</v>
      </c>
      <c r="H23" s="36" t="e">
        <f t="shared" si="5"/>
        <v>#REF!</v>
      </c>
    </row>
    <row r="24" spans="1:10" x14ac:dyDescent="0.25">
      <c r="A24" s="37" t="s">
        <v>42</v>
      </c>
      <c r="B24" s="36" t="e">
        <f t="shared" si="4"/>
        <v>#REF!</v>
      </c>
      <c r="C24" s="36" t="e">
        <f t="shared" si="4"/>
        <v>#REF!</v>
      </c>
      <c r="D24" s="36" t="e">
        <f t="shared" si="4"/>
        <v>#REF!</v>
      </c>
      <c r="E24" s="37" t="s">
        <v>42</v>
      </c>
      <c r="F24" s="36" t="e">
        <f t="shared" si="5"/>
        <v>#REF!</v>
      </c>
      <c r="G24" s="36" t="e">
        <f t="shared" si="5"/>
        <v>#REF!</v>
      </c>
      <c r="H24" s="36" t="e">
        <f t="shared" si="5"/>
        <v>#REF!</v>
      </c>
    </row>
    <row r="27" spans="1:10" x14ac:dyDescent="0.25">
      <c r="A27" s="35" t="s">
        <v>62</v>
      </c>
      <c r="B27" s="35" t="s">
        <v>35</v>
      </c>
      <c r="C27" s="35" t="s">
        <v>36</v>
      </c>
      <c r="D27" s="35" t="s">
        <v>37</v>
      </c>
      <c r="E27" s="35" t="s">
        <v>38</v>
      </c>
      <c r="F27" s="35" t="s">
        <v>35</v>
      </c>
      <c r="G27" s="35" t="s">
        <v>60</v>
      </c>
      <c r="H27" s="35" t="s">
        <v>61</v>
      </c>
      <c r="I27" s="1"/>
      <c r="J27" s="1"/>
    </row>
    <row r="28" spans="1:10" x14ac:dyDescent="0.25">
      <c r="A28" s="35" t="s">
        <v>39</v>
      </c>
      <c r="B28" s="35" t="e">
        <f>-0.5*'Input Data'!#REF!</f>
        <v>#REF!</v>
      </c>
      <c r="C28" s="35" t="e">
        <f>B28</f>
        <v>#REF!</v>
      </c>
      <c r="D28" s="35" t="e">
        <f>-C28</f>
        <v>#REF!</v>
      </c>
      <c r="E28" s="35" t="e">
        <f>D28</f>
        <v>#REF!</v>
      </c>
      <c r="F28" s="35" t="e">
        <f>B28</f>
        <v>#REF!</v>
      </c>
      <c r="G28" s="35" t="e" cm="1">
        <f t="array" ref="G28">MAX(ABS(B28:F29),ABS(B40:E41),ABS(B47:E48),ABS(B55:F56),ABS(B60:D61),ABS(B67:E68),ABS(B74:E75))</f>
        <v>#REF!</v>
      </c>
      <c r="H28" s="35">
        <v>50</v>
      </c>
      <c r="I28" s="1"/>
      <c r="J28" s="1"/>
    </row>
    <row r="29" spans="1:10" x14ac:dyDescent="0.25">
      <c r="A29" s="35" t="s">
        <v>40</v>
      </c>
      <c r="B29" s="35" t="e">
        <f>1.2*'Input Data'!#REF!*0.5</f>
        <v>#REF!</v>
      </c>
      <c r="C29" s="70" t="e">
        <f>B29+'Input Data'!#REF!</f>
        <v>#REF!</v>
      </c>
      <c r="D29" s="70" t="e">
        <f>C29</f>
        <v>#REF!</v>
      </c>
      <c r="E29" s="35" t="e">
        <f>B29</f>
        <v>#REF!</v>
      </c>
      <c r="F29" s="35" t="e">
        <f>B29</f>
        <v>#REF!</v>
      </c>
      <c r="G29" s="1"/>
      <c r="H29" s="1"/>
      <c r="I29" s="1"/>
      <c r="J29" s="1"/>
    </row>
    <row r="30" spans="1:10" x14ac:dyDescent="0.25">
      <c r="A30" s="72" t="s">
        <v>41</v>
      </c>
      <c r="B30" s="73" t="e">
        <f t="shared" ref="B30:F31" si="6">B28/$G$28*$H$28</f>
        <v>#REF!</v>
      </c>
      <c r="C30" s="73" t="e">
        <f t="shared" si="6"/>
        <v>#REF!</v>
      </c>
      <c r="D30" s="73" t="e">
        <f t="shared" si="6"/>
        <v>#REF!</v>
      </c>
      <c r="E30" s="73" t="e">
        <f t="shared" si="6"/>
        <v>#REF!</v>
      </c>
      <c r="F30" s="73" t="e">
        <f t="shared" si="6"/>
        <v>#REF!</v>
      </c>
      <c r="G30" s="1"/>
      <c r="H30" s="1"/>
      <c r="I30" s="1"/>
      <c r="J30" s="1"/>
    </row>
    <row r="31" spans="1:10" x14ac:dyDescent="0.25">
      <c r="A31" s="72" t="s">
        <v>42</v>
      </c>
      <c r="B31" s="73" t="e">
        <f t="shared" si="6"/>
        <v>#REF!</v>
      </c>
      <c r="C31" s="73" t="e">
        <f t="shared" si="6"/>
        <v>#REF!</v>
      </c>
      <c r="D31" s="73" t="e">
        <f t="shared" si="6"/>
        <v>#REF!</v>
      </c>
      <c r="E31" s="73" t="e">
        <f t="shared" si="6"/>
        <v>#REF!</v>
      </c>
      <c r="F31" s="73" t="e">
        <f t="shared" si="6"/>
        <v>#REF!</v>
      </c>
      <c r="G31" s="1"/>
      <c r="H31" s="1"/>
      <c r="I31" s="1"/>
      <c r="J31" s="1"/>
    </row>
    <row r="32" spans="1:10" ht="18" x14ac:dyDescent="0.25">
      <c r="A32" s="35" t="s">
        <v>65</v>
      </c>
      <c r="B32" s="54" t="s">
        <v>35</v>
      </c>
      <c r="C32" s="54" t="s">
        <v>36</v>
      </c>
      <c r="D32" s="54" t="s">
        <v>37</v>
      </c>
      <c r="E32" s="54"/>
      <c r="F32" s="54" t="s">
        <v>66</v>
      </c>
      <c r="G32" s="54" t="s">
        <v>35</v>
      </c>
      <c r="H32" s="54" t="s">
        <v>36</v>
      </c>
      <c r="I32" s="54" t="s">
        <v>37</v>
      </c>
      <c r="J32" s="1"/>
    </row>
    <row r="33" spans="1:10" x14ac:dyDescent="0.25">
      <c r="A33" s="35" t="s">
        <v>39</v>
      </c>
      <c r="B33" s="54" t="e">
        <f>B28</f>
        <v>#REF!</v>
      </c>
      <c r="C33" s="54" t="e">
        <f>(B33+D33)/2</f>
        <v>#REF!</v>
      </c>
      <c r="D33" s="54" t="e">
        <f>E28</f>
        <v>#REF!</v>
      </c>
      <c r="E33" s="54"/>
      <c r="F33" s="35" t="s">
        <v>39</v>
      </c>
      <c r="G33" s="54" t="e">
        <f>1.2*E28</f>
        <v>#REF!</v>
      </c>
      <c r="H33" s="54" t="e">
        <f>(G33+I33)/2</f>
        <v>#REF!</v>
      </c>
      <c r="I33" s="54" t="e">
        <f>G33</f>
        <v>#REF!</v>
      </c>
      <c r="J33" s="1"/>
    </row>
    <row r="34" spans="1:10" x14ac:dyDescent="0.25">
      <c r="A34" s="35" t="s">
        <v>40</v>
      </c>
      <c r="B34" s="35" t="e">
        <f>B29*1.2</f>
        <v>#REF!</v>
      </c>
      <c r="C34" s="35" t="e">
        <f>B34</f>
        <v>#REF!</v>
      </c>
      <c r="D34" s="35" t="e">
        <f>C34</f>
        <v>#REF!</v>
      </c>
      <c r="E34" s="1"/>
      <c r="F34" s="35" t="s">
        <v>40</v>
      </c>
      <c r="G34" s="70" t="e">
        <f>D29</f>
        <v>#REF!</v>
      </c>
      <c r="H34" s="54" t="e">
        <f>(G34+I34)/2</f>
        <v>#REF!</v>
      </c>
      <c r="I34" s="35" t="e">
        <f>E29</f>
        <v>#REF!</v>
      </c>
      <c r="J34" s="1"/>
    </row>
    <row r="35" spans="1:10" x14ac:dyDescent="0.25">
      <c r="A35" s="72" t="s">
        <v>41</v>
      </c>
      <c r="B35" s="73" t="e">
        <f t="shared" ref="B35:D36" si="7">B33/$G$28*$H$28</f>
        <v>#REF!</v>
      </c>
      <c r="C35" s="73" t="e">
        <f t="shared" si="7"/>
        <v>#REF!</v>
      </c>
      <c r="D35" s="73" t="e">
        <f t="shared" si="7"/>
        <v>#REF!</v>
      </c>
      <c r="E35" s="1"/>
      <c r="F35" s="72" t="s">
        <v>41</v>
      </c>
      <c r="G35" s="73" t="e">
        <f t="shared" ref="G35:I36" si="8">G33/$G$28*$H$28</f>
        <v>#REF!</v>
      </c>
      <c r="H35" s="73" t="e">
        <f t="shared" si="8"/>
        <v>#REF!</v>
      </c>
      <c r="I35" s="73" t="e">
        <f t="shared" si="8"/>
        <v>#REF!</v>
      </c>
      <c r="J35" s="1"/>
    </row>
    <row r="36" spans="1:10" x14ac:dyDescent="0.25">
      <c r="A36" s="72" t="s">
        <v>42</v>
      </c>
      <c r="B36" s="73" t="e">
        <f t="shared" si="7"/>
        <v>#REF!</v>
      </c>
      <c r="C36" s="73" t="e">
        <f t="shared" si="7"/>
        <v>#REF!</v>
      </c>
      <c r="D36" s="73" t="e">
        <f t="shared" si="7"/>
        <v>#REF!</v>
      </c>
      <c r="E36" s="1"/>
      <c r="F36" s="72" t="s">
        <v>42</v>
      </c>
      <c r="G36" s="73" t="e">
        <f t="shared" si="8"/>
        <v>#REF!</v>
      </c>
      <c r="H36" s="73" t="e">
        <f t="shared" si="8"/>
        <v>#REF!</v>
      </c>
      <c r="I36" s="73" t="e">
        <f t="shared" si="8"/>
        <v>#REF!</v>
      </c>
      <c r="J36" s="1"/>
    </row>
    <row r="37" spans="1:10" x14ac:dyDescent="0.25">
      <c r="A37" s="1"/>
      <c r="B37" s="1"/>
      <c r="C37" s="1"/>
      <c r="D37" s="1"/>
      <c r="E37" s="1"/>
      <c r="F37" s="1"/>
      <c r="G37" s="6"/>
      <c r="H37" s="6"/>
      <c r="I37" s="7"/>
      <c r="J37" s="6"/>
    </row>
    <row r="38" spans="1:10" x14ac:dyDescent="0.25">
      <c r="A38" s="1"/>
      <c r="B38" s="1"/>
      <c r="C38" s="1"/>
      <c r="D38" s="1"/>
      <c r="E38" s="1"/>
      <c r="F38" s="1"/>
      <c r="G38" s="6"/>
      <c r="H38" s="6"/>
      <c r="I38" s="7"/>
      <c r="J38" s="6"/>
    </row>
    <row r="39" spans="1:10" x14ac:dyDescent="0.25">
      <c r="A39" s="1" t="s">
        <v>64</v>
      </c>
      <c r="B39" s="35" t="s">
        <v>53</v>
      </c>
      <c r="C39" s="35" t="s">
        <v>54</v>
      </c>
      <c r="D39" s="35" t="s">
        <v>55</v>
      </c>
      <c r="E39" s="35" t="s">
        <v>56</v>
      </c>
      <c r="F39" s="1"/>
      <c r="G39" s="54" t="s">
        <v>67</v>
      </c>
      <c r="H39" s="54" t="s">
        <v>35</v>
      </c>
      <c r="I39" s="54" t="s">
        <v>36</v>
      </c>
      <c r="J39" s="54" t="s">
        <v>37</v>
      </c>
    </row>
    <row r="40" spans="1:10" x14ac:dyDescent="0.25">
      <c r="A40" s="35" t="s">
        <v>39</v>
      </c>
      <c r="B40" s="35" t="e">
        <f>B28+0.3*'Input Data'!#REF!</f>
        <v>#REF!</v>
      </c>
      <c r="C40" s="35" t="e">
        <f>IF('Input Data'!#REF!=40,0-0.5*'Input Data'!#REF!,0-0.5*'Input Data'!#REF!-0.5*('Input Data'!#REF!-'Input Data'!#REF!))</f>
        <v>#REF!</v>
      </c>
      <c r="D40" s="70" t="e">
        <f>D47</f>
        <v>#REF!</v>
      </c>
      <c r="E40" s="35" t="e">
        <f>-B40</f>
        <v>#REF!</v>
      </c>
      <c r="F40" s="1"/>
      <c r="G40" s="35" t="s">
        <v>39</v>
      </c>
      <c r="H40" s="54" t="e">
        <f>1.5*G33</f>
        <v>#REF!</v>
      </c>
      <c r="I40" s="54" t="e">
        <f>(H40+J40)/2</f>
        <v>#REF!</v>
      </c>
      <c r="J40" s="54" t="e">
        <f>H40</f>
        <v>#REF!</v>
      </c>
    </row>
    <row r="41" spans="1:10" x14ac:dyDescent="0.25">
      <c r="A41" s="35" t="s">
        <v>40</v>
      </c>
      <c r="B41" s="70" t="e">
        <f>B29+ABS('Input Data'!#REF!)</f>
        <v>#REF!</v>
      </c>
      <c r="C41" s="70" t="e">
        <f>B41</f>
        <v>#REF!</v>
      </c>
      <c r="D41" s="70" t="e">
        <f>C41</f>
        <v>#REF!</v>
      </c>
      <c r="E41" s="70" t="e">
        <f>D41</f>
        <v>#REF!</v>
      </c>
      <c r="F41" s="1"/>
      <c r="G41" s="35" t="s">
        <v>40</v>
      </c>
      <c r="H41" s="70" t="e">
        <f>E29</f>
        <v>#REF!</v>
      </c>
      <c r="I41" s="54" t="e">
        <f>(H41+J41)/2</f>
        <v>#REF!</v>
      </c>
      <c r="J41" s="70" t="e">
        <f>E41</f>
        <v>#REF!</v>
      </c>
    </row>
    <row r="42" spans="1:10" x14ac:dyDescent="0.25">
      <c r="A42" s="72" t="s">
        <v>41</v>
      </c>
      <c r="B42" s="73" t="e">
        <f t="shared" ref="B42:E43" si="9">B40/$G$28*$H$28</f>
        <v>#REF!</v>
      </c>
      <c r="C42" s="73" t="e">
        <f t="shared" si="9"/>
        <v>#REF!</v>
      </c>
      <c r="D42" s="73" t="e">
        <f t="shared" si="9"/>
        <v>#REF!</v>
      </c>
      <c r="E42" s="73" t="e">
        <f t="shared" si="9"/>
        <v>#REF!</v>
      </c>
      <c r="F42" s="6"/>
      <c r="G42" s="72" t="s">
        <v>41</v>
      </c>
      <c r="H42" s="73" t="e">
        <f t="shared" ref="H42:J43" si="10">H40/$G$28*$H$28</f>
        <v>#REF!</v>
      </c>
      <c r="I42" s="73" t="e">
        <f t="shared" si="10"/>
        <v>#REF!</v>
      </c>
      <c r="J42" s="73" t="e">
        <f t="shared" si="10"/>
        <v>#REF!</v>
      </c>
    </row>
    <row r="43" spans="1:10" x14ac:dyDescent="0.25">
      <c r="A43" s="72" t="s">
        <v>42</v>
      </c>
      <c r="B43" s="73" t="e">
        <f t="shared" si="9"/>
        <v>#REF!</v>
      </c>
      <c r="C43" s="73" t="e">
        <f t="shared" si="9"/>
        <v>#REF!</v>
      </c>
      <c r="D43" s="73" t="e">
        <f t="shared" si="9"/>
        <v>#REF!</v>
      </c>
      <c r="E43" s="73" t="e">
        <f t="shared" si="9"/>
        <v>#REF!</v>
      </c>
      <c r="F43" s="6"/>
      <c r="G43" s="72" t="s">
        <v>42</v>
      </c>
      <c r="H43" s="73" t="e">
        <f t="shared" si="10"/>
        <v>#REF!</v>
      </c>
      <c r="I43" s="73" t="e">
        <f t="shared" si="10"/>
        <v>#REF!</v>
      </c>
      <c r="J43" s="73" t="e">
        <f t="shared" si="10"/>
        <v>#REF!</v>
      </c>
    </row>
    <row r="44" spans="1:1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</row>
    <row r="45" spans="1:10" x14ac:dyDescent="0.25">
      <c r="A45" s="8"/>
      <c r="B45" s="8"/>
      <c r="C45" s="8"/>
      <c r="D45" s="8"/>
      <c r="E45" s="8"/>
      <c r="F45" s="8"/>
      <c r="G45" s="1"/>
      <c r="H45" s="1"/>
      <c r="I45" s="1"/>
      <c r="J45" s="1"/>
    </row>
    <row r="46" spans="1:10" x14ac:dyDescent="0.25">
      <c r="A46" s="2" t="s">
        <v>63</v>
      </c>
      <c r="B46" s="37" t="s">
        <v>43</v>
      </c>
      <c r="C46" s="37" t="s">
        <v>57</v>
      </c>
      <c r="D46" s="37" t="s">
        <v>58</v>
      </c>
      <c r="E46" s="37" t="s">
        <v>59</v>
      </c>
      <c r="F46" s="2"/>
      <c r="G46" s="54" t="s">
        <v>68</v>
      </c>
      <c r="H46" s="54" t="s">
        <v>35</v>
      </c>
      <c r="I46" s="54" t="s">
        <v>36</v>
      </c>
      <c r="J46" s="54" t="s">
        <v>37</v>
      </c>
    </row>
    <row r="47" spans="1:10" x14ac:dyDescent="0.25">
      <c r="A47" s="35" t="s">
        <v>39</v>
      </c>
      <c r="B47" s="56" t="e">
        <f>IF('Input Data'!#REF!=40,-0.5*'Input Data'!#REF!,-0.5*'Input Data'!#REF!-0.5*('Input Data'!#REF!-'Input Data'!#REF!))</f>
        <v>#REF!</v>
      </c>
      <c r="C47" s="56" t="e">
        <f>B47</f>
        <v>#REF!</v>
      </c>
      <c r="D47" s="74" t="e">
        <f>C47+'Input Data'!#REF!</f>
        <v>#REF!</v>
      </c>
      <c r="E47" s="56" t="e">
        <f>D47</f>
        <v>#REF!</v>
      </c>
      <c r="F47" s="8"/>
      <c r="G47" s="35" t="s">
        <v>39</v>
      </c>
      <c r="H47" s="54" t="e">
        <f>C47</f>
        <v>#REF!</v>
      </c>
      <c r="I47" s="54" t="e">
        <f>(H47+J47)/2</f>
        <v>#REF!</v>
      </c>
      <c r="J47" s="54" t="e">
        <f>D47</f>
        <v>#REF!</v>
      </c>
    </row>
    <row r="48" spans="1:10" x14ac:dyDescent="0.25">
      <c r="A48" s="35" t="s">
        <v>40</v>
      </c>
      <c r="B48" s="35" t="e">
        <f>C29</f>
        <v>#REF!</v>
      </c>
      <c r="C48" s="70" t="e">
        <f>C41-'Input Data'!#REF!*0.2</f>
        <v>#REF!</v>
      </c>
      <c r="D48" s="70" t="e">
        <f>C48</f>
        <v>#REF!</v>
      </c>
      <c r="E48" s="35" t="e">
        <f>C29</f>
        <v>#REF!</v>
      </c>
      <c r="F48" s="1"/>
      <c r="G48" s="35" t="s">
        <v>40</v>
      </c>
      <c r="H48" s="35" t="e">
        <f>1.2*C48</f>
        <v>#REF!</v>
      </c>
      <c r="I48" s="35" t="e">
        <f>H48</f>
        <v>#REF!</v>
      </c>
      <c r="J48" s="35" t="e">
        <f>I48</f>
        <v>#REF!</v>
      </c>
    </row>
    <row r="49" spans="1:10" x14ac:dyDescent="0.25">
      <c r="A49" s="72" t="s">
        <v>41</v>
      </c>
      <c r="B49" s="73" t="e">
        <f t="shared" ref="B49:E50" si="11">B47/$G$28*$H$28</f>
        <v>#REF!</v>
      </c>
      <c r="C49" s="73" t="e">
        <f t="shared" si="11"/>
        <v>#REF!</v>
      </c>
      <c r="D49" s="73" t="e">
        <f t="shared" si="11"/>
        <v>#REF!</v>
      </c>
      <c r="E49" s="73" t="e">
        <f t="shared" si="11"/>
        <v>#REF!</v>
      </c>
      <c r="F49" s="1"/>
      <c r="G49" s="72" t="s">
        <v>41</v>
      </c>
      <c r="H49" s="73" t="e">
        <f t="shared" ref="H49:J50" si="12">H47/$G$28*$H$28</f>
        <v>#REF!</v>
      </c>
      <c r="I49" s="73" t="e">
        <f t="shared" si="12"/>
        <v>#REF!</v>
      </c>
      <c r="J49" s="73" t="e">
        <f t="shared" si="12"/>
        <v>#REF!</v>
      </c>
    </row>
    <row r="50" spans="1:10" x14ac:dyDescent="0.25">
      <c r="A50" s="72" t="s">
        <v>42</v>
      </c>
      <c r="B50" s="73" t="e">
        <f t="shared" si="11"/>
        <v>#REF!</v>
      </c>
      <c r="C50" s="73" t="e">
        <f t="shared" si="11"/>
        <v>#REF!</v>
      </c>
      <c r="D50" s="73" t="e">
        <f t="shared" si="11"/>
        <v>#REF!</v>
      </c>
      <c r="E50" s="73" t="e">
        <f t="shared" si="11"/>
        <v>#REF!</v>
      </c>
      <c r="F50" s="1"/>
      <c r="G50" s="72" t="s">
        <v>42</v>
      </c>
      <c r="H50" s="73" t="e">
        <f t="shared" si="12"/>
        <v>#REF!</v>
      </c>
      <c r="I50" s="73" t="e">
        <f t="shared" si="12"/>
        <v>#REF!</v>
      </c>
      <c r="J50" s="73" t="e">
        <f t="shared" si="12"/>
        <v>#REF!</v>
      </c>
    </row>
    <row r="54" spans="1:10" x14ac:dyDescent="0.25">
      <c r="A54" s="35" t="s">
        <v>62</v>
      </c>
      <c r="B54" s="35" t="s">
        <v>35</v>
      </c>
      <c r="C54" s="35" t="s">
        <v>36</v>
      </c>
      <c r="D54" s="35" t="s">
        <v>37</v>
      </c>
      <c r="E54" s="35" t="s">
        <v>38</v>
      </c>
      <c r="F54" s="35" t="s">
        <v>35</v>
      </c>
      <c r="G54" s="35" t="s">
        <v>60</v>
      </c>
      <c r="H54" s="35" t="s">
        <v>61</v>
      </c>
      <c r="I54" s="1"/>
      <c r="J54" s="1"/>
    </row>
    <row r="55" spans="1:10" x14ac:dyDescent="0.25">
      <c r="A55" s="35" t="s">
        <v>39</v>
      </c>
      <c r="B55" s="35" t="e">
        <f>-0.5*'Input Data'!#REF!</f>
        <v>#REF!</v>
      </c>
      <c r="C55" s="35" t="e">
        <f>B55</f>
        <v>#REF!</v>
      </c>
      <c r="D55" s="35" t="e">
        <f>-C55</f>
        <v>#REF!</v>
      </c>
      <c r="E55" s="35" t="e">
        <f>D55</f>
        <v>#REF!</v>
      </c>
      <c r="F55" s="35" t="e">
        <f>B55</f>
        <v>#REF!</v>
      </c>
      <c r="G55" s="35" t="e">
        <f>G28</f>
        <v>#REF!</v>
      </c>
      <c r="H55" s="35">
        <v>50</v>
      </c>
      <c r="I55" s="1"/>
      <c r="J55" s="1"/>
    </row>
    <row r="56" spans="1:10" x14ac:dyDescent="0.25">
      <c r="A56" s="35" t="s">
        <v>40</v>
      </c>
      <c r="B56" s="35" t="e">
        <f>1.2*'Input Data'!#REF!*0.5</f>
        <v>#REF!</v>
      </c>
      <c r="C56" s="70" t="e">
        <f>B56+'Input Data'!#REF!</f>
        <v>#REF!</v>
      </c>
      <c r="D56" s="70" t="e">
        <f>C56</f>
        <v>#REF!</v>
      </c>
      <c r="E56" s="35" t="e">
        <f>B56</f>
        <v>#REF!</v>
      </c>
      <c r="F56" s="35" t="e">
        <f>B56</f>
        <v>#REF!</v>
      </c>
      <c r="G56" s="1"/>
      <c r="H56" s="1"/>
      <c r="I56" s="1"/>
      <c r="J56" s="1"/>
    </row>
    <row r="57" spans="1:10" x14ac:dyDescent="0.25">
      <c r="A57" s="72" t="s">
        <v>41</v>
      </c>
      <c r="B57" s="73" t="e">
        <f t="shared" ref="B57:F58" si="13">B55/$G$55*$H$55</f>
        <v>#REF!</v>
      </c>
      <c r="C57" s="73" t="e">
        <f t="shared" si="13"/>
        <v>#REF!</v>
      </c>
      <c r="D57" s="73" t="e">
        <f t="shared" si="13"/>
        <v>#REF!</v>
      </c>
      <c r="E57" s="73" t="e">
        <f t="shared" si="13"/>
        <v>#REF!</v>
      </c>
      <c r="F57" s="73" t="e">
        <f t="shared" si="13"/>
        <v>#REF!</v>
      </c>
      <c r="G57" s="1"/>
      <c r="H57" s="1"/>
      <c r="I57" s="1"/>
      <c r="J57" s="1"/>
    </row>
    <row r="58" spans="1:10" x14ac:dyDescent="0.25">
      <c r="A58" s="72" t="s">
        <v>42</v>
      </c>
      <c r="B58" s="73" t="e">
        <f t="shared" si="13"/>
        <v>#REF!</v>
      </c>
      <c r="C58" s="73" t="e">
        <f t="shared" si="13"/>
        <v>#REF!</v>
      </c>
      <c r="D58" s="73" t="e">
        <f t="shared" si="13"/>
        <v>#REF!</v>
      </c>
      <c r="E58" s="73" t="e">
        <f t="shared" si="13"/>
        <v>#REF!</v>
      </c>
      <c r="F58" s="73" t="e">
        <f t="shared" si="13"/>
        <v>#REF!</v>
      </c>
      <c r="G58" s="1"/>
      <c r="H58" s="1"/>
      <c r="I58" s="1"/>
      <c r="J58" s="1"/>
    </row>
    <row r="59" spans="1:10" ht="18" x14ac:dyDescent="0.25">
      <c r="A59" s="35" t="s">
        <v>69</v>
      </c>
      <c r="B59" s="54" t="s">
        <v>35</v>
      </c>
      <c r="C59" s="54" t="s">
        <v>36</v>
      </c>
      <c r="D59" s="54" t="s">
        <v>37</v>
      </c>
      <c r="E59" s="54"/>
      <c r="F59" s="54" t="s">
        <v>66</v>
      </c>
      <c r="G59" s="54" t="s">
        <v>35</v>
      </c>
      <c r="H59" s="54" t="s">
        <v>36</v>
      </c>
      <c r="I59" s="54" t="s">
        <v>37</v>
      </c>
      <c r="J59" s="1"/>
    </row>
    <row r="60" spans="1:10" x14ac:dyDescent="0.25">
      <c r="A60" s="35" t="s">
        <v>39</v>
      </c>
      <c r="B60" s="54" t="e">
        <f>B55</f>
        <v>#REF!</v>
      </c>
      <c r="C60" s="54" t="e">
        <f>(B60+D60)/2</f>
        <v>#REF!</v>
      </c>
      <c r="D60" s="54" t="e">
        <f>E55</f>
        <v>#REF!</v>
      </c>
      <c r="E60" s="54"/>
      <c r="F60" s="35" t="s">
        <v>39</v>
      </c>
      <c r="G60" s="54" t="e">
        <f>1.2*E55</f>
        <v>#REF!</v>
      </c>
      <c r="H60" s="54" t="e">
        <f>(G60+I60)/2</f>
        <v>#REF!</v>
      </c>
      <c r="I60" s="54" t="e">
        <f>G60</f>
        <v>#REF!</v>
      </c>
      <c r="J60" s="1"/>
    </row>
    <row r="61" spans="1:10" x14ac:dyDescent="0.25">
      <c r="A61" s="35" t="s">
        <v>40</v>
      </c>
      <c r="B61" s="35" t="e">
        <f>B56*1.2</f>
        <v>#REF!</v>
      </c>
      <c r="C61" s="35" t="e">
        <f>B61</f>
        <v>#REF!</v>
      </c>
      <c r="D61" s="35" t="e">
        <f>C61</f>
        <v>#REF!</v>
      </c>
      <c r="E61" s="1"/>
      <c r="F61" s="35" t="s">
        <v>40</v>
      </c>
      <c r="G61" s="70" t="e">
        <f>D56</f>
        <v>#REF!</v>
      </c>
      <c r="H61" s="54" t="e">
        <f>(G61+I61)/2</f>
        <v>#REF!</v>
      </c>
      <c r="I61" s="35" t="e">
        <f>E56</f>
        <v>#REF!</v>
      </c>
      <c r="J61" s="1"/>
    </row>
    <row r="62" spans="1:10" x14ac:dyDescent="0.25">
      <c r="A62" s="72" t="s">
        <v>41</v>
      </c>
      <c r="B62" s="73" t="e">
        <f t="shared" ref="B62:D63" si="14">B60/$G$55*$H$55</f>
        <v>#REF!</v>
      </c>
      <c r="C62" s="73" t="e">
        <f t="shared" si="14"/>
        <v>#REF!</v>
      </c>
      <c r="D62" s="73" t="e">
        <f t="shared" si="14"/>
        <v>#REF!</v>
      </c>
      <c r="E62" s="1"/>
      <c r="F62" s="72" t="s">
        <v>41</v>
      </c>
      <c r="G62" s="73" t="e">
        <f t="shared" ref="G62:I63" si="15">G60/$G$55*$H$55</f>
        <v>#REF!</v>
      </c>
      <c r="H62" s="73" t="e">
        <f t="shared" si="15"/>
        <v>#REF!</v>
      </c>
      <c r="I62" s="73" t="e">
        <f t="shared" si="15"/>
        <v>#REF!</v>
      </c>
      <c r="J62" s="1"/>
    </row>
    <row r="63" spans="1:10" x14ac:dyDescent="0.25">
      <c r="A63" s="72" t="s">
        <v>42</v>
      </c>
      <c r="B63" s="73" t="e">
        <f t="shared" si="14"/>
        <v>#REF!</v>
      </c>
      <c r="C63" s="73" t="e">
        <f t="shared" si="14"/>
        <v>#REF!</v>
      </c>
      <c r="D63" s="73" t="e">
        <f t="shared" si="14"/>
        <v>#REF!</v>
      </c>
      <c r="E63" s="1"/>
      <c r="F63" s="72" t="s">
        <v>42</v>
      </c>
      <c r="G63" s="73" t="e">
        <f t="shared" si="15"/>
        <v>#REF!</v>
      </c>
      <c r="H63" s="73" t="e">
        <f t="shared" si="15"/>
        <v>#REF!</v>
      </c>
      <c r="I63" s="73" t="e">
        <f t="shared" si="15"/>
        <v>#REF!</v>
      </c>
      <c r="J63" s="1"/>
    </row>
    <row r="64" spans="1:10" x14ac:dyDescent="0.25">
      <c r="A64" s="1"/>
      <c r="B64" s="1"/>
      <c r="C64" s="1"/>
      <c r="D64" s="1"/>
      <c r="E64" s="1"/>
      <c r="F64" s="1"/>
      <c r="G64" s="6"/>
      <c r="H64" s="6"/>
      <c r="I64" s="7"/>
      <c r="J64" s="6"/>
    </row>
    <row r="65" spans="1:10" x14ac:dyDescent="0.25">
      <c r="A65" s="1"/>
      <c r="B65" s="1"/>
      <c r="C65" s="1"/>
      <c r="D65" s="1"/>
      <c r="E65" s="1"/>
      <c r="F65" s="1"/>
      <c r="G65" s="6"/>
      <c r="H65" s="6"/>
      <c r="I65" s="7"/>
      <c r="J65" s="6"/>
    </row>
    <row r="66" spans="1:10" x14ac:dyDescent="0.25">
      <c r="A66" s="1" t="s">
        <v>64</v>
      </c>
      <c r="B66" s="35" t="s">
        <v>53</v>
      </c>
      <c r="C66" s="35" t="s">
        <v>54</v>
      </c>
      <c r="D66" s="35" t="s">
        <v>55</v>
      </c>
      <c r="E66" s="35" t="s">
        <v>56</v>
      </c>
      <c r="F66" s="1"/>
      <c r="G66" s="54" t="s">
        <v>67</v>
      </c>
      <c r="H66" s="54" t="s">
        <v>35</v>
      </c>
      <c r="I66" s="54" t="s">
        <v>36</v>
      </c>
      <c r="J66" s="54" t="s">
        <v>37</v>
      </c>
    </row>
    <row r="67" spans="1:10" x14ac:dyDescent="0.25">
      <c r="A67" s="35" t="s">
        <v>39</v>
      </c>
      <c r="B67" s="35" t="e">
        <f>B55+0.3*'Input Data'!#REF!</f>
        <v>#REF!</v>
      </c>
      <c r="C67" s="35" t="e">
        <f>IF('Input Data'!#REF!=20,0-0.5*'Input Data'!#REF!-0.5*('Input Data'!#REF!-'Input Data'!#REF!),0-0.5*'Input Data'!#REF!)</f>
        <v>#REF!</v>
      </c>
      <c r="D67" s="70" t="e">
        <f>D74</f>
        <v>#REF!</v>
      </c>
      <c r="E67" s="35" t="e">
        <f>-B67</f>
        <v>#REF!</v>
      </c>
      <c r="F67" s="1"/>
      <c r="G67" s="35" t="s">
        <v>39</v>
      </c>
      <c r="H67" s="54" t="e">
        <f>1.5*G60</f>
        <v>#REF!</v>
      </c>
      <c r="I67" s="54" t="e">
        <f>(H67+J67)/2</f>
        <v>#REF!</v>
      </c>
      <c r="J67" s="54" t="e">
        <f>H67</f>
        <v>#REF!</v>
      </c>
    </row>
    <row r="68" spans="1:10" x14ac:dyDescent="0.25">
      <c r="A68" s="35" t="s">
        <v>40</v>
      </c>
      <c r="B68" s="70" t="e">
        <f>B56+ABS('Input Data'!#REF!)</f>
        <v>#REF!</v>
      </c>
      <c r="C68" s="70" t="e">
        <f>B68</f>
        <v>#REF!</v>
      </c>
      <c r="D68" s="70" t="e">
        <f>C68</f>
        <v>#REF!</v>
      </c>
      <c r="E68" s="70" t="e">
        <f>D68</f>
        <v>#REF!</v>
      </c>
      <c r="F68" s="1"/>
      <c r="G68" s="35" t="s">
        <v>40</v>
      </c>
      <c r="H68" s="70" t="e">
        <f>E56</f>
        <v>#REF!</v>
      </c>
      <c r="I68" s="54" t="e">
        <f>(H68+J68)/2</f>
        <v>#REF!</v>
      </c>
      <c r="J68" s="70" t="e">
        <f>E68</f>
        <v>#REF!</v>
      </c>
    </row>
    <row r="69" spans="1:10" x14ac:dyDescent="0.25">
      <c r="A69" s="72" t="s">
        <v>41</v>
      </c>
      <c r="B69" s="73" t="e">
        <f t="shared" ref="B69:E70" si="16">B67/$G$55*$H$55</f>
        <v>#REF!</v>
      </c>
      <c r="C69" s="73" t="e">
        <f t="shared" si="16"/>
        <v>#REF!</v>
      </c>
      <c r="D69" s="73" t="e">
        <f t="shared" si="16"/>
        <v>#REF!</v>
      </c>
      <c r="E69" s="73" t="e">
        <f t="shared" si="16"/>
        <v>#REF!</v>
      </c>
      <c r="F69" s="6"/>
      <c r="G69" s="72" t="s">
        <v>41</v>
      </c>
      <c r="H69" s="73" t="e">
        <f t="shared" ref="H69:J70" si="17">H67/$G$55*$H$55</f>
        <v>#REF!</v>
      </c>
      <c r="I69" s="73" t="e">
        <f t="shared" si="17"/>
        <v>#REF!</v>
      </c>
      <c r="J69" s="73" t="e">
        <f t="shared" si="17"/>
        <v>#REF!</v>
      </c>
    </row>
    <row r="70" spans="1:10" x14ac:dyDescent="0.25">
      <c r="A70" s="72" t="s">
        <v>42</v>
      </c>
      <c r="B70" s="73" t="e">
        <f t="shared" si="16"/>
        <v>#REF!</v>
      </c>
      <c r="C70" s="73" t="e">
        <f t="shared" si="16"/>
        <v>#REF!</v>
      </c>
      <c r="D70" s="73" t="e">
        <f t="shared" si="16"/>
        <v>#REF!</v>
      </c>
      <c r="E70" s="73" t="e">
        <f t="shared" si="16"/>
        <v>#REF!</v>
      </c>
      <c r="F70" s="6"/>
      <c r="G70" s="72" t="s">
        <v>42</v>
      </c>
      <c r="H70" s="73" t="e">
        <f t="shared" si="17"/>
        <v>#REF!</v>
      </c>
      <c r="I70" s="73" t="e">
        <f t="shared" si="17"/>
        <v>#REF!</v>
      </c>
      <c r="J70" s="73" t="e">
        <f t="shared" si="17"/>
        <v>#REF!</v>
      </c>
    </row>
    <row r="71" spans="1:1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</row>
    <row r="72" spans="1:10" x14ac:dyDescent="0.25">
      <c r="A72" s="8"/>
      <c r="B72" s="8"/>
      <c r="C72" s="8"/>
      <c r="D72" s="8"/>
      <c r="E72" s="8"/>
      <c r="F72" s="8"/>
      <c r="G72" s="1"/>
      <c r="H72" s="1"/>
      <c r="I72" s="1"/>
      <c r="J72" s="1"/>
    </row>
    <row r="73" spans="1:10" x14ac:dyDescent="0.25">
      <c r="A73" s="2" t="s">
        <v>63</v>
      </c>
      <c r="B73" s="37" t="s">
        <v>43</v>
      </c>
      <c r="C73" s="37" t="s">
        <v>57</v>
      </c>
      <c r="D73" s="37" t="s">
        <v>58</v>
      </c>
      <c r="E73" s="37" t="s">
        <v>59</v>
      </c>
      <c r="F73" s="2"/>
      <c r="G73" s="54" t="s">
        <v>70</v>
      </c>
      <c r="H73" s="54" t="s">
        <v>35</v>
      </c>
      <c r="I73" s="54" t="s">
        <v>36</v>
      </c>
      <c r="J73" s="54" t="s">
        <v>37</v>
      </c>
    </row>
    <row r="74" spans="1:10" x14ac:dyDescent="0.25">
      <c r="A74" s="35" t="s">
        <v>39</v>
      </c>
      <c r="B74" s="56" t="e">
        <f>IF('Input Data'!#REF!=20,-0.5*'Input Data'!#REF!-0.5*('Input Data'!#REF!-'Input Data'!#REF!),-0.5*'Input Data'!#REF!)</f>
        <v>#REF!</v>
      </c>
      <c r="C74" s="56" t="e">
        <f>B74</f>
        <v>#REF!</v>
      </c>
      <c r="D74" s="74" t="e">
        <f>C74+'Input Data'!#REF!</f>
        <v>#REF!</v>
      </c>
      <c r="E74" s="56" t="e">
        <f>D74</f>
        <v>#REF!</v>
      </c>
      <c r="F74" s="8"/>
      <c r="G74" s="35" t="s">
        <v>39</v>
      </c>
      <c r="H74" s="54" t="e">
        <f>C74</f>
        <v>#REF!</v>
      </c>
      <c r="I74" s="54" t="e">
        <f>(H74+J74)/2</f>
        <v>#REF!</v>
      </c>
      <c r="J74" s="54" t="e">
        <f>D74</f>
        <v>#REF!</v>
      </c>
    </row>
    <row r="75" spans="1:10" x14ac:dyDescent="0.25">
      <c r="A75" s="35" t="s">
        <v>40</v>
      </c>
      <c r="B75" s="35" t="e">
        <f>C56</f>
        <v>#REF!</v>
      </c>
      <c r="C75" s="70" t="e">
        <f>C68-'Input Data'!#REF!*0.2</f>
        <v>#REF!</v>
      </c>
      <c r="D75" s="70" t="e">
        <f>C75</f>
        <v>#REF!</v>
      </c>
      <c r="E75" s="35" t="e">
        <f>C56</f>
        <v>#REF!</v>
      </c>
      <c r="F75" s="1"/>
      <c r="G75" s="35" t="s">
        <v>40</v>
      </c>
      <c r="H75" s="35" t="e">
        <f>1.2*C75</f>
        <v>#REF!</v>
      </c>
      <c r="I75" s="35" t="e">
        <f>H75</f>
        <v>#REF!</v>
      </c>
      <c r="J75" s="35" t="e">
        <f>I75</f>
        <v>#REF!</v>
      </c>
    </row>
    <row r="76" spans="1:10" x14ac:dyDescent="0.25">
      <c r="A76" s="72" t="s">
        <v>41</v>
      </c>
      <c r="B76" s="73" t="e">
        <f t="shared" ref="B76:E77" si="18">B74/$G$55*$H$55</f>
        <v>#REF!</v>
      </c>
      <c r="C76" s="73" t="e">
        <f t="shared" si="18"/>
        <v>#REF!</v>
      </c>
      <c r="D76" s="73" t="e">
        <f t="shared" si="18"/>
        <v>#REF!</v>
      </c>
      <c r="E76" s="73" t="e">
        <f t="shared" si="18"/>
        <v>#REF!</v>
      </c>
      <c r="F76" s="1"/>
      <c r="G76" s="72" t="s">
        <v>41</v>
      </c>
      <c r="H76" s="73" t="e">
        <f t="shared" ref="H76:J77" si="19">H74/$G$55*$H$55</f>
        <v>#REF!</v>
      </c>
      <c r="I76" s="73" t="e">
        <f t="shared" si="19"/>
        <v>#REF!</v>
      </c>
      <c r="J76" s="73" t="e">
        <f t="shared" si="19"/>
        <v>#REF!</v>
      </c>
    </row>
    <row r="77" spans="1:10" x14ac:dyDescent="0.25">
      <c r="A77" s="72" t="s">
        <v>42</v>
      </c>
      <c r="B77" s="73" t="e">
        <f t="shared" si="18"/>
        <v>#REF!</v>
      </c>
      <c r="C77" s="73" t="e">
        <f t="shared" si="18"/>
        <v>#REF!</v>
      </c>
      <c r="D77" s="73" t="e">
        <f t="shared" si="18"/>
        <v>#REF!</v>
      </c>
      <c r="E77" s="73" t="e">
        <f t="shared" si="18"/>
        <v>#REF!</v>
      </c>
      <c r="F77" s="1"/>
      <c r="G77" s="72" t="s">
        <v>42</v>
      </c>
      <c r="H77" s="73" t="e">
        <f t="shared" si="19"/>
        <v>#REF!</v>
      </c>
      <c r="I77" s="73" t="e">
        <f t="shared" si="19"/>
        <v>#REF!</v>
      </c>
      <c r="J77" s="73" t="e">
        <f t="shared" si="19"/>
        <v>#REF!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D4083-1A77-4DDC-BED4-E83713AC0BFD}">
  <sheetPr>
    <tabColor theme="9"/>
  </sheetPr>
  <dimension ref="A1:J94"/>
  <sheetViews>
    <sheetView showGridLines="0" topLeftCell="A67" zoomScaleNormal="100" workbookViewId="0">
      <selection activeCell="M13" sqref="M13"/>
    </sheetView>
  </sheetViews>
  <sheetFormatPr defaultColWidth="8.85546875" defaultRowHeight="18.75" customHeight="1" x14ac:dyDescent="0.25"/>
  <cols>
    <col min="1" max="1" width="6.7109375" style="10" customWidth="1"/>
    <col min="2" max="6" width="13.5703125" style="1" customWidth="1"/>
    <col min="7" max="7" width="14.28515625" style="1" customWidth="1"/>
    <col min="8" max="8" width="15" style="1" bestFit="1" customWidth="1"/>
    <col min="9" max="9" width="10.85546875" style="34" customWidth="1"/>
    <col min="10" max="10" width="8.85546875" style="15"/>
    <col min="11" max="16384" width="8.85546875" style="1"/>
  </cols>
  <sheetData>
    <row r="1" spans="1:10" ht="18.75" customHeight="1" x14ac:dyDescent="0.25">
      <c r="A1" s="85" t="s">
        <v>4</v>
      </c>
      <c r="B1" s="129" t="s">
        <v>7</v>
      </c>
      <c r="C1" s="129"/>
      <c r="D1" s="129"/>
      <c r="E1" s="129"/>
      <c r="F1" s="129"/>
      <c r="G1" s="78" t="s">
        <v>8</v>
      </c>
      <c r="H1" s="78" t="s">
        <v>9</v>
      </c>
      <c r="I1" s="79" t="s">
        <v>10</v>
      </c>
      <c r="J1" s="1"/>
    </row>
    <row r="2" spans="1:10" ht="18.75" customHeight="1" x14ac:dyDescent="0.25">
      <c r="A2" s="31" t="s">
        <v>12</v>
      </c>
      <c r="B2" s="80" t="s">
        <v>152</v>
      </c>
      <c r="C2" s="81"/>
      <c r="D2" s="81"/>
      <c r="E2" s="81"/>
      <c r="F2" s="81"/>
      <c r="G2" s="81"/>
      <c r="H2" s="81"/>
      <c r="I2" s="32"/>
      <c r="J2" s="1"/>
    </row>
    <row r="3" spans="1:10" ht="18.75" customHeight="1" x14ac:dyDescent="0.25">
      <c r="A3" s="27" t="s">
        <v>73</v>
      </c>
      <c r="B3" s="82" t="s">
        <v>149</v>
      </c>
      <c r="C3" s="83"/>
      <c r="D3" s="83"/>
      <c r="E3" s="83"/>
      <c r="F3" s="83"/>
      <c r="G3" s="83"/>
      <c r="H3" s="26"/>
      <c r="I3" s="77"/>
      <c r="J3" s="1"/>
    </row>
    <row r="4" spans="1:10" ht="18.75" customHeight="1" x14ac:dyDescent="0.25">
      <c r="A4" s="23"/>
      <c r="B4" s="1" t="s">
        <v>94</v>
      </c>
      <c r="G4" s="18"/>
      <c r="I4" s="159"/>
      <c r="J4" s="163"/>
    </row>
    <row r="5" spans="1:10" ht="18.75" customHeight="1" x14ac:dyDescent="0.25">
      <c r="A5" s="23"/>
      <c r="B5" s="45" t="s">
        <v>100</v>
      </c>
      <c r="G5" s="18" t="s">
        <v>101</v>
      </c>
      <c r="H5" s="33">
        <f>IF('Input Data'!H16&gt;10,('Input Data'!H14+'Input Data'!H15)/2,"-")</f>
        <v>11.152000000000001</v>
      </c>
      <c r="I5" s="159" t="s">
        <v>1</v>
      </c>
      <c r="J5" s="163"/>
    </row>
    <row r="6" spans="1:10" ht="18.75" customHeight="1" x14ac:dyDescent="0.25">
      <c r="A6" s="23"/>
      <c r="B6" s="45" t="s">
        <v>103</v>
      </c>
      <c r="G6" s="18" t="s">
        <v>102</v>
      </c>
      <c r="H6" s="33" t="str">
        <f>IF('Input Data'!H16&lt;=10,'Input Data'!H15,"-")</f>
        <v>-</v>
      </c>
      <c r="I6" s="159" t="s">
        <v>1</v>
      </c>
      <c r="J6" s="163"/>
    </row>
    <row r="7" spans="1:10" ht="18.75" customHeight="1" x14ac:dyDescent="0.25">
      <c r="A7" s="22"/>
      <c r="B7" s="1" t="s">
        <v>150</v>
      </c>
      <c r="E7" s="40"/>
      <c r="F7" s="102"/>
      <c r="G7" s="40"/>
      <c r="I7" s="160"/>
      <c r="J7" s="164"/>
    </row>
    <row r="8" spans="1:10" ht="18.75" customHeight="1" x14ac:dyDescent="0.25">
      <c r="A8" s="22"/>
      <c r="C8" s="19" t="s">
        <v>151</v>
      </c>
      <c r="D8" s="38" t="s">
        <v>0</v>
      </c>
      <c r="E8" s="11">
        <f>MAX(H5:H6)</f>
        <v>11.152000000000001</v>
      </c>
      <c r="F8" s="12" t="str">
        <f>IF(H5&lt;=18.3,"≤","&gt;")</f>
        <v>≤</v>
      </c>
      <c r="G8" s="105">
        <v>18.3</v>
      </c>
      <c r="H8" s="38" t="str">
        <f>IF(E8&lt;=G8,"→      OK","→      NOT OK")</f>
        <v>→      OK</v>
      </c>
      <c r="J8" s="164"/>
    </row>
    <row r="9" spans="1:10" ht="18.75" customHeight="1" x14ac:dyDescent="0.25">
      <c r="A9" s="22"/>
      <c r="C9" s="6"/>
      <c r="I9" s="160"/>
      <c r="J9" s="164"/>
    </row>
    <row r="10" spans="1:10" ht="18.75" customHeight="1" x14ac:dyDescent="0.25">
      <c r="A10" s="27" t="s">
        <v>157</v>
      </c>
      <c r="B10" s="82" t="s">
        <v>138</v>
      </c>
      <c r="C10" s="83"/>
      <c r="D10" s="83"/>
      <c r="E10" s="83"/>
      <c r="F10" s="83"/>
      <c r="G10" s="83"/>
      <c r="H10" s="26"/>
      <c r="I10" s="161"/>
      <c r="J10" s="164"/>
    </row>
    <row r="11" spans="1:10" ht="18.75" customHeight="1" x14ac:dyDescent="0.25">
      <c r="A11" s="23"/>
      <c r="B11" s="1" t="s">
        <v>87</v>
      </c>
      <c r="G11" s="88" t="s">
        <v>133</v>
      </c>
      <c r="H11" s="4" cm="1">
        <f t="array" ref="H11">IF('Input Data'!G11:G11="BANGUNAN TERTUTUP",0.18,IF('Input Data'!G11:G11="BANGUNAN TERTUTUP SEBAGIAN",0.55,IF('Input Data'!G11:G11="BANGUNAN TERBUKA SEBAGIAN",0.18,IF('Input Data'!G11:G11="BANGUNAN TERBUKA",0,"-"))))</f>
        <v>0.18</v>
      </c>
      <c r="I11" s="162"/>
      <c r="J11" s="164"/>
    </row>
    <row r="12" spans="1:10" ht="18.75" customHeight="1" x14ac:dyDescent="0.25">
      <c r="A12" s="23"/>
      <c r="B12" s="1" t="s">
        <v>88</v>
      </c>
      <c r="G12" s="88" t="s">
        <v>132</v>
      </c>
      <c r="H12" s="4" cm="1">
        <f t="array" ref="H12">IF('Input Data'!G11:G11="BANGUNAN TERTUTUP",-0.18,IF('Input Data'!G11:G11="BANGUNAN TERTUTUP SEBAGIAN",-0.55,IF('Input Data'!G11:G11="BANGUNAN TERBUKA SEBAGIAN",-0.18,IF('Input Data'!G11:G11="BANGUNAN TERBUKA",0,"-"))))</f>
        <v>-0.18</v>
      </c>
      <c r="I12" s="162"/>
      <c r="J12" s="164"/>
    </row>
    <row r="13" spans="1:10" ht="18.75" customHeight="1" x14ac:dyDescent="0.25">
      <c r="A13" s="23"/>
      <c r="G13" s="88"/>
      <c r="H13" s="70"/>
      <c r="I13" s="162"/>
      <c r="J13" s="164"/>
    </row>
    <row r="14" spans="1:10" ht="18.75" customHeight="1" x14ac:dyDescent="0.25">
      <c r="A14" s="23"/>
      <c r="B14" s="34" t="s">
        <v>135</v>
      </c>
      <c r="G14" s="18"/>
      <c r="H14" s="35"/>
      <c r="I14" s="159"/>
      <c r="J14" s="163"/>
    </row>
    <row r="15" spans="1:10" ht="18.75" customHeight="1" x14ac:dyDescent="0.25">
      <c r="A15" s="23"/>
      <c r="B15" s="45"/>
      <c r="G15" s="18" t="s">
        <v>128</v>
      </c>
      <c r="H15" s="33">
        <f>IF('Input Data'!H7="B",7,IF('Input Data'!H7="C",9.5,IF('Input Data'!H7="D",11.5,"-")))</f>
        <v>9.5</v>
      </c>
      <c r="I15" s="159" t="s">
        <v>1</v>
      </c>
      <c r="J15" s="163"/>
    </row>
    <row r="16" spans="1:10" ht="18.75" customHeight="1" x14ac:dyDescent="0.25">
      <c r="A16" s="23"/>
      <c r="B16" s="45"/>
      <c r="G16" s="18" t="s">
        <v>127</v>
      </c>
      <c r="H16" s="33">
        <f>IF('Input Data'!H7="B",365.76,IF('Input Data'!H7="C",274.32,IF('Input Data'!H7="D",213.36,"-")))</f>
        <v>274.32</v>
      </c>
      <c r="I16" s="159" t="s">
        <v>1</v>
      </c>
      <c r="J16" s="163"/>
    </row>
    <row r="17" spans="1:10" ht="18.75" customHeight="1" x14ac:dyDescent="0.25">
      <c r="A17" s="23"/>
      <c r="B17" s="45"/>
      <c r="G17" s="18" t="s">
        <v>129</v>
      </c>
      <c r="H17" s="33">
        <f>MAX(H5:H6)</f>
        <v>11.152000000000001</v>
      </c>
      <c r="I17" s="159" t="s">
        <v>1</v>
      </c>
      <c r="J17" s="163"/>
    </row>
    <row r="18" spans="1:10" ht="18.75" customHeight="1" x14ac:dyDescent="0.25">
      <c r="A18" s="23"/>
      <c r="B18" s="1" t="s">
        <v>124</v>
      </c>
      <c r="I18" s="159"/>
      <c r="J18" s="164"/>
    </row>
    <row r="19" spans="1:10" ht="18.75" customHeight="1" x14ac:dyDescent="0.25">
      <c r="A19" s="23"/>
      <c r="B19" s="45" t="s">
        <v>125</v>
      </c>
      <c r="G19" s="18" t="s">
        <v>136</v>
      </c>
      <c r="H19" s="98">
        <f>IF(AND(H17&gt;=4.6,H17&lt;=H16),2.01*(H17/H16)^(2/H15),"-")</f>
        <v>1.0241746282886464</v>
      </c>
      <c r="I19" s="159"/>
      <c r="J19" s="164"/>
    </row>
    <row r="20" spans="1:10" ht="18.75" customHeight="1" x14ac:dyDescent="0.25">
      <c r="A20" s="23"/>
      <c r="B20" s="45" t="s">
        <v>126</v>
      </c>
      <c r="G20" s="18" t="s">
        <v>137</v>
      </c>
      <c r="H20" s="33" t="str">
        <f>IF(H17&lt;4.6,2.01*(15*H17/H16)^(2/H15),"-")</f>
        <v>-</v>
      </c>
      <c r="I20" s="159"/>
      <c r="J20" s="164"/>
    </row>
    <row r="21" spans="1:10" ht="18.75" customHeight="1" x14ac:dyDescent="0.25">
      <c r="A21" s="23"/>
      <c r="B21" s="1" t="s">
        <v>93</v>
      </c>
      <c r="G21" s="18" t="s">
        <v>114</v>
      </c>
      <c r="H21" s="98">
        <f>0.613*MAX(H19:H20)*'Input Data'!H8*'Input Data'!H6*'Input Data'!H9*'Input Data'!H5^2</f>
        <v>853.83390411167852</v>
      </c>
      <c r="I21" s="159" t="s">
        <v>130</v>
      </c>
      <c r="J21" s="163"/>
    </row>
    <row r="22" spans="1:10" ht="18.75" customHeight="1" x14ac:dyDescent="0.25">
      <c r="A22" s="23"/>
      <c r="G22" s="18"/>
      <c r="I22" s="159"/>
      <c r="J22" s="163"/>
    </row>
    <row r="23" spans="1:10" ht="18.75" customHeight="1" x14ac:dyDescent="0.25">
      <c r="A23" s="23"/>
      <c r="G23" s="18"/>
      <c r="I23" s="17"/>
    </row>
    <row r="24" spans="1:10" ht="18.75" customHeight="1" x14ac:dyDescent="0.25">
      <c r="A24" s="23"/>
      <c r="E24" s="35" t="s">
        <v>153</v>
      </c>
      <c r="G24" s="18"/>
      <c r="I24" s="17"/>
    </row>
    <row r="25" spans="1:10" ht="18.75" customHeight="1" x14ac:dyDescent="0.25">
      <c r="A25" s="23"/>
      <c r="G25" s="18"/>
      <c r="I25" s="17"/>
    </row>
    <row r="26" spans="1:10" ht="18.75" customHeight="1" x14ac:dyDescent="0.25">
      <c r="A26" s="23"/>
      <c r="G26" s="18"/>
      <c r="I26" s="17"/>
    </row>
    <row r="27" spans="1:10" ht="18.75" customHeight="1" x14ac:dyDescent="0.25">
      <c r="A27" s="23"/>
      <c r="G27" s="18"/>
      <c r="I27" s="17"/>
    </row>
    <row r="28" spans="1:10" ht="18.75" customHeight="1" x14ac:dyDescent="0.25">
      <c r="A28" s="23"/>
      <c r="G28" s="18"/>
      <c r="I28" s="17"/>
    </row>
    <row r="29" spans="1:10" ht="18.75" customHeight="1" x14ac:dyDescent="0.25">
      <c r="A29" s="23"/>
      <c r="G29" s="18"/>
      <c r="I29" s="17"/>
    </row>
    <row r="30" spans="1:10" ht="18.75" customHeight="1" x14ac:dyDescent="0.25">
      <c r="A30" s="23"/>
      <c r="G30" s="18"/>
      <c r="I30" s="17"/>
    </row>
    <row r="31" spans="1:10" ht="18.75" customHeight="1" x14ac:dyDescent="0.25">
      <c r="A31" s="23"/>
      <c r="G31" s="18"/>
      <c r="I31" s="17"/>
    </row>
    <row r="32" spans="1:10" ht="18.75" customHeight="1" x14ac:dyDescent="0.25">
      <c r="A32" s="23"/>
      <c r="G32" s="18"/>
      <c r="I32" s="17"/>
    </row>
    <row r="33" spans="1:9" ht="18.75" customHeight="1" x14ac:dyDescent="0.25">
      <c r="A33" s="23"/>
      <c r="G33" s="18"/>
      <c r="I33" s="17"/>
    </row>
    <row r="34" spans="1:9" ht="18.75" customHeight="1" x14ac:dyDescent="0.25">
      <c r="A34" s="23"/>
      <c r="G34" s="18"/>
      <c r="I34" s="17"/>
    </row>
    <row r="35" spans="1:9" ht="18.75" customHeight="1" x14ac:dyDescent="0.25">
      <c r="A35" s="23"/>
      <c r="G35" s="18"/>
      <c r="I35" s="17"/>
    </row>
    <row r="36" spans="1:9" ht="18.75" customHeight="1" x14ac:dyDescent="0.25">
      <c r="A36" s="23"/>
      <c r="G36" s="18"/>
      <c r="I36" s="17"/>
    </row>
    <row r="37" spans="1:9" ht="18.75" customHeight="1" x14ac:dyDescent="0.25">
      <c r="A37" s="23"/>
      <c r="G37" s="18"/>
      <c r="I37" s="17"/>
    </row>
    <row r="38" spans="1:9" ht="18.75" customHeight="1" x14ac:dyDescent="0.25">
      <c r="A38" s="23"/>
      <c r="G38" s="18"/>
      <c r="I38" s="17"/>
    </row>
    <row r="39" spans="1:9" ht="18.75" customHeight="1" x14ac:dyDescent="0.25">
      <c r="A39" s="23"/>
      <c r="G39" s="18"/>
      <c r="I39" s="17"/>
    </row>
    <row r="40" spans="1:9" ht="18.75" customHeight="1" x14ac:dyDescent="0.25">
      <c r="A40" s="23"/>
      <c r="G40" s="18"/>
      <c r="I40" s="17"/>
    </row>
    <row r="41" spans="1:9" ht="18.75" customHeight="1" x14ac:dyDescent="0.25">
      <c r="A41" s="23"/>
      <c r="G41" s="18"/>
      <c r="I41" s="17"/>
    </row>
    <row r="42" spans="1:9" ht="18.75" customHeight="1" x14ac:dyDescent="0.25">
      <c r="A42" s="23"/>
      <c r="G42" s="18"/>
      <c r="I42" s="17"/>
    </row>
    <row r="43" spans="1:9" ht="18.75" customHeight="1" x14ac:dyDescent="0.25">
      <c r="A43" s="23"/>
      <c r="G43" s="18"/>
      <c r="I43" s="17"/>
    </row>
    <row r="44" spans="1:9" ht="18.75" customHeight="1" x14ac:dyDescent="0.25">
      <c r="A44" s="23"/>
      <c r="G44" s="18"/>
      <c r="I44" s="17"/>
    </row>
    <row r="45" spans="1:9" ht="18.75" customHeight="1" x14ac:dyDescent="0.25">
      <c r="A45" s="23"/>
      <c r="G45" s="18"/>
      <c r="I45" s="17"/>
    </row>
    <row r="46" spans="1:9" ht="18.75" customHeight="1" x14ac:dyDescent="0.25">
      <c r="A46" s="23"/>
      <c r="G46" s="18"/>
      <c r="I46" s="17"/>
    </row>
    <row r="47" spans="1:9" ht="18.75" customHeight="1" x14ac:dyDescent="0.25">
      <c r="A47" s="23"/>
      <c r="G47" s="18"/>
      <c r="I47" s="17"/>
    </row>
    <row r="48" spans="1:9" ht="18.75" customHeight="1" x14ac:dyDescent="0.25">
      <c r="A48" s="23"/>
      <c r="G48" s="18"/>
      <c r="I48" s="17"/>
    </row>
    <row r="49" spans="1:9" ht="18.75" customHeight="1" x14ac:dyDescent="0.25">
      <c r="A49" s="23"/>
      <c r="G49" s="18"/>
      <c r="I49" s="17"/>
    </row>
    <row r="50" spans="1:9" ht="18.75" customHeight="1" x14ac:dyDescent="0.25">
      <c r="A50" s="23"/>
      <c r="G50" s="18"/>
      <c r="I50" s="17"/>
    </row>
    <row r="51" spans="1:9" ht="18.75" customHeight="1" x14ac:dyDescent="0.25">
      <c r="A51" s="23"/>
      <c r="G51" s="18"/>
      <c r="I51" s="17"/>
    </row>
    <row r="52" spans="1:9" ht="18.75" customHeight="1" x14ac:dyDescent="0.25">
      <c r="A52" s="23"/>
      <c r="G52" s="18"/>
      <c r="I52" s="17"/>
    </row>
    <row r="53" spans="1:9" ht="18.75" customHeight="1" x14ac:dyDescent="0.25">
      <c r="A53" s="23"/>
      <c r="G53" s="18"/>
      <c r="I53" s="17"/>
    </row>
    <row r="54" spans="1:9" ht="18.75" customHeight="1" x14ac:dyDescent="0.25">
      <c r="A54" s="23"/>
      <c r="G54" s="18"/>
      <c r="I54" s="17"/>
    </row>
    <row r="55" spans="1:9" ht="18.75" customHeight="1" x14ac:dyDescent="0.25">
      <c r="A55" s="23"/>
      <c r="B55" s="43" t="s">
        <v>113</v>
      </c>
      <c r="G55" s="18"/>
      <c r="I55" s="17"/>
    </row>
    <row r="56" spans="1:9" ht="18.75" customHeight="1" x14ac:dyDescent="0.25">
      <c r="A56" s="23"/>
      <c r="B56" s="139" t="s">
        <v>104</v>
      </c>
      <c r="C56" s="138" t="s">
        <v>105</v>
      </c>
      <c r="D56" s="138"/>
      <c r="E56" s="138"/>
      <c r="F56" s="138"/>
      <c r="G56" s="18"/>
      <c r="I56" s="17"/>
    </row>
    <row r="57" spans="1:9" ht="15" x14ac:dyDescent="0.25">
      <c r="A57" s="23"/>
      <c r="B57" s="140"/>
      <c r="C57" s="91">
        <v>1</v>
      </c>
      <c r="D57" s="91">
        <v>2</v>
      </c>
      <c r="E57" s="91">
        <v>3</v>
      </c>
      <c r="F57" s="91">
        <v>4</v>
      </c>
      <c r="G57" s="18"/>
      <c r="I57" s="17"/>
    </row>
    <row r="58" spans="1:9" ht="18.75" customHeight="1" x14ac:dyDescent="0.25">
      <c r="A58" s="23"/>
      <c r="B58" s="92">
        <f>'Input Data'!H16</f>
        <v>17</v>
      </c>
      <c r="C58" s="4">
        <f>IF(AND(B58&gt;=0,B58&lt;=5),0.4,IF(AND(B58&gt;5,B58&lt;30),0.53,IF(AND(B58&gt;=30,B58&lt;=45),0.56,IF(AND(B58&gt;45,B58&lt;=90),0.56,"-"))))</f>
        <v>0.53</v>
      </c>
      <c r="D58" s="4">
        <f>IF(AND(B58&gt;=0,B58&lt;=5),-0.69,IF(AND(B58&gt;5,B58&lt;30),-0.69,IF(AND(B58&gt;=30,B58&lt;=45),0.21,IF(AND(B58&gt;45,B58&lt;=90),0.56,"-"))))</f>
        <v>-0.69</v>
      </c>
      <c r="E58" s="75">
        <f>IF(AND(B58&gt;=0,B58&lt;=5),-0.37,IF(AND(B58&gt;5,B58&lt;30),-0.48,IF(AND(B58&gt;=30,B58&lt;=45),-0.43,IF(AND(B58&gt;45,B58&lt;=90),-0.37,"-"))))</f>
        <v>-0.48</v>
      </c>
      <c r="F58" s="75">
        <f>IF(AND(B58&gt;=0,B58&lt;=5),-0.29,IF(AND(B58&gt;5,B58&lt;30),-0.43,IF(AND(B58&gt;=30,B58&lt;=45),-0.37,IF(AND(B58&gt;45,B58&lt;=90),-0.37,"-"))))</f>
        <v>-0.43</v>
      </c>
      <c r="G58" s="18"/>
      <c r="I58" s="17"/>
    </row>
    <row r="59" spans="1:9" ht="18.75" customHeight="1" x14ac:dyDescent="0.25">
      <c r="A59" s="23"/>
      <c r="G59" s="18"/>
      <c r="I59" s="17"/>
    </row>
    <row r="60" spans="1:9" ht="18.75" customHeight="1" x14ac:dyDescent="0.25">
      <c r="A60" s="23"/>
      <c r="B60" s="139" t="s">
        <v>104</v>
      </c>
      <c r="C60" s="138" t="s">
        <v>105</v>
      </c>
      <c r="D60" s="138"/>
      <c r="E60" s="138"/>
      <c r="F60" s="138"/>
      <c r="G60" s="18"/>
      <c r="I60" s="17"/>
    </row>
    <row r="61" spans="1:9" ht="18.75" customHeight="1" x14ac:dyDescent="0.25">
      <c r="A61" s="23"/>
      <c r="B61" s="140"/>
      <c r="C61" s="91" t="s">
        <v>106</v>
      </c>
      <c r="D61" s="91" t="s">
        <v>107</v>
      </c>
      <c r="E61" s="91" t="s">
        <v>108</v>
      </c>
      <c r="F61" s="91" t="s">
        <v>109</v>
      </c>
      <c r="G61" s="18"/>
      <c r="I61" s="17"/>
    </row>
    <row r="62" spans="1:9" ht="18.75" customHeight="1" x14ac:dyDescent="0.25">
      <c r="A62" s="23"/>
      <c r="B62" s="92">
        <f>'Input Data'!H16</f>
        <v>17</v>
      </c>
      <c r="C62" s="4">
        <f>IF(AND(B62&gt;=0,B62&lt;=5),0.61,IF(AND(B62&gt;5,B62&lt;30),0.8,IF(AND(B62&gt;=30,B62&lt;=45),0.69,IF(AND(B62&gt;45,B62&lt;=90),0.69,"-"))))</f>
        <v>0.8</v>
      </c>
      <c r="D62" s="4">
        <f>IF(AND(B62&gt;=0,B62&lt;=5),-1.07,IF(AND(B62&gt;5,B62&lt;30),-1.07,IF(AND(B62&gt;=30,B62&lt;=45),0.27,IF(AND(B62&gt;45,B62&lt;=90),0.69,"-"))))</f>
        <v>-1.07</v>
      </c>
      <c r="E62" s="75">
        <f>IF(AND(B62&gt;=0,B62&lt;=5),-0.53,IF(AND(B62&gt;5,B62&lt;30),-0.69,IF(AND(B62&gt;=30,B62&lt;=45),-0.53,IF(AND(B62&gt;45,B62&lt;=90),-0.48,"-"))))</f>
        <v>-0.69</v>
      </c>
      <c r="F62" s="75">
        <f>IF(AND(B62&gt;=0,B62&lt;=5),-0.43,IF(AND(B62&gt;5,B62&lt;30),-0.64,IF(AND(B62&gt;=30,B62&lt;=45),-0.48,IF(AND(B62&gt;45,B62&lt;=90),-0.48,"-"))))</f>
        <v>-0.64</v>
      </c>
      <c r="G62" s="18"/>
      <c r="I62" s="17"/>
    </row>
    <row r="63" spans="1:9" ht="18.75" customHeight="1" x14ac:dyDescent="0.25">
      <c r="A63" s="23"/>
      <c r="G63" s="18"/>
      <c r="I63" s="17"/>
    </row>
    <row r="64" spans="1:9" ht="18.75" customHeight="1" x14ac:dyDescent="0.25">
      <c r="A64" s="23"/>
      <c r="B64" s="43" t="s">
        <v>112</v>
      </c>
      <c r="G64" s="18"/>
      <c r="I64" s="17"/>
    </row>
    <row r="65" spans="1:9" ht="18.75" customHeight="1" x14ac:dyDescent="0.25">
      <c r="A65" s="23"/>
      <c r="B65" s="139" t="s">
        <v>104</v>
      </c>
      <c r="C65" s="138" t="s">
        <v>105</v>
      </c>
      <c r="D65" s="138"/>
      <c r="E65" s="138"/>
      <c r="F65" s="138"/>
      <c r="G65" s="138"/>
      <c r="H65" s="138"/>
      <c r="I65" s="17"/>
    </row>
    <row r="66" spans="1:9" ht="18.75" customHeight="1" x14ac:dyDescent="0.25">
      <c r="A66" s="23"/>
      <c r="B66" s="140"/>
      <c r="C66" s="91">
        <v>1</v>
      </c>
      <c r="D66" s="91">
        <v>2</v>
      </c>
      <c r="E66" s="91">
        <v>3</v>
      </c>
      <c r="F66" s="91">
        <v>4</v>
      </c>
      <c r="G66" s="91">
        <v>5</v>
      </c>
      <c r="H66" s="91">
        <v>6</v>
      </c>
      <c r="I66" s="17"/>
    </row>
    <row r="67" spans="1:9" ht="18.75" customHeight="1" x14ac:dyDescent="0.25">
      <c r="A67" s="23"/>
      <c r="B67" s="92">
        <f>'Input Data'!H16</f>
        <v>17</v>
      </c>
      <c r="C67" s="4">
        <v>-0.45</v>
      </c>
      <c r="D67" s="4">
        <v>-0.69</v>
      </c>
      <c r="E67" s="75">
        <v>-0.37</v>
      </c>
      <c r="F67" s="75">
        <v>-0.45</v>
      </c>
      <c r="G67" s="75">
        <v>0.4</v>
      </c>
      <c r="H67" s="75">
        <v>-0.28999999999999998</v>
      </c>
      <c r="I67" s="17"/>
    </row>
    <row r="68" spans="1:9" ht="18.75" customHeight="1" x14ac:dyDescent="0.25">
      <c r="A68" s="23"/>
      <c r="G68" s="18"/>
      <c r="I68" s="17"/>
    </row>
    <row r="69" spans="1:9" ht="20.45" customHeight="1" x14ac:dyDescent="0.25">
      <c r="A69" s="23"/>
      <c r="B69" s="139" t="s">
        <v>104</v>
      </c>
      <c r="C69" s="138" t="s">
        <v>105</v>
      </c>
      <c r="D69" s="138"/>
      <c r="E69" s="138"/>
      <c r="F69" s="138"/>
      <c r="G69" s="138"/>
      <c r="H69" s="138"/>
      <c r="I69" s="17"/>
    </row>
    <row r="70" spans="1:9" ht="18.600000000000001" customHeight="1" x14ac:dyDescent="0.25">
      <c r="A70" s="23"/>
      <c r="B70" s="140"/>
      <c r="C70" s="91" t="s">
        <v>106</v>
      </c>
      <c r="D70" s="91" t="s">
        <v>107</v>
      </c>
      <c r="E70" s="91" t="s">
        <v>108</v>
      </c>
      <c r="F70" s="91" t="s">
        <v>109</v>
      </c>
      <c r="G70" s="91" t="s">
        <v>110</v>
      </c>
      <c r="H70" s="91" t="s">
        <v>111</v>
      </c>
      <c r="I70" s="17"/>
    </row>
    <row r="71" spans="1:9" ht="18.75" customHeight="1" x14ac:dyDescent="0.25">
      <c r="A71" s="23"/>
      <c r="B71" s="92">
        <f>'Input Data'!H16</f>
        <v>17</v>
      </c>
      <c r="C71" s="4">
        <v>-0.48</v>
      </c>
      <c r="D71" s="4">
        <v>-1.07</v>
      </c>
      <c r="E71" s="75">
        <v>-0.53</v>
      </c>
      <c r="F71" s="75">
        <v>-0.48</v>
      </c>
      <c r="G71" s="75">
        <v>0.61</v>
      </c>
      <c r="H71" s="75">
        <v>-0.43</v>
      </c>
      <c r="I71" s="17"/>
    </row>
    <row r="72" spans="1:9" ht="18.75" customHeight="1" x14ac:dyDescent="0.25">
      <c r="A72" s="23"/>
      <c r="B72" s="101" t="s">
        <v>131</v>
      </c>
      <c r="C72" s="100" t="s">
        <v>141</v>
      </c>
      <c r="D72" s="70"/>
      <c r="E72" s="99"/>
      <c r="F72" s="99"/>
      <c r="G72" s="99"/>
      <c r="H72" s="99"/>
      <c r="I72" s="17"/>
    </row>
    <row r="73" spans="1:9" ht="18.75" customHeight="1" x14ac:dyDescent="0.25">
      <c r="A73" s="23"/>
      <c r="C73" s="1" t="s">
        <v>140</v>
      </c>
      <c r="G73" s="18"/>
      <c r="I73" s="17"/>
    </row>
    <row r="74" spans="1:9" ht="18.75" customHeight="1" x14ac:dyDescent="0.25">
      <c r="A74" s="23"/>
      <c r="G74" s="18"/>
      <c r="I74" s="17"/>
    </row>
    <row r="75" spans="1:9" ht="18.75" customHeight="1" x14ac:dyDescent="0.25">
      <c r="A75" s="23"/>
      <c r="B75" s="1" t="s">
        <v>92</v>
      </c>
      <c r="D75" s="18" t="s">
        <v>123</v>
      </c>
      <c r="I75" s="17"/>
    </row>
    <row r="76" spans="1:9" ht="18.75" customHeight="1" x14ac:dyDescent="0.25">
      <c r="A76" s="23"/>
      <c r="B76" s="135" t="s">
        <v>116</v>
      </c>
      <c r="C76" s="133" t="s">
        <v>115</v>
      </c>
      <c r="D76" s="133"/>
      <c r="E76" s="134"/>
      <c r="F76" s="132" t="s">
        <v>117</v>
      </c>
      <c r="G76" s="133"/>
      <c r="H76" s="134"/>
      <c r="I76" s="17"/>
    </row>
    <row r="77" spans="1:9" ht="18.75" customHeight="1" x14ac:dyDescent="0.25">
      <c r="A77" s="23"/>
      <c r="B77" s="136"/>
      <c r="C77" s="141" t="s">
        <v>118</v>
      </c>
      <c r="D77" s="142" t="s">
        <v>164</v>
      </c>
      <c r="E77" s="143"/>
      <c r="F77" s="144" t="s">
        <v>118</v>
      </c>
      <c r="G77" s="142" t="s">
        <v>164</v>
      </c>
      <c r="H77" s="143"/>
      <c r="I77" s="17"/>
    </row>
    <row r="78" spans="1:9" ht="18.75" customHeight="1" x14ac:dyDescent="0.25">
      <c r="A78" s="23"/>
      <c r="B78" s="137"/>
      <c r="C78" s="141"/>
      <c r="D78" s="93" t="s">
        <v>120</v>
      </c>
      <c r="E78" s="94" t="s">
        <v>121</v>
      </c>
      <c r="F78" s="144"/>
      <c r="G78" s="93" t="s">
        <v>120</v>
      </c>
      <c r="H78" s="94" t="s">
        <v>121</v>
      </c>
      <c r="I78" s="17"/>
    </row>
    <row r="79" spans="1:9" ht="18.75" customHeight="1" x14ac:dyDescent="0.25">
      <c r="A79" s="23"/>
      <c r="B79" s="96">
        <v>1</v>
      </c>
      <c r="C79" s="95">
        <f>C58</f>
        <v>0.53</v>
      </c>
      <c r="D79" s="119">
        <f>$H$21*(C79-Process!$H$11)/1000</f>
        <v>0.29884186643908756</v>
      </c>
      <c r="E79" s="119">
        <f>$H$21*(C79-Process!$H$12)/1000</f>
        <v>0.60622207191929167</v>
      </c>
      <c r="F79" s="75">
        <f>C67</f>
        <v>-0.45</v>
      </c>
      <c r="G79" s="119">
        <f>$H$21*(F79-Process!$H$11)/1000</f>
        <v>-0.53791535959035752</v>
      </c>
      <c r="H79" s="119">
        <f>$H$21*(F79-Process!$H$12)/1000</f>
        <v>-0.23053515411015324</v>
      </c>
      <c r="I79" s="17"/>
    </row>
    <row r="80" spans="1:9" ht="18.600000000000001" customHeight="1" x14ac:dyDescent="0.25">
      <c r="A80" s="23"/>
      <c r="B80" s="96">
        <v>2</v>
      </c>
      <c r="C80" s="95">
        <f>D58</f>
        <v>-0.69</v>
      </c>
      <c r="D80" s="119">
        <f>$H$21*(C80-Process!$H$11)/1000</f>
        <v>-0.7428354965771603</v>
      </c>
      <c r="E80" s="119">
        <f>$H$21*(C80-Process!$H$12)/1000</f>
        <v>-0.43545529109695602</v>
      </c>
      <c r="F80" s="75">
        <f>D67</f>
        <v>-0.69</v>
      </c>
      <c r="G80" s="119">
        <f>$H$21*(F80-Process!$H$11)/1000</f>
        <v>-0.7428354965771603</v>
      </c>
      <c r="H80" s="119">
        <f>$H$21*(F80-Process!$H$12)/1000</f>
        <v>-0.43545529109695602</v>
      </c>
      <c r="I80" s="17"/>
    </row>
    <row r="81" spans="1:10" ht="18.75" customHeight="1" x14ac:dyDescent="0.25">
      <c r="A81" s="23"/>
      <c r="B81" s="96">
        <v>3</v>
      </c>
      <c r="C81" s="95">
        <f>E58</f>
        <v>-0.48</v>
      </c>
      <c r="D81" s="119">
        <f>$H$21*(C81-Process!$H$11)/1000</f>
        <v>-0.56353037671370776</v>
      </c>
      <c r="E81" s="119">
        <f>$H$21*(C81-Process!$H$12)/1000</f>
        <v>-0.25615017123350353</v>
      </c>
      <c r="F81" s="75">
        <f>E67</f>
        <v>-0.37</v>
      </c>
      <c r="G81" s="119">
        <f>$H$21*(F81-Process!$H$11)/1000</f>
        <v>-0.46960864726142326</v>
      </c>
      <c r="H81" s="119">
        <f>$H$21*(F81-Process!$H$12)/1000</f>
        <v>-0.16222844178121892</v>
      </c>
      <c r="I81" s="17"/>
    </row>
    <row r="82" spans="1:10" ht="18.75" customHeight="1" x14ac:dyDescent="0.25">
      <c r="A82" s="23"/>
      <c r="B82" s="96">
        <v>4</v>
      </c>
      <c r="C82" s="95">
        <f>F58</f>
        <v>-0.43</v>
      </c>
      <c r="D82" s="119">
        <f>$H$21*(C82-Process!$H$11)/1000</f>
        <v>-0.52083868150812385</v>
      </c>
      <c r="E82" s="119">
        <f>$H$21*(C82-Process!$H$12)/1000</f>
        <v>-0.21345847602791962</v>
      </c>
      <c r="F82" s="75">
        <f>F67</f>
        <v>-0.45</v>
      </c>
      <c r="G82" s="119">
        <f>$H$21*(F82-Process!$H$11)/1000</f>
        <v>-0.53791535959035752</v>
      </c>
      <c r="H82" s="119">
        <f>$H$21*(F82-Process!$H$12)/1000</f>
        <v>-0.23053515411015324</v>
      </c>
      <c r="I82" s="17"/>
    </row>
    <row r="83" spans="1:10" ht="18.75" customHeight="1" x14ac:dyDescent="0.25">
      <c r="A83" s="23"/>
      <c r="B83" s="96">
        <v>5</v>
      </c>
      <c r="C83" s="95" t="s">
        <v>119</v>
      </c>
      <c r="D83" s="119" t="s">
        <v>119</v>
      </c>
      <c r="E83" s="119" t="s">
        <v>119</v>
      </c>
      <c r="F83" s="75">
        <f>G67</f>
        <v>0.4</v>
      </c>
      <c r="G83" s="119">
        <f>$H$21*(F83-Process!$H$11)/1000</f>
        <v>0.1878434589045693</v>
      </c>
      <c r="H83" s="119">
        <f>$H$21*(F83-Process!$H$12)/1000</f>
        <v>0.49522366438477361</v>
      </c>
      <c r="I83" s="17"/>
    </row>
    <row r="84" spans="1:10" ht="18.75" customHeight="1" x14ac:dyDescent="0.25">
      <c r="A84" s="23"/>
      <c r="B84" s="96">
        <v>6</v>
      </c>
      <c r="C84" s="95" t="s">
        <v>119</v>
      </c>
      <c r="D84" s="119" t="s">
        <v>119</v>
      </c>
      <c r="E84" s="119" t="s">
        <v>119</v>
      </c>
      <c r="F84" s="75">
        <f>H67</f>
        <v>-0.28999999999999998</v>
      </c>
      <c r="G84" s="119">
        <f>$H$21*(F84-Process!$H$11)/1000</f>
        <v>-0.40130193493248889</v>
      </c>
      <c r="H84" s="119">
        <f>$H$21*(F84-Process!$H$12)/1000</f>
        <v>-9.3921729452284622E-2</v>
      </c>
      <c r="I84" s="17"/>
    </row>
    <row r="85" spans="1:10" ht="18.75" customHeight="1" x14ac:dyDescent="0.25">
      <c r="A85" s="23"/>
      <c r="B85" s="96" t="s">
        <v>106</v>
      </c>
      <c r="C85" s="95">
        <f>C62</f>
        <v>0.8</v>
      </c>
      <c r="D85" s="119">
        <f>$H$21*(C85-Process!$H$11)/1000</f>
        <v>0.52937702054924085</v>
      </c>
      <c r="E85" s="119">
        <f>$H$21*(C85-Process!$H$12)/1000</f>
        <v>0.83675722602944491</v>
      </c>
      <c r="F85" s="75">
        <f>C71</f>
        <v>-0.48</v>
      </c>
      <c r="G85" s="119">
        <f>$H$21*(F85-Process!$H$11)/1000</f>
        <v>-0.56353037671370776</v>
      </c>
      <c r="H85" s="119">
        <f>$H$21*(F85-Process!$H$12)/1000</f>
        <v>-0.25615017123350353</v>
      </c>
      <c r="I85" s="17"/>
    </row>
    <row r="86" spans="1:10" ht="18.75" customHeight="1" x14ac:dyDescent="0.25">
      <c r="A86" s="23"/>
      <c r="B86" s="96" t="s">
        <v>107</v>
      </c>
      <c r="C86" s="95">
        <f>D62</f>
        <v>-1.07</v>
      </c>
      <c r="D86" s="119">
        <f>$H$21*(C86-Process!$H$11)/1000</f>
        <v>-1.0672923801395982</v>
      </c>
      <c r="E86" s="119">
        <f>$H$21*(C86-Process!$H$12)/1000</f>
        <v>-0.75991217465939398</v>
      </c>
      <c r="F86" s="75">
        <f>D71</f>
        <v>-1.07</v>
      </c>
      <c r="G86" s="119">
        <f>$H$21*(F86-Process!$H$11)/1000</f>
        <v>-1.0672923801395982</v>
      </c>
      <c r="H86" s="119">
        <f>$H$21*(F86-Process!$H$12)/1000</f>
        <v>-0.75991217465939398</v>
      </c>
      <c r="I86" s="17"/>
    </row>
    <row r="87" spans="1:10" ht="18.75" customHeight="1" x14ac:dyDescent="0.25">
      <c r="A87" s="23"/>
      <c r="B87" s="96" t="s">
        <v>108</v>
      </c>
      <c r="C87" s="95">
        <f>E62</f>
        <v>-0.69</v>
      </c>
      <c r="D87" s="119">
        <f>$H$21*(C87-Process!$H$11)/1000</f>
        <v>-0.7428354965771603</v>
      </c>
      <c r="E87" s="119">
        <f>$H$21*(C87-Process!$H$12)/1000</f>
        <v>-0.43545529109695602</v>
      </c>
      <c r="F87" s="75">
        <f>E71</f>
        <v>-0.53</v>
      </c>
      <c r="G87" s="119">
        <f>$H$21*(F87-Process!$H$11)/1000</f>
        <v>-0.60622207191929167</v>
      </c>
      <c r="H87" s="119">
        <f>$H$21*(F87-Process!$H$12)/1000</f>
        <v>-0.29884186643908756</v>
      </c>
      <c r="I87" s="17"/>
    </row>
    <row r="88" spans="1:10" ht="18.75" customHeight="1" x14ac:dyDescent="0.25">
      <c r="A88" s="23"/>
      <c r="B88" s="96" t="s">
        <v>109</v>
      </c>
      <c r="C88" s="95">
        <f>F62</f>
        <v>-0.64</v>
      </c>
      <c r="D88" s="119">
        <f>$H$21*(C88-Process!$H$11)/1000</f>
        <v>-0.70014380137157639</v>
      </c>
      <c r="E88" s="119">
        <f>$H$21*(C88-Process!$H$12)/1000</f>
        <v>-0.39276359589137211</v>
      </c>
      <c r="F88" s="75">
        <f>F71</f>
        <v>-0.48</v>
      </c>
      <c r="G88" s="119">
        <f>$H$21*(F88-Process!$H$11)/1000</f>
        <v>-0.56353037671370776</v>
      </c>
      <c r="H88" s="119">
        <f>$H$21*(F88-Process!$H$12)/1000</f>
        <v>-0.25615017123350353</v>
      </c>
      <c r="I88" s="17"/>
    </row>
    <row r="89" spans="1:10" ht="18.75" customHeight="1" x14ac:dyDescent="0.25">
      <c r="A89" s="23"/>
      <c r="B89" s="96" t="s">
        <v>110</v>
      </c>
      <c r="C89" s="95" t="s">
        <v>119</v>
      </c>
      <c r="D89" s="119" t="s">
        <v>119</v>
      </c>
      <c r="E89" s="119" t="s">
        <v>119</v>
      </c>
      <c r="F89" s="75">
        <f>G71</f>
        <v>0.61</v>
      </c>
      <c r="G89" s="119">
        <f>$H$21*(F89-Process!$H$11)/1000</f>
        <v>0.36714857876802176</v>
      </c>
      <c r="H89" s="119">
        <f>$H$21*(F89-Process!$H$12)/1000</f>
        <v>0.67452878424822604</v>
      </c>
      <c r="I89" s="17"/>
    </row>
    <row r="90" spans="1:10" ht="18.75" customHeight="1" x14ac:dyDescent="0.25">
      <c r="A90" s="23"/>
      <c r="B90" s="97" t="s">
        <v>111</v>
      </c>
      <c r="C90" s="116" t="s">
        <v>119</v>
      </c>
      <c r="D90" s="120" t="s">
        <v>119</v>
      </c>
      <c r="E90" s="121" t="s">
        <v>119</v>
      </c>
      <c r="F90" s="118">
        <f>H71</f>
        <v>-0.43</v>
      </c>
      <c r="G90" s="119">
        <f>$H$21*(F90-Process!$H$11)/1000</f>
        <v>-0.52083868150812385</v>
      </c>
      <c r="H90" s="119">
        <f>$H$21*(F90-Process!$H$12)/1000</f>
        <v>-0.21345847602791962</v>
      </c>
      <c r="I90" s="17"/>
      <c r="J90" s="125"/>
    </row>
    <row r="91" spans="1:10" ht="18.75" customHeight="1" x14ac:dyDescent="0.25">
      <c r="A91" s="23"/>
      <c r="C91" s="117"/>
      <c r="D91" s="117"/>
      <c r="I91" s="17"/>
    </row>
    <row r="92" spans="1:10" ht="18.75" customHeight="1" x14ac:dyDescent="0.25">
      <c r="A92" s="23"/>
      <c r="I92" s="17"/>
    </row>
    <row r="93" spans="1:10" ht="18.75" customHeight="1" x14ac:dyDescent="0.25">
      <c r="A93" s="23"/>
      <c r="B93" s="106"/>
      <c r="C93" s="107"/>
      <c r="D93" s="107"/>
      <c r="E93" s="107"/>
      <c r="F93" s="107"/>
      <c r="G93" s="107"/>
      <c r="H93" s="107"/>
      <c r="I93" s="108"/>
      <c r="J93" s="109"/>
    </row>
    <row r="94" spans="1:10" ht="18.75" customHeight="1" x14ac:dyDescent="0.25">
      <c r="A94" s="110"/>
    </row>
  </sheetData>
  <mergeCells count="16">
    <mergeCell ref="F76:H76"/>
    <mergeCell ref="B76:B78"/>
    <mergeCell ref="B1:F1"/>
    <mergeCell ref="C56:F56"/>
    <mergeCell ref="B56:B57"/>
    <mergeCell ref="B60:B61"/>
    <mergeCell ref="C60:F60"/>
    <mergeCell ref="B65:B66"/>
    <mergeCell ref="B69:B70"/>
    <mergeCell ref="C69:H69"/>
    <mergeCell ref="C65:H65"/>
    <mergeCell ref="C77:C78"/>
    <mergeCell ref="D77:E77"/>
    <mergeCell ref="F77:F78"/>
    <mergeCell ref="G77:H77"/>
    <mergeCell ref="C76:E76"/>
  </mergeCells>
  <phoneticPr fontId="30" type="noConversion"/>
  <pageMargins left="0.7" right="0.7" top="0.75" bottom="0.75" header="0.3" footer="0.3"/>
  <pageSetup paperSize="9" orientation="portrait" horizontalDpi="4294967293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64760-46EC-494F-878C-C802EE09258C}">
  <sheetPr>
    <tabColor rgb="FF7030A0"/>
  </sheetPr>
  <dimension ref="A1:I142"/>
  <sheetViews>
    <sheetView showGridLines="0" tabSelected="1" view="pageLayout" zoomScaleNormal="100" zoomScaleSheetLayoutView="100" workbookViewId="0">
      <selection activeCell="F3" sqref="F3:I3"/>
    </sheetView>
  </sheetViews>
  <sheetFormatPr defaultColWidth="9.140625" defaultRowHeight="18.75" customHeight="1" x14ac:dyDescent="0.25"/>
  <cols>
    <col min="1" max="1" width="4.42578125" style="10" bestFit="1" customWidth="1"/>
    <col min="2" max="2" width="11.140625" style="1" customWidth="1"/>
    <col min="3" max="8" width="10.42578125" style="1" customWidth="1"/>
    <col min="9" max="9" width="10" style="1" customWidth="1"/>
    <col min="10" max="16384" width="9.140625" style="1"/>
  </cols>
  <sheetData>
    <row r="1" spans="1:9" ht="18.75" customHeight="1" x14ac:dyDescent="0.25">
      <c r="A1" s="145" t="s">
        <v>13</v>
      </c>
      <c r="B1" s="145"/>
      <c r="C1" s="145"/>
      <c r="D1" s="145"/>
      <c r="E1" s="145"/>
      <c r="F1" s="145"/>
      <c r="G1" s="145"/>
      <c r="H1" s="145"/>
      <c r="I1" s="145"/>
    </row>
    <row r="2" spans="1:9" ht="18.75" customHeight="1" x14ac:dyDescent="0.25">
      <c r="A2" s="43"/>
      <c r="D2" s="10"/>
      <c r="E2" s="10"/>
      <c r="F2" s="10"/>
      <c r="G2" s="10"/>
      <c r="H2" s="10"/>
      <c r="I2" s="10"/>
    </row>
    <row r="3" spans="1:9" ht="37.5" customHeight="1" x14ac:dyDescent="0.25">
      <c r="A3" s="146"/>
      <c r="B3" s="146"/>
      <c r="C3" s="146"/>
      <c r="D3" s="45" t="s">
        <v>14</v>
      </c>
      <c r="F3" s="147" t="s">
        <v>163</v>
      </c>
      <c r="G3" s="148"/>
      <c r="H3" s="148"/>
      <c r="I3" s="149"/>
    </row>
    <row r="4" spans="1:9" ht="18.75" customHeight="1" x14ac:dyDescent="0.25">
      <c r="A4" s="146"/>
      <c r="B4" s="146"/>
      <c r="C4" s="146"/>
      <c r="D4" s="45" t="s">
        <v>15</v>
      </c>
      <c r="F4" s="150" t="s">
        <v>165</v>
      </c>
      <c r="G4" s="151"/>
      <c r="H4" s="151"/>
      <c r="I4" s="152"/>
    </row>
    <row r="5" spans="1:9" ht="18.75" customHeight="1" x14ac:dyDescent="0.25">
      <c r="A5" s="146"/>
      <c r="B5" s="146"/>
      <c r="C5" s="146"/>
      <c r="D5" s="45" t="s">
        <v>16</v>
      </c>
      <c r="F5" s="153" t="s">
        <v>17</v>
      </c>
      <c r="G5" s="151"/>
      <c r="H5" s="151"/>
      <c r="I5" s="152"/>
    </row>
    <row r="6" spans="1:9" ht="18.75" customHeight="1" x14ac:dyDescent="0.25">
      <c r="A6" s="146"/>
      <c r="B6" s="146"/>
      <c r="C6" s="146"/>
      <c r="D6" s="45"/>
      <c r="F6" s="128" t="s">
        <v>166</v>
      </c>
      <c r="G6" s="126"/>
      <c r="H6" s="126"/>
      <c r="I6" s="127"/>
    </row>
    <row r="7" spans="1:9" ht="18.75" customHeight="1" x14ac:dyDescent="0.25">
      <c r="A7" s="146"/>
      <c r="B7" s="146"/>
      <c r="C7" s="146"/>
      <c r="D7" s="45" t="s">
        <v>18</v>
      </c>
      <c r="F7" s="154" t="s">
        <v>32</v>
      </c>
      <c r="G7" s="151"/>
      <c r="H7" s="151"/>
      <c r="I7" s="152"/>
    </row>
    <row r="8" spans="1:9" ht="18.75" customHeight="1" x14ac:dyDescent="0.25">
      <c r="A8" s="1"/>
    </row>
    <row r="9" spans="1:9" ht="18.75" customHeight="1" x14ac:dyDescent="0.25">
      <c r="A9" s="46" t="s">
        <v>11</v>
      </c>
      <c r="B9" s="47" t="s">
        <v>156</v>
      </c>
      <c r="C9" s="47"/>
      <c r="D9" s="47"/>
      <c r="E9" s="47"/>
      <c r="F9" s="47"/>
      <c r="G9" s="47"/>
      <c r="H9" s="47"/>
      <c r="I9" s="47"/>
    </row>
    <row r="10" spans="1:9" ht="18.75" customHeight="1" x14ac:dyDescent="0.25">
      <c r="A10" s="48" t="s">
        <v>5</v>
      </c>
      <c r="B10" s="28" t="s">
        <v>158</v>
      </c>
      <c r="C10" s="29"/>
      <c r="D10" s="29"/>
      <c r="E10" s="29"/>
      <c r="F10" s="29"/>
      <c r="G10" s="29"/>
      <c r="H10" s="29"/>
      <c r="I10" s="123"/>
    </row>
    <row r="11" spans="1:9" ht="18.75" customHeight="1" x14ac:dyDescent="0.25">
      <c r="B11" s="34" t="s">
        <v>134</v>
      </c>
      <c r="C11" s="2"/>
      <c r="D11" s="2"/>
      <c r="E11" s="2"/>
      <c r="F11" s="2"/>
      <c r="H11" s="113" t="str">
        <f>'Input Data'!H4</f>
        <v>[ BANGUNAN BERTINGKAT TENDAH ]</v>
      </c>
      <c r="I11" s="50"/>
    </row>
    <row r="12" spans="1:9" ht="18.75" customHeight="1" x14ac:dyDescent="0.25">
      <c r="B12" s="1" t="s">
        <v>86</v>
      </c>
      <c r="C12" s="2"/>
      <c r="D12" s="2"/>
      <c r="E12" s="2"/>
      <c r="F12" s="2"/>
      <c r="G12" s="2"/>
      <c r="H12" s="111" t="str" cm="1">
        <f t="array" ref="H12:I12">'Input Data'!G11:H11</f>
        <v>BANGUNAN TERTUTUP</v>
      </c>
      <c r="I12" s="112">
        <v>0</v>
      </c>
    </row>
    <row r="13" spans="1:9" ht="18.75" customHeight="1" x14ac:dyDescent="0.25">
      <c r="B13" s="1" t="s">
        <v>78</v>
      </c>
      <c r="C13" s="2"/>
      <c r="D13" s="2"/>
      <c r="E13" s="2"/>
      <c r="F13" s="2"/>
      <c r="G13" s="18" t="s">
        <v>80</v>
      </c>
      <c r="H13" s="53">
        <f>'Input Data'!H5</f>
        <v>40</v>
      </c>
      <c r="I13" s="50" t="str">
        <f>'Input Data'!I5</f>
        <v>m/s</v>
      </c>
    </row>
    <row r="14" spans="1:9" ht="18.75" customHeight="1" x14ac:dyDescent="0.25">
      <c r="B14" s="1" t="s">
        <v>81</v>
      </c>
      <c r="C14" s="2"/>
      <c r="D14" s="2"/>
      <c r="E14" s="2"/>
      <c r="F14" s="2"/>
      <c r="G14" s="18" t="s">
        <v>159</v>
      </c>
      <c r="H14" s="52">
        <f>'Input Data'!H6</f>
        <v>0.85</v>
      </c>
      <c r="I14" s="50"/>
    </row>
    <row r="15" spans="1:9" ht="18.75" customHeight="1" x14ac:dyDescent="0.25">
      <c r="B15" s="1" t="s">
        <v>74</v>
      </c>
      <c r="C15" s="2"/>
      <c r="D15" s="2"/>
      <c r="E15" s="2"/>
      <c r="F15" s="2"/>
      <c r="G15" s="18"/>
      <c r="H15" s="52" t="str">
        <f>'Input Data'!H7</f>
        <v>C</v>
      </c>
      <c r="I15" s="50"/>
    </row>
    <row r="16" spans="1:9" ht="18.75" customHeight="1" x14ac:dyDescent="0.25">
      <c r="B16" s="1" t="s">
        <v>77</v>
      </c>
      <c r="C16" s="2"/>
      <c r="D16" s="2"/>
      <c r="E16" s="2"/>
      <c r="F16" s="2"/>
      <c r="G16" s="18" t="s">
        <v>160</v>
      </c>
      <c r="H16" s="52">
        <f>'Input Data'!H8</f>
        <v>1</v>
      </c>
      <c r="I16" s="50"/>
    </row>
    <row r="17" spans="1:9" ht="18.75" customHeight="1" x14ac:dyDescent="0.25">
      <c r="B17" s="1" t="s">
        <v>84</v>
      </c>
      <c r="C17" s="2"/>
      <c r="D17" s="2"/>
      <c r="E17" s="2"/>
      <c r="F17" s="2"/>
      <c r="G17" s="18" t="s">
        <v>161</v>
      </c>
      <c r="H17" s="52">
        <f>'Input Data'!H9</f>
        <v>1</v>
      </c>
      <c r="I17" s="50"/>
    </row>
    <row r="18" spans="1:9" ht="18.75" customHeight="1" x14ac:dyDescent="0.25">
      <c r="B18" s="1" t="s">
        <v>85</v>
      </c>
      <c r="C18" s="2"/>
      <c r="D18" s="2"/>
      <c r="E18" s="2"/>
      <c r="F18" s="2"/>
      <c r="G18" s="18" t="s">
        <v>90</v>
      </c>
      <c r="H18" s="52">
        <f>'Input Data'!H10</f>
        <v>0.85</v>
      </c>
      <c r="I18" s="50"/>
    </row>
    <row r="19" spans="1:9" ht="18.75" customHeight="1" x14ac:dyDescent="0.25">
      <c r="C19" s="2"/>
      <c r="D19" s="2"/>
      <c r="E19" s="2"/>
      <c r="F19" s="2"/>
      <c r="G19" s="2"/>
      <c r="H19" s="2"/>
      <c r="I19" s="50"/>
    </row>
    <row r="20" spans="1:9" ht="18.75" customHeight="1" x14ac:dyDescent="0.25">
      <c r="A20" s="48" t="s">
        <v>6</v>
      </c>
      <c r="B20" s="28" t="s">
        <v>162</v>
      </c>
      <c r="C20" s="29"/>
      <c r="D20" s="29"/>
      <c r="E20" s="29"/>
      <c r="F20" s="29"/>
      <c r="G20" s="29"/>
      <c r="H20" s="30"/>
      <c r="I20" s="51"/>
    </row>
    <row r="21" spans="1:9" ht="18.75" customHeight="1" x14ac:dyDescent="0.25">
      <c r="B21" s="1" t="s">
        <v>75</v>
      </c>
      <c r="G21" s="18" t="s">
        <v>95</v>
      </c>
      <c r="H21" s="114">
        <v>12.891999999999999</v>
      </c>
      <c r="I21" s="50" t="s">
        <v>1</v>
      </c>
    </row>
    <row r="22" spans="1:9" ht="18.75" customHeight="1" x14ac:dyDescent="0.25">
      <c r="B22" s="1" t="s">
        <v>76</v>
      </c>
      <c r="G22" s="18" t="s">
        <v>96</v>
      </c>
      <c r="H22" s="114">
        <v>9.4120000000000008</v>
      </c>
      <c r="I22" s="50" t="s">
        <v>1</v>
      </c>
    </row>
    <row r="23" spans="1:9" ht="18.75" customHeight="1" x14ac:dyDescent="0.25">
      <c r="B23" s="1" t="s">
        <v>97</v>
      </c>
      <c r="G23" s="90" t="s">
        <v>99</v>
      </c>
      <c r="H23" s="114">
        <v>17</v>
      </c>
      <c r="I23" s="115" t="s">
        <v>98</v>
      </c>
    </row>
    <row r="24" spans="1:9" ht="18.75" customHeight="1" x14ac:dyDescent="0.25">
      <c r="B24" s="1" t="s">
        <v>139</v>
      </c>
      <c r="G24" s="18" t="s">
        <v>3</v>
      </c>
      <c r="H24" s="114">
        <v>10</v>
      </c>
      <c r="I24" s="50" t="s">
        <v>1</v>
      </c>
    </row>
    <row r="25" spans="1:9" ht="18.75" customHeight="1" x14ac:dyDescent="0.25">
      <c r="B25" s="1" t="s">
        <v>142</v>
      </c>
      <c r="G25" s="18" t="s">
        <v>2</v>
      </c>
      <c r="H25" s="114">
        <v>15</v>
      </c>
      <c r="I25" s="50" t="s">
        <v>1</v>
      </c>
    </row>
    <row r="26" spans="1:9" ht="18.75" customHeight="1" x14ac:dyDescent="0.25">
      <c r="B26" s="13"/>
      <c r="C26" s="14"/>
      <c r="D26" s="14"/>
      <c r="E26" s="14"/>
      <c r="F26" s="14"/>
      <c r="G26" s="14"/>
      <c r="H26" s="16"/>
      <c r="I26" s="50"/>
    </row>
    <row r="27" spans="1:9" ht="18.75" customHeight="1" x14ac:dyDescent="0.25">
      <c r="B27" s="13"/>
      <c r="C27" s="14"/>
      <c r="D27" s="14"/>
      <c r="E27" s="14"/>
      <c r="F27" s="14"/>
      <c r="G27" s="14"/>
      <c r="H27" s="16"/>
      <c r="I27" s="50"/>
    </row>
    <row r="28" spans="1:9" ht="18.75" customHeight="1" x14ac:dyDescent="0.25">
      <c r="B28" s="13"/>
      <c r="C28" s="14"/>
      <c r="D28" s="14"/>
      <c r="E28" s="14"/>
      <c r="F28" s="14"/>
      <c r="G28" s="14"/>
      <c r="H28" s="16"/>
      <c r="I28" s="50"/>
    </row>
    <row r="29" spans="1:9" ht="18.75" customHeight="1" x14ac:dyDescent="0.25">
      <c r="B29" s="13"/>
      <c r="C29" s="14"/>
      <c r="D29" s="14"/>
      <c r="E29" s="14"/>
      <c r="F29" s="14"/>
      <c r="G29" s="14"/>
      <c r="H29" s="16"/>
      <c r="I29" s="50"/>
    </row>
    <row r="30" spans="1:9" ht="18.75" customHeight="1" x14ac:dyDescent="0.25">
      <c r="B30" s="13"/>
      <c r="C30" s="14"/>
      <c r="D30" s="14"/>
      <c r="E30" s="14"/>
      <c r="F30" s="14"/>
      <c r="G30" s="14"/>
      <c r="H30" s="16"/>
      <c r="I30" s="50"/>
    </row>
    <row r="31" spans="1:9" ht="18.75" customHeight="1" x14ac:dyDescent="0.25">
      <c r="B31" s="13"/>
      <c r="C31" s="14"/>
      <c r="D31" s="14"/>
      <c r="E31" s="14"/>
      <c r="F31" s="14"/>
      <c r="G31" s="14"/>
      <c r="H31" s="16"/>
      <c r="I31" s="50"/>
    </row>
    <row r="32" spans="1:9" ht="18.75" customHeight="1" x14ac:dyDescent="0.25">
      <c r="B32" s="13"/>
      <c r="C32" s="14"/>
      <c r="D32" s="14"/>
      <c r="E32" s="14"/>
      <c r="F32" s="14"/>
      <c r="G32" s="14"/>
      <c r="H32" s="16"/>
      <c r="I32" s="50"/>
    </row>
    <row r="33" spans="1:9" ht="18.75" customHeight="1" x14ac:dyDescent="0.25">
      <c r="B33" s="13"/>
      <c r="C33" s="14"/>
      <c r="D33" s="14"/>
      <c r="E33" s="14"/>
      <c r="F33" s="14"/>
      <c r="G33" s="14"/>
      <c r="H33" s="16"/>
      <c r="I33" s="50"/>
    </row>
    <row r="34" spans="1:9" ht="18.75" customHeight="1" x14ac:dyDescent="0.25">
      <c r="B34" s="13"/>
      <c r="C34" s="14"/>
      <c r="D34" s="14"/>
      <c r="E34" s="14"/>
      <c r="F34" s="14"/>
      <c r="G34" s="14"/>
      <c r="H34" s="16"/>
      <c r="I34" s="50"/>
    </row>
    <row r="35" spans="1:9" ht="18.75" customHeight="1" x14ac:dyDescent="0.25">
      <c r="B35" s="13"/>
      <c r="C35" s="14"/>
      <c r="D35" s="14"/>
      <c r="E35" s="14"/>
      <c r="F35" s="14"/>
      <c r="G35" s="14"/>
      <c r="H35" s="16"/>
      <c r="I35" s="50"/>
    </row>
    <row r="36" spans="1:9" ht="18.75" customHeight="1" x14ac:dyDescent="0.25">
      <c r="B36" s="13"/>
      <c r="C36" s="14"/>
      <c r="D36" s="14"/>
      <c r="E36" s="14"/>
      <c r="F36" s="14"/>
      <c r="G36" s="14"/>
      <c r="H36" s="16"/>
      <c r="I36" s="50"/>
    </row>
    <row r="37" spans="1:9" ht="18.75" customHeight="1" x14ac:dyDescent="0.25">
      <c r="B37" s="13"/>
      <c r="C37" s="14"/>
      <c r="D37" s="14"/>
      <c r="E37" s="14"/>
      <c r="F37" s="14"/>
      <c r="G37" s="14"/>
      <c r="H37" s="16"/>
      <c r="I37" s="50"/>
    </row>
    <row r="38" spans="1:9" ht="18.75" customHeight="1" x14ac:dyDescent="0.25">
      <c r="B38" s="13"/>
      <c r="C38" s="14"/>
      <c r="D38" s="14"/>
      <c r="E38" s="14"/>
      <c r="F38" s="14"/>
      <c r="G38" s="14"/>
      <c r="H38" s="16"/>
      <c r="I38" s="50"/>
    </row>
    <row r="39" spans="1:9" ht="18.75" customHeight="1" x14ac:dyDescent="0.25">
      <c r="B39" s="13"/>
      <c r="C39" s="14"/>
      <c r="D39" s="14"/>
      <c r="E39" s="14"/>
      <c r="F39" s="14"/>
      <c r="G39" s="14"/>
      <c r="H39" s="16"/>
      <c r="I39" s="50"/>
    </row>
    <row r="40" spans="1:9" ht="18.75" customHeight="1" x14ac:dyDescent="0.25">
      <c r="B40" s="13"/>
      <c r="C40" s="14"/>
      <c r="D40" s="14"/>
      <c r="E40" s="14"/>
      <c r="F40" s="14"/>
      <c r="G40" s="14"/>
      <c r="H40" s="16"/>
      <c r="I40" s="50"/>
    </row>
    <row r="41" spans="1:9" ht="18.75" customHeight="1" x14ac:dyDescent="0.25">
      <c r="A41" s="46" t="s">
        <v>12</v>
      </c>
      <c r="B41" s="47" t="s">
        <v>152</v>
      </c>
      <c r="C41" s="49"/>
      <c r="D41" s="49"/>
      <c r="E41" s="49"/>
      <c r="F41" s="49"/>
      <c r="G41" s="49"/>
      <c r="H41" s="49"/>
      <c r="I41" s="49"/>
    </row>
    <row r="42" spans="1:9" ht="18.75" customHeight="1" x14ac:dyDescent="0.25">
      <c r="A42" s="48" t="s">
        <v>73</v>
      </c>
      <c r="B42" s="28" t="s">
        <v>149</v>
      </c>
      <c r="C42" s="29"/>
      <c r="D42" s="29"/>
      <c r="E42" s="29"/>
      <c r="F42" s="29"/>
      <c r="G42" s="29"/>
      <c r="H42" s="30"/>
      <c r="I42" s="51"/>
    </row>
    <row r="43" spans="1:9" s="13" customFormat="1" ht="18.75" customHeight="1" x14ac:dyDescent="0.25">
      <c r="A43" s="41"/>
      <c r="B43" s="1" t="s">
        <v>94</v>
      </c>
      <c r="C43" s="1"/>
      <c r="D43" s="1"/>
      <c r="E43" s="1"/>
      <c r="F43" s="1"/>
      <c r="G43" s="18"/>
      <c r="H43" s="1"/>
      <c r="I43" s="3"/>
    </row>
    <row r="44" spans="1:9" s="13" customFormat="1" ht="18.75" customHeight="1" x14ac:dyDescent="0.25">
      <c r="A44" s="41"/>
      <c r="B44" s="45" t="s">
        <v>100</v>
      </c>
      <c r="C44" s="1"/>
      <c r="D44" s="1"/>
      <c r="E44" s="1"/>
      <c r="F44" s="1"/>
      <c r="G44" s="18" t="s">
        <v>101</v>
      </c>
      <c r="H44" s="33">
        <f>Process!H5</f>
        <v>11.152000000000001</v>
      </c>
      <c r="I44" s="3" t="s">
        <v>1</v>
      </c>
    </row>
    <row r="45" spans="1:9" s="13" customFormat="1" ht="18.75" customHeight="1" x14ac:dyDescent="0.25">
      <c r="A45" s="41"/>
      <c r="B45" s="45" t="s">
        <v>103</v>
      </c>
      <c r="C45" s="1"/>
      <c r="D45" s="1"/>
      <c r="E45" s="1"/>
      <c r="F45" s="1"/>
      <c r="G45" s="18" t="s">
        <v>102</v>
      </c>
      <c r="H45" s="33" t="str">
        <f>Process!H6</f>
        <v>-</v>
      </c>
      <c r="I45" s="3" t="s">
        <v>1</v>
      </c>
    </row>
    <row r="46" spans="1:9" s="13" customFormat="1" ht="18.75" customHeight="1" x14ac:dyDescent="0.25">
      <c r="A46" s="41"/>
      <c r="B46" s="1" t="s">
        <v>150</v>
      </c>
      <c r="C46" s="1"/>
      <c r="D46" s="1"/>
      <c r="E46" s="40"/>
      <c r="F46" s="102"/>
      <c r="G46" s="40"/>
      <c r="H46" s="1"/>
      <c r="I46" s="122"/>
    </row>
    <row r="47" spans="1:9" s="13" customFormat="1" ht="18.75" customHeight="1" x14ac:dyDescent="0.25">
      <c r="A47" s="41"/>
      <c r="B47" s="1"/>
      <c r="C47" s="19" t="s">
        <v>151</v>
      </c>
      <c r="D47" s="38" t="s">
        <v>0</v>
      </c>
      <c r="E47" s="11">
        <f>Process!E8</f>
        <v>11.152000000000001</v>
      </c>
      <c r="F47" s="12" t="str">
        <f>Process!F8</f>
        <v>≤</v>
      </c>
      <c r="G47" s="105">
        <f>Process!G8</f>
        <v>18.3</v>
      </c>
      <c r="H47" s="38" t="str">
        <f>Process!H8</f>
        <v>→      OK</v>
      </c>
      <c r="I47" s="122"/>
    </row>
    <row r="48" spans="1:9" s="13" customFormat="1" ht="18.75" customHeight="1" x14ac:dyDescent="0.25">
      <c r="A48" s="41"/>
      <c r="C48" s="44"/>
      <c r="D48" s="44"/>
      <c r="E48" s="44"/>
      <c r="F48" s="44"/>
      <c r="G48" s="44"/>
      <c r="H48" s="44"/>
      <c r="I48" s="122"/>
    </row>
    <row r="49" spans="1:9" ht="18.75" customHeight="1" x14ac:dyDescent="0.25">
      <c r="A49" s="48" t="s">
        <v>157</v>
      </c>
      <c r="B49" s="28" t="s">
        <v>138</v>
      </c>
      <c r="C49" s="29"/>
      <c r="D49" s="29"/>
      <c r="E49" s="29"/>
      <c r="F49" s="29"/>
      <c r="G49" s="29"/>
      <c r="H49" s="30"/>
      <c r="I49" s="30"/>
    </row>
    <row r="50" spans="1:9" s="13" customFormat="1" ht="18.75" customHeight="1" x14ac:dyDescent="0.25">
      <c r="A50" s="41"/>
      <c r="B50" s="1" t="s">
        <v>87</v>
      </c>
      <c r="C50" s="1"/>
      <c r="D50" s="1"/>
      <c r="E50" s="1"/>
      <c r="F50" s="1"/>
      <c r="G50" s="88" t="s">
        <v>133</v>
      </c>
      <c r="H50" s="4">
        <f>Process!H11</f>
        <v>0.18</v>
      </c>
      <c r="I50" s="112"/>
    </row>
    <row r="51" spans="1:9" ht="18.75" customHeight="1" x14ac:dyDescent="0.25">
      <c r="A51" s="39"/>
      <c r="B51" s="1" t="s">
        <v>88</v>
      </c>
      <c r="G51" s="88" t="s">
        <v>132</v>
      </c>
      <c r="H51" s="4">
        <f>Process!H12</f>
        <v>-0.18</v>
      </c>
      <c r="I51" s="112"/>
    </row>
    <row r="52" spans="1:9" ht="18.75" customHeight="1" x14ac:dyDescent="0.25">
      <c r="G52" s="88"/>
      <c r="H52" s="70"/>
      <c r="I52" s="112"/>
    </row>
    <row r="53" spans="1:9" ht="18.75" customHeight="1" x14ac:dyDescent="0.25">
      <c r="B53" s="34" t="s">
        <v>135</v>
      </c>
      <c r="G53" s="18"/>
      <c r="H53" s="35"/>
      <c r="I53" s="3"/>
    </row>
    <row r="54" spans="1:9" ht="18.75" customHeight="1" x14ac:dyDescent="0.25">
      <c r="B54" s="45"/>
      <c r="G54" s="18" t="s">
        <v>128</v>
      </c>
      <c r="H54" s="4">
        <f>Process!H15</f>
        <v>9.5</v>
      </c>
      <c r="I54" s="3" t="s">
        <v>1</v>
      </c>
    </row>
    <row r="55" spans="1:9" ht="18.75" customHeight="1" x14ac:dyDescent="0.25">
      <c r="B55" s="45"/>
      <c r="G55" s="18" t="s">
        <v>127</v>
      </c>
      <c r="H55" s="4">
        <f>Process!H16</f>
        <v>274.32</v>
      </c>
      <c r="I55" s="3" t="s">
        <v>1</v>
      </c>
    </row>
    <row r="56" spans="1:9" ht="18.75" customHeight="1" x14ac:dyDescent="0.25">
      <c r="B56" s="45"/>
      <c r="G56" s="18" t="s">
        <v>129</v>
      </c>
      <c r="H56" s="4">
        <f>Process!H17</f>
        <v>11.152000000000001</v>
      </c>
      <c r="I56" s="3" t="s">
        <v>1</v>
      </c>
    </row>
    <row r="57" spans="1:9" ht="18.75" customHeight="1" x14ac:dyDescent="0.25">
      <c r="B57" s="1" t="s">
        <v>124</v>
      </c>
      <c r="I57" s="3"/>
    </row>
    <row r="58" spans="1:9" ht="18.75" customHeight="1" x14ac:dyDescent="0.25">
      <c r="B58" s="45" t="s">
        <v>125</v>
      </c>
      <c r="G58" s="18" t="s">
        <v>136</v>
      </c>
      <c r="H58" s="4">
        <f>Process!H19</f>
        <v>1.0241746282886464</v>
      </c>
      <c r="I58" s="3"/>
    </row>
    <row r="59" spans="1:9" ht="18.75" customHeight="1" x14ac:dyDescent="0.25">
      <c r="B59" s="45" t="s">
        <v>126</v>
      </c>
      <c r="G59" s="18" t="s">
        <v>137</v>
      </c>
      <c r="H59" s="4" t="str">
        <f>Process!H20</f>
        <v>-</v>
      </c>
      <c r="I59" s="3"/>
    </row>
    <row r="60" spans="1:9" ht="18.75" customHeight="1" x14ac:dyDescent="0.25">
      <c r="B60" s="1" t="s">
        <v>93</v>
      </c>
      <c r="I60" s="3"/>
    </row>
    <row r="61" spans="1:9" ht="18.75" customHeight="1" x14ac:dyDescent="0.25">
      <c r="G61" s="18" t="s">
        <v>114</v>
      </c>
      <c r="H61" s="4">
        <f>Process!H21</f>
        <v>853.83390411167852</v>
      </c>
      <c r="I61" s="3" t="s">
        <v>130</v>
      </c>
    </row>
    <row r="62" spans="1:9" ht="18.75" customHeight="1" x14ac:dyDescent="0.25">
      <c r="G62" s="18"/>
      <c r="I62" s="10"/>
    </row>
    <row r="63" spans="1:9" ht="18.75" customHeight="1" x14ac:dyDescent="0.25">
      <c r="E63" s="35" t="s">
        <v>153</v>
      </c>
      <c r="G63" s="18"/>
      <c r="I63" s="10"/>
    </row>
    <row r="64" spans="1:9" ht="18.75" customHeight="1" x14ac:dyDescent="0.25">
      <c r="G64" s="18"/>
      <c r="I64" s="10"/>
    </row>
    <row r="65" spans="7:9" ht="18.75" customHeight="1" x14ac:dyDescent="0.25">
      <c r="G65" s="18"/>
      <c r="I65" s="10"/>
    </row>
    <row r="66" spans="7:9" ht="18.75" customHeight="1" x14ac:dyDescent="0.25">
      <c r="G66" s="18"/>
      <c r="I66" s="10"/>
    </row>
    <row r="67" spans="7:9" ht="18.75" customHeight="1" x14ac:dyDescent="0.25">
      <c r="G67" s="18"/>
      <c r="I67" s="10"/>
    </row>
    <row r="68" spans="7:9" ht="18.75" customHeight="1" x14ac:dyDescent="0.25">
      <c r="G68" s="18"/>
      <c r="I68" s="10"/>
    </row>
    <row r="69" spans="7:9" ht="18.75" customHeight="1" x14ac:dyDescent="0.25">
      <c r="G69" s="18"/>
      <c r="I69" s="10"/>
    </row>
    <row r="70" spans="7:9" ht="18.75" customHeight="1" x14ac:dyDescent="0.25">
      <c r="G70" s="18"/>
      <c r="I70" s="10"/>
    </row>
    <row r="71" spans="7:9" ht="18.75" customHeight="1" x14ac:dyDescent="0.25">
      <c r="G71" s="18"/>
      <c r="I71" s="10"/>
    </row>
    <row r="72" spans="7:9" ht="18.75" customHeight="1" x14ac:dyDescent="0.25">
      <c r="G72" s="18"/>
      <c r="I72" s="10"/>
    </row>
    <row r="73" spans="7:9" ht="18.75" customHeight="1" x14ac:dyDescent="0.25">
      <c r="G73" s="18"/>
      <c r="I73" s="10"/>
    </row>
    <row r="74" spans="7:9" ht="18.75" customHeight="1" x14ac:dyDescent="0.25">
      <c r="G74" s="18"/>
      <c r="I74" s="10"/>
    </row>
    <row r="75" spans="7:9" ht="18.75" customHeight="1" x14ac:dyDescent="0.25">
      <c r="G75" s="18"/>
      <c r="I75" s="10"/>
    </row>
    <row r="76" spans="7:9" ht="18.75" customHeight="1" x14ac:dyDescent="0.25">
      <c r="G76" s="18"/>
      <c r="I76" s="10"/>
    </row>
    <row r="77" spans="7:9" ht="18.75" customHeight="1" x14ac:dyDescent="0.25">
      <c r="G77" s="18"/>
      <c r="I77" s="10"/>
    </row>
    <row r="78" spans="7:9" ht="18.75" customHeight="1" x14ac:dyDescent="0.25">
      <c r="G78" s="18"/>
      <c r="I78" s="10"/>
    </row>
    <row r="79" spans="7:9" ht="18.75" customHeight="1" x14ac:dyDescent="0.25">
      <c r="G79" s="18"/>
      <c r="I79" s="10"/>
    </row>
    <row r="80" spans="7:9" ht="18.75" customHeight="1" x14ac:dyDescent="0.25">
      <c r="G80" s="18"/>
      <c r="I80" s="10"/>
    </row>
    <row r="81" spans="7:9" ht="18.75" customHeight="1" x14ac:dyDescent="0.25">
      <c r="G81" s="18"/>
      <c r="I81" s="10"/>
    </row>
    <row r="82" spans="7:9" ht="18.75" customHeight="1" x14ac:dyDescent="0.25">
      <c r="G82" s="18"/>
      <c r="I82" s="10"/>
    </row>
    <row r="83" spans="7:9" ht="18.75" customHeight="1" x14ac:dyDescent="0.25">
      <c r="G83" s="18"/>
      <c r="I83" s="10"/>
    </row>
    <row r="84" spans="7:9" ht="18.75" customHeight="1" x14ac:dyDescent="0.25">
      <c r="G84" s="18"/>
      <c r="I84" s="10"/>
    </row>
    <row r="85" spans="7:9" ht="18.75" customHeight="1" x14ac:dyDescent="0.25">
      <c r="G85" s="18"/>
      <c r="I85" s="10"/>
    </row>
    <row r="86" spans="7:9" ht="18.75" customHeight="1" x14ac:dyDescent="0.25">
      <c r="G86" s="18"/>
      <c r="I86" s="10"/>
    </row>
    <row r="87" spans="7:9" ht="18.75" customHeight="1" x14ac:dyDescent="0.25">
      <c r="G87" s="18"/>
      <c r="I87" s="10"/>
    </row>
    <row r="88" spans="7:9" ht="18.75" customHeight="1" x14ac:dyDescent="0.25">
      <c r="G88" s="18"/>
      <c r="I88" s="10"/>
    </row>
    <row r="89" spans="7:9" ht="18.75" customHeight="1" x14ac:dyDescent="0.25">
      <c r="G89" s="18"/>
      <c r="I89" s="10"/>
    </row>
    <row r="90" spans="7:9" ht="18.75" customHeight="1" x14ac:dyDescent="0.25">
      <c r="G90" s="18"/>
      <c r="I90" s="10"/>
    </row>
    <row r="91" spans="7:9" ht="18.75" customHeight="1" x14ac:dyDescent="0.25">
      <c r="G91" s="18"/>
      <c r="I91" s="10"/>
    </row>
    <row r="92" spans="7:9" ht="18.75" customHeight="1" x14ac:dyDescent="0.25">
      <c r="G92" s="18"/>
      <c r="I92" s="10"/>
    </row>
    <row r="93" spans="7:9" ht="18.75" customHeight="1" x14ac:dyDescent="0.25">
      <c r="G93" s="18"/>
      <c r="I93" s="10"/>
    </row>
    <row r="94" spans="7:9" ht="18.75" customHeight="1" x14ac:dyDescent="0.25">
      <c r="G94" s="18"/>
      <c r="I94" s="10"/>
    </row>
    <row r="95" spans="7:9" ht="18.75" customHeight="1" x14ac:dyDescent="0.25">
      <c r="I95" s="10"/>
    </row>
    <row r="96" spans="7:9" ht="18.75" customHeight="1" x14ac:dyDescent="0.25">
      <c r="I96" s="10"/>
    </row>
    <row r="97" spans="2:9" ht="18.75" customHeight="1" x14ac:dyDescent="0.25">
      <c r="I97" s="10"/>
    </row>
    <row r="98" spans="2:9" ht="18.75" customHeight="1" x14ac:dyDescent="0.25">
      <c r="B98" s="43" t="s">
        <v>113</v>
      </c>
      <c r="G98" s="18"/>
      <c r="I98" s="10"/>
    </row>
    <row r="99" spans="2:9" ht="18.75" customHeight="1" x14ac:dyDescent="0.25">
      <c r="B99" s="155" t="s">
        <v>167</v>
      </c>
      <c r="C99" s="156" t="s">
        <v>105</v>
      </c>
      <c r="D99" s="156"/>
      <c r="E99" s="156"/>
      <c r="F99" s="156"/>
      <c r="G99" s="18"/>
      <c r="I99" s="10"/>
    </row>
    <row r="100" spans="2:9" ht="15" x14ac:dyDescent="0.25">
      <c r="B100" s="155"/>
      <c r="C100" s="91">
        <v>1</v>
      </c>
      <c r="D100" s="91">
        <v>2</v>
      </c>
      <c r="E100" s="91">
        <v>3</v>
      </c>
      <c r="F100" s="91">
        <v>4</v>
      </c>
      <c r="G100" s="18"/>
      <c r="I100" s="10"/>
    </row>
    <row r="101" spans="2:9" ht="18.75" customHeight="1" x14ac:dyDescent="0.25">
      <c r="B101" s="92">
        <f>'Input Data'!H56</f>
        <v>0</v>
      </c>
      <c r="C101" s="4">
        <f>IF(AND(B101&gt;=0,B101&lt;=5),0.4,IF(AND(B101&gt;5,B101&lt;30),0.53,IF(AND(B101&gt;=30,B101&lt;=45),0.56,IF(AND(B101&gt;45,B101&lt;=90),0.56,"-"))))</f>
        <v>0.4</v>
      </c>
      <c r="D101" s="4">
        <f>IF(AND(B101&gt;=0,B101&lt;=5),-0.69,IF(AND(B101&gt;5,B101&lt;30),-0.69,IF(AND(B101&gt;=30,B101&lt;=45),0.21,IF(AND(B101&gt;45,B101&lt;=90),0.56,"-"))))</f>
        <v>-0.69</v>
      </c>
      <c r="E101" s="75">
        <f>IF(AND(B101&gt;=0,B101&lt;=5),-0.37,IF(AND(B101&gt;5,B101&lt;30),-0.48,IF(AND(B101&gt;=30,B101&lt;=45),-0.43,IF(AND(B101&gt;45,B101&lt;=90),-0.37,"-"))))</f>
        <v>-0.37</v>
      </c>
      <c r="F101" s="75">
        <f>IF(AND(B101&gt;=0,B101&lt;=5),-0.29,IF(AND(B101&gt;5,B101&lt;30),-0.43,IF(AND(B101&gt;=30,B101&lt;=45),-0.37,IF(AND(B101&gt;45,B101&lt;=90),-0.37,"-"))))</f>
        <v>-0.28999999999999998</v>
      </c>
      <c r="G101" s="18"/>
      <c r="I101" s="10"/>
    </row>
    <row r="102" spans="2:9" ht="18.75" customHeight="1" x14ac:dyDescent="0.25">
      <c r="G102" s="18"/>
      <c r="I102" s="10"/>
    </row>
    <row r="103" spans="2:9" ht="18.75" customHeight="1" x14ac:dyDescent="0.25">
      <c r="B103" s="155" t="s">
        <v>167</v>
      </c>
      <c r="C103" s="156" t="s">
        <v>105</v>
      </c>
      <c r="D103" s="156"/>
      <c r="E103" s="156"/>
      <c r="F103" s="156"/>
      <c r="G103" s="18"/>
      <c r="I103" s="10"/>
    </row>
    <row r="104" spans="2:9" ht="18.75" customHeight="1" x14ac:dyDescent="0.25">
      <c r="B104" s="155"/>
      <c r="C104" s="91" t="s">
        <v>106</v>
      </c>
      <c r="D104" s="91" t="s">
        <v>107</v>
      </c>
      <c r="E104" s="91" t="s">
        <v>108</v>
      </c>
      <c r="F104" s="91" t="s">
        <v>109</v>
      </c>
      <c r="G104" s="18"/>
      <c r="H104" s="125"/>
      <c r="I104" s="10"/>
    </row>
    <row r="105" spans="2:9" ht="18.75" customHeight="1" x14ac:dyDescent="0.25">
      <c r="B105" s="92">
        <f>'Input Data'!H56</f>
        <v>0</v>
      </c>
      <c r="C105" s="4">
        <f>IF(AND(B105&gt;=0,B105&lt;=5),0.61,IF(AND(B105&gt;5,B105&lt;30),0.8,IF(AND(B105&gt;=30,B105&lt;=45),0.69,IF(AND(B105&gt;45,B105&lt;=90),0.69,"-"))))</f>
        <v>0.61</v>
      </c>
      <c r="D105" s="4">
        <f>IF(AND(B105&gt;=0,B105&lt;=5),-1.07,IF(AND(B105&gt;5,B105&lt;30),-1.07,IF(AND(B105&gt;=30,B105&lt;=45),0.27,IF(AND(B105&gt;45,B105&lt;=90),0.69,"-"))))</f>
        <v>-1.07</v>
      </c>
      <c r="E105" s="75">
        <f>IF(AND(B105&gt;=0,B105&lt;=5),-0.53,IF(AND(B105&gt;5,B105&lt;30),-0.69,IF(AND(B105&gt;=30,B105&lt;=45),-0.53,IF(AND(B105&gt;45,B105&lt;=90),-0.48,"-"))))</f>
        <v>-0.53</v>
      </c>
      <c r="F105" s="75">
        <f>IF(AND(B105&gt;=0,B105&lt;=5),-0.43,IF(AND(B105&gt;5,B105&lt;30),-0.64,IF(AND(B105&gt;=30,B105&lt;=45),-0.48,IF(AND(B105&gt;45,B105&lt;=90),-0.48,"-"))))</f>
        <v>-0.43</v>
      </c>
      <c r="G105" s="18"/>
      <c r="I105" s="10"/>
    </row>
    <row r="106" spans="2:9" ht="18.75" customHeight="1" x14ac:dyDescent="0.25">
      <c r="G106" s="18"/>
      <c r="I106" s="10"/>
    </row>
    <row r="107" spans="2:9" ht="18.75" customHeight="1" x14ac:dyDescent="0.25">
      <c r="B107" s="43" t="s">
        <v>112</v>
      </c>
      <c r="G107" s="18"/>
      <c r="I107" s="10"/>
    </row>
    <row r="108" spans="2:9" ht="18.75" customHeight="1" x14ac:dyDescent="0.25">
      <c r="B108" s="155" t="s">
        <v>167</v>
      </c>
      <c r="C108" s="156" t="s">
        <v>105</v>
      </c>
      <c r="D108" s="156"/>
      <c r="E108" s="156"/>
      <c r="F108" s="156"/>
      <c r="G108" s="156"/>
      <c r="H108" s="156"/>
      <c r="I108" s="10"/>
    </row>
    <row r="109" spans="2:9" ht="18.75" customHeight="1" x14ac:dyDescent="0.25">
      <c r="B109" s="155"/>
      <c r="C109" s="91">
        <v>1</v>
      </c>
      <c r="D109" s="91">
        <v>2</v>
      </c>
      <c r="E109" s="91">
        <v>3</v>
      </c>
      <c r="F109" s="91">
        <v>4</v>
      </c>
      <c r="G109" s="91">
        <v>5</v>
      </c>
      <c r="H109" s="91">
        <v>6</v>
      </c>
      <c r="I109" s="10"/>
    </row>
    <row r="110" spans="2:9" ht="18.75" customHeight="1" x14ac:dyDescent="0.25">
      <c r="B110" s="92">
        <f>'Input Data'!H56</f>
        <v>0</v>
      </c>
      <c r="C110" s="4">
        <v>-0.45</v>
      </c>
      <c r="D110" s="4">
        <v>-0.69</v>
      </c>
      <c r="E110" s="75">
        <v>-0.37</v>
      </c>
      <c r="F110" s="75">
        <v>-0.45</v>
      </c>
      <c r="G110" s="75">
        <v>0.4</v>
      </c>
      <c r="H110" s="75">
        <v>-0.28999999999999998</v>
      </c>
      <c r="I110" s="10"/>
    </row>
    <row r="111" spans="2:9" ht="18.75" customHeight="1" x14ac:dyDescent="0.25">
      <c r="G111" s="18"/>
      <c r="I111" s="10"/>
    </row>
    <row r="112" spans="2:9" ht="18.75" customHeight="1" x14ac:dyDescent="0.25">
      <c r="B112" s="155" t="s">
        <v>167</v>
      </c>
      <c r="C112" s="156" t="s">
        <v>105</v>
      </c>
      <c r="D112" s="156"/>
      <c r="E112" s="156"/>
      <c r="F112" s="156"/>
      <c r="G112" s="156"/>
      <c r="H112" s="156"/>
      <c r="I112" s="10"/>
    </row>
    <row r="113" spans="2:9" ht="18.75" customHeight="1" x14ac:dyDescent="0.25">
      <c r="B113" s="155"/>
      <c r="C113" s="91" t="s">
        <v>106</v>
      </c>
      <c r="D113" s="91" t="s">
        <v>107</v>
      </c>
      <c r="E113" s="91" t="s">
        <v>108</v>
      </c>
      <c r="F113" s="91" t="s">
        <v>109</v>
      </c>
      <c r="G113" s="91" t="s">
        <v>110</v>
      </c>
      <c r="H113" s="91" t="s">
        <v>111</v>
      </c>
      <c r="I113" s="10"/>
    </row>
    <row r="114" spans="2:9" ht="18.75" customHeight="1" x14ac:dyDescent="0.25">
      <c r="B114" s="92">
        <f>'Input Data'!H56</f>
        <v>0</v>
      </c>
      <c r="C114" s="4">
        <v>-0.48</v>
      </c>
      <c r="D114" s="4">
        <v>-1.07</v>
      </c>
      <c r="E114" s="75">
        <v>-0.53</v>
      </c>
      <c r="F114" s="75">
        <v>-0.48</v>
      </c>
      <c r="G114" s="75">
        <v>0.61</v>
      </c>
      <c r="H114" s="75">
        <v>-0.43</v>
      </c>
      <c r="I114" s="10"/>
    </row>
    <row r="115" spans="2:9" ht="18.75" customHeight="1" x14ac:dyDescent="0.25">
      <c r="B115" s="101" t="s">
        <v>131</v>
      </c>
      <c r="C115" s="100" t="s">
        <v>141</v>
      </c>
      <c r="D115" s="70"/>
      <c r="E115" s="99"/>
      <c r="F115" s="99"/>
      <c r="G115" s="99"/>
      <c r="H115" s="99"/>
      <c r="I115" s="10"/>
    </row>
    <row r="116" spans="2:9" ht="18.75" customHeight="1" x14ac:dyDescent="0.25">
      <c r="C116" s="1" t="s">
        <v>140</v>
      </c>
      <c r="G116" s="18"/>
      <c r="I116" s="10"/>
    </row>
    <row r="117" spans="2:9" ht="18.75" customHeight="1" x14ac:dyDescent="0.25">
      <c r="G117" s="18"/>
      <c r="I117" s="10"/>
    </row>
    <row r="118" spans="2:9" ht="18.75" customHeight="1" x14ac:dyDescent="0.25">
      <c r="G118" s="18"/>
      <c r="I118" s="10"/>
    </row>
    <row r="119" spans="2:9" ht="18.75" customHeight="1" x14ac:dyDescent="0.25">
      <c r="G119" s="18"/>
      <c r="I119" s="10"/>
    </row>
    <row r="120" spans="2:9" ht="18.75" customHeight="1" x14ac:dyDescent="0.25">
      <c r="G120" s="18"/>
      <c r="I120" s="10"/>
    </row>
    <row r="121" spans="2:9" ht="18.75" customHeight="1" x14ac:dyDescent="0.25">
      <c r="G121" s="18"/>
      <c r="I121" s="10"/>
    </row>
    <row r="122" spans="2:9" ht="18.75" customHeight="1" x14ac:dyDescent="0.25">
      <c r="G122" s="18"/>
      <c r="I122" s="10"/>
    </row>
    <row r="123" spans="2:9" ht="18.75" customHeight="1" x14ac:dyDescent="0.25">
      <c r="B123" s="1" t="s">
        <v>92</v>
      </c>
      <c r="E123" s="18" t="s">
        <v>123</v>
      </c>
      <c r="I123" s="10"/>
    </row>
    <row r="124" spans="2:9" ht="18.75" customHeight="1" x14ac:dyDescent="0.25">
      <c r="B124" s="157" t="s">
        <v>116</v>
      </c>
      <c r="C124" s="158" t="s">
        <v>115</v>
      </c>
      <c r="D124" s="158"/>
      <c r="E124" s="158"/>
      <c r="F124" s="158" t="s">
        <v>117</v>
      </c>
      <c r="G124" s="158"/>
      <c r="H124" s="158"/>
      <c r="I124" s="10"/>
    </row>
    <row r="125" spans="2:9" ht="18.75" customHeight="1" x14ac:dyDescent="0.25">
      <c r="B125" s="157"/>
      <c r="C125" s="144" t="s">
        <v>118</v>
      </c>
      <c r="D125" s="142" t="s">
        <v>122</v>
      </c>
      <c r="E125" s="156"/>
      <c r="F125" s="144" t="s">
        <v>118</v>
      </c>
      <c r="G125" s="142" t="s">
        <v>122</v>
      </c>
      <c r="H125" s="156"/>
      <c r="I125" s="10"/>
    </row>
    <row r="126" spans="2:9" ht="18.75" customHeight="1" x14ac:dyDescent="0.25">
      <c r="B126" s="157"/>
      <c r="C126" s="144"/>
      <c r="D126" s="93" t="s">
        <v>120</v>
      </c>
      <c r="E126" s="93" t="s">
        <v>121</v>
      </c>
      <c r="F126" s="144"/>
      <c r="G126" s="93" t="s">
        <v>120</v>
      </c>
      <c r="H126" s="93" t="s">
        <v>121</v>
      </c>
      <c r="I126" s="10"/>
    </row>
    <row r="127" spans="2:9" ht="18.75" customHeight="1" x14ac:dyDescent="0.25">
      <c r="B127" s="92">
        <v>1</v>
      </c>
      <c r="C127" s="4">
        <f>C101</f>
        <v>0.4</v>
      </c>
      <c r="D127" s="4">
        <f>$H$22*(C127-Process!$H$11)</f>
        <v>2.0706400000000005</v>
      </c>
      <c r="E127" s="4">
        <f>$H$22*(C127-Process!$H$12)</f>
        <v>5.4589600000000011</v>
      </c>
      <c r="F127" s="75">
        <f>C110</f>
        <v>-0.45</v>
      </c>
      <c r="G127" s="4">
        <f>$H$22*(F127-Process!$H$11)</f>
        <v>-5.9295600000000004</v>
      </c>
      <c r="H127" s="4">
        <f>$H$22*(F127-Process!$H$12)</f>
        <v>-2.5412400000000002</v>
      </c>
      <c r="I127" s="10"/>
    </row>
    <row r="128" spans="2:9" ht="18.75" customHeight="1" x14ac:dyDescent="0.25">
      <c r="B128" s="92">
        <v>2</v>
      </c>
      <c r="C128" s="4">
        <f>D101</f>
        <v>-0.69</v>
      </c>
      <c r="D128" s="4">
        <f>$H$22*(C128-Process!$H$11)</f>
        <v>-8.1884399999999999</v>
      </c>
      <c r="E128" s="4">
        <f>$H$22*(C128-Process!$H$12)</f>
        <v>-4.8001200000000006</v>
      </c>
      <c r="F128" s="75">
        <f>D110</f>
        <v>-0.69</v>
      </c>
      <c r="G128" s="4">
        <f>$H$22*(F128-Process!$H$11)</f>
        <v>-8.1884399999999999</v>
      </c>
      <c r="H128" s="4">
        <f>$H$22*(F128-Process!$H$12)</f>
        <v>-4.8001200000000006</v>
      </c>
      <c r="I128" s="10"/>
    </row>
    <row r="129" spans="2:9" ht="18.75" customHeight="1" x14ac:dyDescent="0.25">
      <c r="B129" s="92">
        <v>3</v>
      </c>
      <c r="C129" s="4">
        <f>E101</f>
        <v>-0.37</v>
      </c>
      <c r="D129" s="4">
        <f>$H$22*(C129-Process!$H$11)</f>
        <v>-5.1766000000000005</v>
      </c>
      <c r="E129" s="4">
        <f>$H$22*(C129-Process!$H$12)</f>
        <v>-1.7882800000000001</v>
      </c>
      <c r="F129" s="75">
        <f>E110</f>
        <v>-0.37</v>
      </c>
      <c r="G129" s="4">
        <f>$H$22*(F129-Process!$H$11)</f>
        <v>-5.1766000000000005</v>
      </c>
      <c r="H129" s="4">
        <f>$H$22*(F129-Process!$H$12)</f>
        <v>-1.7882800000000001</v>
      </c>
      <c r="I129" s="10"/>
    </row>
    <row r="130" spans="2:9" ht="18.75" customHeight="1" x14ac:dyDescent="0.25">
      <c r="B130" s="92">
        <v>4</v>
      </c>
      <c r="C130" s="4">
        <f>F101</f>
        <v>-0.28999999999999998</v>
      </c>
      <c r="D130" s="4">
        <f>$H$22*(C130-Process!$H$11)</f>
        <v>-4.4236399999999998</v>
      </c>
      <c r="E130" s="4">
        <f>$H$22*(C130-Process!$H$12)</f>
        <v>-1.03532</v>
      </c>
      <c r="F130" s="75">
        <f>F110</f>
        <v>-0.45</v>
      </c>
      <c r="G130" s="4">
        <f>$H$22*(F130-Process!$H$11)</f>
        <v>-5.9295600000000004</v>
      </c>
      <c r="H130" s="4">
        <f>$H$22*(F130-Process!$H$12)</f>
        <v>-2.5412400000000002</v>
      </c>
      <c r="I130" s="10"/>
    </row>
    <row r="131" spans="2:9" ht="18.75" customHeight="1" x14ac:dyDescent="0.25">
      <c r="B131" s="92">
        <v>5</v>
      </c>
      <c r="C131" s="4" t="s">
        <v>119</v>
      </c>
      <c r="D131" s="4" t="s">
        <v>119</v>
      </c>
      <c r="E131" s="4" t="s">
        <v>119</v>
      </c>
      <c r="F131" s="75">
        <f>G110</f>
        <v>0.4</v>
      </c>
      <c r="G131" s="4">
        <f>$H$22*(F131-Process!$H$11)</f>
        <v>2.0706400000000005</v>
      </c>
      <c r="H131" s="4">
        <f>$H$22*(F131-Process!$H$12)</f>
        <v>5.4589600000000011</v>
      </c>
      <c r="I131" s="10"/>
    </row>
    <row r="132" spans="2:9" ht="18.75" customHeight="1" x14ac:dyDescent="0.25">
      <c r="B132" s="92">
        <v>6</v>
      </c>
      <c r="C132" s="4" t="s">
        <v>119</v>
      </c>
      <c r="D132" s="4" t="s">
        <v>119</v>
      </c>
      <c r="E132" s="4" t="s">
        <v>119</v>
      </c>
      <c r="F132" s="75">
        <f>H110</f>
        <v>-0.28999999999999998</v>
      </c>
      <c r="G132" s="4">
        <f>$H$22*(F132-Process!$H$11)</f>
        <v>-4.4236399999999998</v>
      </c>
      <c r="H132" s="4">
        <f>$H$22*(F132-Process!$H$12)</f>
        <v>-1.03532</v>
      </c>
      <c r="I132" s="10"/>
    </row>
    <row r="133" spans="2:9" ht="18.75" customHeight="1" x14ac:dyDescent="0.25">
      <c r="B133" s="92" t="s">
        <v>106</v>
      </c>
      <c r="C133" s="4">
        <f>C105</f>
        <v>0.61</v>
      </c>
      <c r="D133" s="4">
        <f>$H$22*(C133-Process!$H$11)</f>
        <v>4.0471599999999999</v>
      </c>
      <c r="E133" s="4">
        <f>$H$22*(C133-Process!$H$12)</f>
        <v>7.435480000000001</v>
      </c>
      <c r="F133" s="75">
        <f>C114</f>
        <v>-0.48</v>
      </c>
      <c r="G133" s="4">
        <f>$H$22*(F133-Process!$H$11)</f>
        <v>-6.2119200000000001</v>
      </c>
      <c r="H133" s="4">
        <f>$H$22*(F133-Process!$H$12)</f>
        <v>-2.8236000000000003</v>
      </c>
      <c r="I133" s="10"/>
    </row>
    <row r="134" spans="2:9" ht="18.75" customHeight="1" x14ac:dyDescent="0.25">
      <c r="B134" s="92" t="s">
        <v>107</v>
      </c>
      <c r="C134" s="4">
        <f>D105</f>
        <v>-1.07</v>
      </c>
      <c r="D134" s="4">
        <f>$H$22*(C134-Process!$H$11)</f>
        <v>-11.765000000000001</v>
      </c>
      <c r="E134" s="4">
        <f>$H$22*(C134-Process!$H$12)</f>
        <v>-8.3766800000000021</v>
      </c>
      <c r="F134" s="75">
        <f>D114</f>
        <v>-1.07</v>
      </c>
      <c r="G134" s="4">
        <f>$H$22*(F134-Process!$H$11)</f>
        <v>-11.765000000000001</v>
      </c>
      <c r="H134" s="4">
        <f>$H$22*(F134-Process!$H$12)</f>
        <v>-8.3766800000000021</v>
      </c>
      <c r="I134" s="10"/>
    </row>
    <row r="135" spans="2:9" ht="18.75" customHeight="1" x14ac:dyDescent="0.25">
      <c r="B135" s="92" t="s">
        <v>108</v>
      </c>
      <c r="C135" s="4">
        <f>E105</f>
        <v>-0.53</v>
      </c>
      <c r="D135" s="4">
        <f>$H$22*(C135-Process!$H$11)</f>
        <v>-6.6825200000000002</v>
      </c>
      <c r="E135" s="4">
        <f>$H$22*(C135-Process!$H$12)</f>
        <v>-3.2942000000000005</v>
      </c>
      <c r="F135" s="75">
        <f>E114</f>
        <v>-0.53</v>
      </c>
      <c r="G135" s="4">
        <f>$H$22*(F135-Process!$H$11)</f>
        <v>-6.6825200000000002</v>
      </c>
      <c r="H135" s="4">
        <f>$H$22*(F135-Process!$H$12)</f>
        <v>-3.2942000000000005</v>
      </c>
      <c r="I135" s="10"/>
    </row>
    <row r="136" spans="2:9" ht="18.75" customHeight="1" x14ac:dyDescent="0.25">
      <c r="B136" s="92" t="s">
        <v>109</v>
      </c>
      <c r="C136" s="4">
        <f>F105</f>
        <v>-0.43</v>
      </c>
      <c r="D136" s="4">
        <f>$H$22*(C136-Process!$H$11)</f>
        <v>-5.74132</v>
      </c>
      <c r="E136" s="4">
        <f>$H$22*(C136-Process!$H$12)</f>
        <v>-2.3530000000000002</v>
      </c>
      <c r="F136" s="75">
        <f>F114</f>
        <v>-0.48</v>
      </c>
      <c r="G136" s="4">
        <f>$H$22*(F136-Process!$H$11)</f>
        <v>-6.2119200000000001</v>
      </c>
      <c r="H136" s="4">
        <f>$H$22*(F136-Process!$H$12)</f>
        <v>-2.8236000000000003</v>
      </c>
      <c r="I136" s="10"/>
    </row>
    <row r="137" spans="2:9" ht="18.75" customHeight="1" x14ac:dyDescent="0.25">
      <c r="B137" s="92" t="s">
        <v>110</v>
      </c>
      <c r="C137" s="4" t="s">
        <v>119</v>
      </c>
      <c r="D137" s="4" t="s">
        <v>119</v>
      </c>
      <c r="E137" s="4" t="s">
        <v>119</v>
      </c>
      <c r="F137" s="75">
        <f>G114</f>
        <v>0.61</v>
      </c>
      <c r="G137" s="4">
        <f>$H$22*(F137-Process!$H$11)</f>
        <v>4.0471599999999999</v>
      </c>
      <c r="H137" s="4">
        <f>$H$22*(F137-Process!$H$12)</f>
        <v>7.435480000000001</v>
      </c>
      <c r="I137" s="10"/>
    </row>
    <row r="138" spans="2:9" ht="18.75" customHeight="1" x14ac:dyDescent="0.25">
      <c r="B138" s="92" t="s">
        <v>111</v>
      </c>
      <c r="C138" s="4" t="s">
        <v>119</v>
      </c>
      <c r="D138" s="4" t="s">
        <v>119</v>
      </c>
      <c r="E138" s="4" t="s">
        <v>119</v>
      </c>
      <c r="F138" s="75">
        <f>H114</f>
        <v>-0.43</v>
      </c>
      <c r="G138" s="4">
        <f>$H$22*(F138-Process!$H$11)</f>
        <v>-5.74132</v>
      </c>
      <c r="H138" s="4">
        <f>$H$22*(F138-Process!$H$12)</f>
        <v>-2.3530000000000002</v>
      </c>
      <c r="I138" s="10"/>
    </row>
    <row r="139" spans="2:9" ht="18.75" customHeight="1" x14ac:dyDescent="0.25">
      <c r="B139" s="10"/>
      <c r="C139" s="10"/>
      <c r="D139" s="10"/>
      <c r="E139" s="10"/>
      <c r="F139" s="10"/>
      <c r="G139" s="10"/>
      <c r="H139" s="10"/>
      <c r="I139" s="10"/>
    </row>
    <row r="140" spans="2:9" ht="18.75" customHeight="1" x14ac:dyDescent="0.25">
      <c r="B140" s="10"/>
      <c r="C140" s="10"/>
      <c r="D140" s="10"/>
      <c r="E140" s="10"/>
      <c r="F140" s="10"/>
      <c r="G140" s="10"/>
      <c r="H140" s="10"/>
      <c r="I140" s="10"/>
    </row>
    <row r="141" spans="2:9" ht="18.75" customHeight="1" x14ac:dyDescent="0.25">
      <c r="B141" s="10"/>
      <c r="C141" s="10"/>
      <c r="D141" s="10"/>
      <c r="E141" s="10"/>
      <c r="F141" s="10"/>
      <c r="G141" s="10"/>
      <c r="H141" s="10"/>
      <c r="I141" s="10"/>
    </row>
    <row r="142" spans="2:9" ht="18.75" customHeight="1" x14ac:dyDescent="0.25">
      <c r="B142" s="10"/>
      <c r="C142" s="10"/>
      <c r="D142" s="10"/>
      <c r="E142" s="10"/>
      <c r="F142" s="10"/>
      <c r="G142" s="10"/>
      <c r="H142" s="10"/>
      <c r="I142" s="10"/>
    </row>
  </sheetData>
  <mergeCells count="21">
    <mergeCell ref="B112:B113"/>
    <mergeCell ref="C112:H112"/>
    <mergeCell ref="B124:B126"/>
    <mergeCell ref="C124:E124"/>
    <mergeCell ref="F124:H124"/>
    <mergeCell ref="C125:C126"/>
    <mergeCell ref="D125:E125"/>
    <mergeCell ref="F125:F126"/>
    <mergeCell ref="G125:H125"/>
    <mergeCell ref="B99:B100"/>
    <mergeCell ref="C99:F99"/>
    <mergeCell ref="B103:B104"/>
    <mergeCell ref="C103:F103"/>
    <mergeCell ref="B108:B109"/>
    <mergeCell ref="C108:H108"/>
    <mergeCell ref="A1:I1"/>
    <mergeCell ref="A3:C7"/>
    <mergeCell ref="F3:I3"/>
    <mergeCell ref="F4:I4"/>
    <mergeCell ref="F5:I5"/>
    <mergeCell ref="F7:I7"/>
  </mergeCells>
  <hyperlinks>
    <hyperlink ref="F7" r:id="rId1" xr:uid="{03FE8D60-0CEC-482E-BFAF-05E6C780E7DF}"/>
  </hyperlinks>
  <pageMargins left="0.7" right="0.7" top="0.75" bottom="0.75" header="0.3" footer="0.3"/>
  <pageSetup paperSize="9" scale="99" orientation="portrait" horizontalDpi="4294967293" r:id="rId2"/>
  <headerFooter>
    <oddHeader xml:space="preserve">&amp;L&amp;K05-022Versi 1.0.0&amp;C&amp;K05-022Page &amp;P&amp;R&amp;K05-022Release Date : Nopember 2024
</oddHeader>
    <oddFooter xml:space="preserve">&amp;L&amp;K05-022Dapatkan program bantu spreadsheet ini hanya di https://www.inpetra.id/ </oddFooter>
  </headerFooter>
  <ignoredErrors>
    <ignoredError sqref="H13:H18 H11" unlocked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About</vt:lpstr>
      <vt:lpstr>Input Data</vt:lpstr>
      <vt:lpstr>Table</vt:lpstr>
      <vt:lpstr>Process</vt:lpstr>
      <vt:lpstr>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indra raj suweda</dc:creator>
  <cp:lastModifiedBy>indra raj suweda</cp:lastModifiedBy>
  <cp:lastPrinted>2024-11-05T01:53:59Z</cp:lastPrinted>
  <dcterms:created xsi:type="dcterms:W3CDTF">2015-06-05T18:17:20Z</dcterms:created>
  <dcterms:modified xsi:type="dcterms:W3CDTF">2024-11-05T02:20:14Z</dcterms:modified>
</cp:coreProperties>
</file>