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Documents/"/>
    </mc:Choice>
  </mc:AlternateContent>
  <xr:revisionPtr revIDLastSave="5" documentId="8_{7A88768B-AA9C-44C4-B507-3C67EE70E54A}" xr6:coauthVersionLast="47" xr6:coauthVersionMax="47" xr10:uidLastSave="{8F44BF7C-82C1-4A57-B0E1-1493401A23EB}"/>
  <bookViews>
    <workbookView xWindow="-120" yWindow="-120" windowWidth="29040" windowHeight="15720" xr2:uid="{4B67D479-9093-46B2-B0CE-C0F273E0CB64}"/>
  </bookViews>
  <sheets>
    <sheet name="About" sheetId="6" r:id="rId1"/>
    <sheet name="Input" sheetId="1" r:id="rId2"/>
    <sheet name="Pic database" sheetId="9" state="hidden" r:id="rId3"/>
    <sheet name="Process" sheetId="2" r:id="rId4"/>
    <sheet name="Result" sheetId="3" r:id="rId5"/>
    <sheet name="Report" sheetId="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0" i="2" l="1"/>
  <c r="H442" i="4" s="1"/>
  <c r="H440" i="4"/>
  <c r="F438" i="4"/>
  <c r="D438" i="4"/>
  <c r="H434" i="4"/>
  <c r="H431" i="4"/>
  <c r="H430" i="4"/>
  <c r="H547" i="4" l="1"/>
  <c r="G554" i="4" s="1"/>
  <c r="H420" i="4"/>
  <c r="D382" i="4"/>
  <c r="H379" i="4"/>
  <c r="H334" i="4"/>
  <c r="H332" i="4"/>
  <c r="H202" i="4"/>
  <c r="H162" i="4"/>
  <c r="H123" i="4"/>
  <c r="H122" i="4"/>
  <c r="H82" i="4"/>
  <c r="H52" i="4"/>
  <c r="H51" i="4"/>
  <c r="H50" i="4"/>
  <c r="H48" i="4"/>
  <c r="H47" i="4"/>
  <c r="H46" i="4"/>
  <c r="H44" i="4"/>
  <c r="H43" i="4"/>
  <c r="H32" i="4"/>
  <c r="H33" i="4"/>
  <c r="H34" i="4"/>
  <c r="H35" i="4"/>
  <c r="H36" i="4"/>
  <c r="H31" i="4"/>
  <c r="H413" i="4"/>
  <c r="G416" i="4" s="1"/>
  <c r="H373" i="4"/>
  <c r="G376" i="4" s="1"/>
  <c r="U67" i="9"/>
  <c r="V66" i="9"/>
  <c r="U65" i="9"/>
  <c r="U63" i="9"/>
  <c r="U64" i="9"/>
  <c r="V64" i="9"/>
  <c r="V65" i="9" s="1"/>
  <c r="P82" i="9"/>
  <c r="P83" i="9"/>
  <c r="P84" i="9"/>
  <c r="P85" i="9"/>
  <c r="P86" i="9"/>
  <c r="P88" i="9"/>
  <c r="P81" i="9"/>
  <c r="P66" i="9"/>
  <c r="P68" i="9" s="1"/>
  <c r="P70" i="9" s="1"/>
  <c r="P72" i="9" s="1"/>
  <c r="P74" i="9" s="1"/>
  <c r="P76" i="9" s="1"/>
  <c r="P78" i="9" s="1"/>
  <c r="P80" i="9" s="1"/>
  <c r="P65" i="9"/>
  <c r="P67" i="9" s="1"/>
  <c r="P69" i="9" s="1"/>
  <c r="P71" i="9" s="1"/>
  <c r="P73" i="9" s="1"/>
  <c r="P75" i="9" s="1"/>
  <c r="P77" i="9" s="1"/>
  <c r="P79" i="9" s="1"/>
  <c r="H88" i="9"/>
  <c r="G88" i="9"/>
  <c r="H449" i="2"/>
  <c r="G456" i="2" s="1"/>
  <c r="H17" i="3" s="1"/>
  <c r="H304" i="2"/>
  <c r="D308" i="2" s="1"/>
  <c r="H332" i="2"/>
  <c r="G335" i="2" s="1"/>
  <c r="H298" i="2"/>
  <c r="H263" i="2"/>
  <c r="H262" i="2"/>
  <c r="H333" i="4" s="1"/>
  <c r="H260" i="2"/>
  <c r="H331" i="4" s="1"/>
  <c r="G336" i="4" s="1"/>
  <c r="G83" i="9"/>
  <c r="H83" i="9"/>
  <c r="H82" i="9"/>
  <c r="H81" i="9"/>
  <c r="G81" i="9"/>
  <c r="G82" i="9" s="1"/>
  <c r="L96" i="9"/>
  <c r="L98" i="9" s="1"/>
  <c r="L100" i="9" s="1"/>
  <c r="L102" i="9" s="1"/>
  <c r="L104" i="9" s="1"/>
  <c r="L106" i="9" s="1"/>
  <c r="L108" i="9" s="1"/>
  <c r="L110" i="9" s="1"/>
  <c r="L112" i="9" s="1"/>
  <c r="L114" i="9" s="1"/>
  <c r="L116" i="9" s="1"/>
  <c r="L118" i="9" s="1"/>
  <c r="L120" i="9" s="1"/>
  <c r="L95" i="9"/>
  <c r="L97" i="9" s="1"/>
  <c r="L99" i="9" s="1"/>
  <c r="L101" i="9" s="1"/>
  <c r="L103" i="9" s="1"/>
  <c r="L105" i="9" s="1"/>
  <c r="L107" i="9" s="1"/>
  <c r="L109" i="9" s="1"/>
  <c r="L111" i="9" s="1"/>
  <c r="L113" i="9" s="1"/>
  <c r="L115" i="9" s="1"/>
  <c r="L117" i="9" s="1"/>
  <c r="L119" i="9" s="1"/>
  <c r="K95" i="9"/>
  <c r="K79" i="9"/>
  <c r="K80" i="9" s="1"/>
  <c r="K78" i="9"/>
  <c r="K67" i="9"/>
  <c r="K68" i="9" s="1"/>
  <c r="K65" i="9"/>
  <c r="K66" i="9" s="1"/>
  <c r="L66" i="9"/>
  <c r="L68" i="9" s="1"/>
  <c r="L70" i="9" s="1"/>
  <c r="L72" i="9" s="1"/>
  <c r="L74" i="9" s="1"/>
  <c r="L76" i="9" s="1"/>
  <c r="L78" i="9" s="1"/>
  <c r="L80" i="9" s="1"/>
  <c r="L82" i="9" s="1"/>
  <c r="L84" i="9" s="1"/>
  <c r="L86" i="9" s="1"/>
  <c r="L88" i="9" s="1"/>
  <c r="L90" i="9" s="1"/>
  <c r="L92" i="9" s="1"/>
  <c r="K64" i="9"/>
  <c r="K63" i="9"/>
  <c r="L65" i="9"/>
  <c r="L67" i="9" s="1"/>
  <c r="L69" i="9" s="1"/>
  <c r="L71" i="9" s="1"/>
  <c r="L73" i="9" s="1"/>
  <c r="L75" i="9" s="1"/>
  <c r="L77" i="9" s="1"/>
  <c r="L79" i="9" s="1"/>
  <c r="L81" i="9" s="1"/>
  <c r="L83" i="9" s="1"/>
  <c r="L85" i="9" s="1"/>
  <c r="L87" i="9" s="1"/>
  <c r="L89" i="9" s="1"/>
  <c r="L91" i="9" s="1"/>
  <c r="H64" i="2"/>
  <c r="F34" i="3" l="1"/>
  <c r="P96" i="9"/>
  <c r="P95" i="9"/>
  <c r="P94" i="9"/>
  <c r="P93" i="9"/>
  <c r="P92" i="9"/>
  <c r="P91" i="9"/>
  <c r="P87" i="9"/>
  <c r="P98" i="9"/>
  <c r="P97" i="9"/>
  <c r="P90" i="9"/>
  <c r="P89" i="9"/>
  <c r="K97" i="9"/>
  <c r="K96" i="9"/>
  <c r="K94" i="9"/>
  <c r="K81" i="9"/>
  <c r="K69" i="9"/>
  <c r="H65" i="2"/>
  <c r="H124" i="4" s="1"/>
  <c r="K98" i="9" l="1"/>
  <c r="K99" i="9"/>
  <c r="K82" i="9"/>
  <c r="K83" i="9"/>
  <c r="K70" i="9"/>
  <c r="K71" i="9"/>
  <c r="H153" i="2"/>
  <c r="H218" i="4" s="1"/>
  <c r="K100" i="9" l="1"/>
  <c r="K101" i="9"/>
  <c r="K84" i="9"/>
  <c r="K85" i="9"/>
  <c r="K73" i="9"/>
  <c r="K72" i="9"/>
  <c r="G70" i="9"/>
  <c r="H71" i="9"/>
  <c r="H72" i="9"/>
  <c r="H73" i="9"/>
  <c r="H74" i="9"/>
  <c r="H75" i="9"/>
  <c r="H70" i="9"/>
  <c r="G72" i="9"/>
  <c r="G74" i="9" s="1"/>
  <c r="G71" i="9"/>
  <c r="G68" i="9"/>
  <c r="H65" i="9"/>
  <c r="H68" i="9"/>
  <c r="H67" i="9"/>
  <c r="H66" i="9"/>
  <c r="G67" i="9"/>
  <c r="G66" i="9"/>
  <c r="G65" i="9"/>
  <c r="H64" i="9"/>
  <c r="H63" i="9"/>
  <c r="G64" i="9"/>
  <c r="D88" i="9"/>
  <c r="D89" i="9" s="1"/>
  <c r="D86" i="9"/>
  <c r="D87" i="9" s="1"/>
  <c r="D85" i="9"/>
  <c r="D84" i="9"/>
  <c r="D83" i="9"/>
  <c r="D81" i="9"/>
  <c r="D79" i="9"/>
  <c r="C79" i="9"/>
  <c r="D78" i="9"/>
  <c r="C84" i="9"/>
  <c r="C85" i="9"/>
  <c r="C87" i="9"/>
  <c r="C89" i="9" s="1"/>
  <c r="C86" i="9"/>
  <c r="C88" i="9" s="1"/>
  <c r="D71" i="9"/>
  <c r="C81" i="9"/>
  <c r="C83" i="9" s="1"/>
  <c r="C80" i="9"/>
  <c r="C82" i="9" s="1"/>
  <c r="D73" i="9"/>
  <c r="C74" i="9"/>
  <c r="C73" i="9"/>
  <c r="D72" i="9"/>
  <c r="C72" i="9"/>
  <c r="D67" i="9"/>
  <c r="C67" i="9"/>
  <c r="D64" i="9"/>
  <c r="D65" i="9" s="1"/>
  <c r="D66" i="9" s="1"/>
  <c r="C64" i="9"/>
  <c r="C65" i="9" s="1"/>
  <c r="C66" i="9" s="1"/>
  <c r="H6" i="9"/>
  <c r="K103" i="9" l="1"/>
  <c r="K102" i="9"/>
  <c r="K86" i="9"/>
  <c r="K87" i="9"/>
  <c r="K75" i="9"/>
  <c r="K74" i="9"/>
  <c r="G73" i="9"/>
  <c r="G75" i="9" s="1"/>
  <c r="D82" i="9"/>
  <c r="D74" i="9"/>
  <c r="K104" i="9" l="1"/>
  <c r="K105" i="9"/>
  <c r="K88" i="9"/>
  <c r="K89" i="9"/>
  <c r="K76" i="9"/>
  <c r="K77" i="9"/>
  <c r="Q8" i="9"/>
  <c r="H8" i="9"/>
  <c r="H102" i="2"/>
  <c r="H140" i="2"/>
  <c r="H203" i="4" s="1"/>
  <c r="H26" i="2"/>
  <c r="F216" i="2" l="1"/>
  <c r="H83" i="4"/>
  <c r="F257" i="2"/>
  <c r="F327" i="4" s="1"/>
  <c r="H163" i="4"/>
  <c r="K107" i="9"/>
  <c r="K106" i="9"/>
  <c r="K90" i="9"/>
  <c r="K91" i="9"/>
  <c r="H406" i="2"/>
  <c r="H374" i="2"/>
  <c r="H375" i="2"/>
  <c r="G56" i="9"/>
  <c r="I16" i="3" l="1"/>
  <c r="H496" i="4"/>
  <c r="I10" i="3"/>
  <c r="H456" i="4"/>
  <c r="H457" i="4"/>
  <c r="H10" i="3"/>
  <c r="F283" i="4"/>
  <c r="F23" i="3"/>
  <c r="K108" i="9"/>
  <c r="K109" i="9"/>
  <c r="K92" i="9"/>
  <c r="D51" i="9"/>
  <c r="D44" i="9"/>
  <c r="H46" i="9"/>
  <c r="G58" i="9" s="1"/>
  <c r="G57" i="9" s="1"/>
  <c r="C4" i="9"/>
  <c r="B3" i="9" s="1"/>
  <c r="C14" i="9"/>
  <c r="C13" i="9"/>
  <c r="C10" i="9"/>
  <c r="C8" i="9" s="1"/>
  <c r="C9" i="9"/>
  <c r="C7" i="9"/>
  <c r="K111" i="9" l="1"/>
  <c r="K110" i="9"/>
  <c r="E58" i="9"/>
  <c r="C56" i="9"/>
  <c r="C57" i="9" s="1"/>
  <c r="C58" i="9" s="1"/>
  <c r="E56" i="9"/>
  <c r="E57" i="9"/>
  <c r="I46" i="9"/>
  <c r="B8" i="9"/>
  <c r="C11" i="9"/>
  <c r="C12" i="9" s="1"/>
  <c r="K113" i="9" l="1"/>
  <c r="K112" i="9"/>
  <c r="B9" i="9"/>
  <c r="F56" i="9" s="1"/>
  <c r="F57" i="9" s="1"/>
  <c r="F58" i="9" s="1"/>
  <c r="B10" i="9"/>
  <c r="B12" i="9" s="1"/>
  <c r="B14" i="9" s="1"/>
  <c r="B7" i="9"/>
  <c r="K114" i="9" l="1"/>
  <c r="K115" i="9"/>
  <c r="T18" i="9"/>
  <c r="T29" i="9"/>
  <c r="N29" i="9"/>
  <c r="Q18" i="9"/>
  <c r="N18" i="9"/>
  <c r="B58" i="9"/>
  <c r="C29" i="9"/>
  <c r="F29" i="9"/>
  <c r="F18" i="9"/>
  <c r="I29" i="9"/>
  <c r="I18" i="9"/>
  <c r="C18" i="9"/>
  <c r="Q29" i="9"/>
  <c r="B56" i="9"/>
  <c r="B57" i="9" s="1"/>
  <c r="D56" i="9"/>
  <c r="D57" i="9" s="1"/>
  <c r="D58" i="9" s="1"/>
  <c r="B11" i="9"/>
  <c r="B13" i="9" s="1"/>
  <c r="K117" i="9" l="1"/>
  <c r="K116" i="9"/>
  <c r="J45" i="9"/>
  <c r="K45" i="9" s="1"/>
  <c r="C49" i="9"/>
  <c r="C42" i="9"/>
  <c r="H42" i="9"/>
  <c r="H45" i="9" s="1"/>
  <c r="K119" i="9" l="1"/>
  <c r="K118" i="9"/>
  <c r="C50" i="9"/>
  <c r="E49" i="9"/>
  <c r="E42" i="9"/>
  <c r="C43" i="9"/>
  <c r="H6" i="2"/>
  <c r="H407" i="2"/>
  <c r="H16" i="3" l="1"/>
  <c r="H497" i="4"/>
  <c r="H67" i="2"/>
  <c r="H126" i="4" s="1"/>
  <c r="H58" i="4"/>
  <c r="K120" i="9"/>
  <c r="E43" i="9"/>
  <c r="E50" i="9"/>
  <c r="C44" i="9"/>
  <c r="C51" i="9"/>
  <c r="H376" i="2"/>
  <c r="H458" i="4" s="1"/>
  <c r="H408" i="2"/>
  <c r="H498" i="4" s="1"/>
  <c r="H141" i="2"/>
  <c r="H143" i="2" l="1"/>
  <c r="H206" i="4" s="1"/>
  <c r="H204" i="4"/>
  <c r="E44" i="9"/>
  <c r="E51" i="9"/>
  <c r="H21" i="2"/>
  <c r="H74" i="4" s="1"/>
  <c r="Q10" i="9" l="1"/>
  <c r="H10" i="9"/>
  <c r="G301" i="2"/>
  <c r="H16" i="4"/>
  <c r="H17" i="4"/>
  <c r="H18" i="4"/>
  <c r="H15" i="4"/>
  <c r="H6" i="3"/>
  <c r="H5" i="3"/>
  <c r="H4" i="3"/>
  <c r="H347" i="2"/>
  <c r="H428" i="4" s="1"/>
  <c r="H344" i="2"/>
  <c r="H425" i="4" s="1"/>
  <c r="H345" i="2"/>
  <c r="H426" i="4" s="1"/>
  <c r="H342" i="2"/>
  <c r="H423" i="4" s="1"/>
  <c r="H341" i="2"/>
  <c r="H422" i="4" s="1"/>
  <c r="H338" i="2"/>
  <c r="H419" i="4" s="1"/>
  <c r="H270" i="2"/>
  <c r="G265" i="2"/>
  <c r="H5" i="2"/>
  <c r="H57" i="4" s="1"/>
  <c r="F178" i="2"/>
  <c r="F243" i="4" s="1"/>
  <c r="F31" i="3"/>
  <c r="H39" i="2"/>
  <c r="H97" i="4" s="1"/>
  <c r="H17" i="2"/>
  <c r="H70" i="4" s="1"/>
  <c r="H4" i="2"/>
  <c r="H56" i="4" s="1"/>
  <c r="H3" i="2"/>
  <c r="H55" i="4" s="1"/>
  <c r="D274" i="2" l="1"/>
  <c r="D344" i="4" s="1"/>
  <c r="H341" i="4"/>
  <c r="H66" i="2"/>
  <c r="H125" i="4" s="1"/>
  <c r="H265" i="2"/>
  <c r="H336" i="4" s="1"/>
  <c r="F276" i="2"/>
  <c r="F346" i="4" s="1"/>
  <c r="F310" i="2"/>
  <c r="F384" i="4" s="1"/>
  <c r="H115" i="2"/>
  <c r="H77" i="2"/>
  <c r="H136" i="4" s="1"/>
  <c r="H438" i="2"/>
  <c r="F38" i="3"/>
  <c r="H404" i="2"/>
  <c r="H494" i="4" s="1"/>
  <c r="H10" i="2"/>
  <c r="H62" i="4" s="1"/>
  <c r="H8" i="2"/>
  <c r="H60" i="4" s="1"/>
  <c r="H9" i="2"/>
  <c r="H61" i="4" s="1"/>
  <c r="H142" i="2"/>
  <c r="H205" i="4" s="1"/>
  <c r="H103" i="2"/>
  <c r="H164" i="4" s="1"/>
  <c r="H27" i="2"/>
  <c r="H84" i="4" s="1"/>
  <c r="F220" i="2"/>
  <c r="F289" i="4" s="1"/>
  <c r="F179" i="2"/>
  <c r="F244" i="4" s="1"/>
  <c r="F206" i="2"/>
  <c r="F273" i="4" s="1"/>
  <c r="H16" i="2"/>
  <c r="H68" i="4" s="1"/>
  <c r="H366" i="2"/>
  <c r="H448" i="4" s="1"/>
  <c r="F26" i="3"/>
  <c r="H266" i="2"/>
  <c r="H337" i="4" s="1"/>
  <c r="H15" i="2"/>
  <c r="H22" i="2"/>
  <c r="H76" i="4" s="1"/>
  <c r="H267" i="2"/>
  <c r="H338" i="4" s="1"/>
  <c r="H28" i="2"/>
  <c r="H85" i="4" s="1"/>
  <c r="H18" i="2"/>
  <c r="H71" i="4" s="1"/>
  <c r="H353" i="2"/>
  <c r="H340" i="2"/>
  <c r="H421" i="4" s="1"/>
  <c r="D357" i="2"/>
  <c r="D71" i="2" l="1"/>
  <c r="D130" i="4" s="1"/>
  <c r="H67" i="4"/>
  <c r="H506" i="4"/>
  <c r="H505" i="4"/>
  <c r="H536" i="4"/>
  <c r="G543" i="4" s="1"/>
  <c r="G445" i="2"/>
  <c r="H11" i="3" s="1"/>
  <c r="F219" i="2"/>
  <c r="F288" i="4" s="1"/>
  <c r="H178" i="4"/>
  <c r="H454" i="2"/>
  <c r="H552" i="4" s="1"/>
  <c r="G435" i="4"/>
  <c r="F278" i="2"/>
  <c r="F348" i="4" s="1"/>
  <c r="F312" i="2"/>
  <c r="F386" i="4" s="1"/>
  <c r="H280" i="2"/>
  <c r="H350" i="4" s="1"/>
  <c r="F308" i="2"/>
  <c r="F382" i="4" s="1"/>
  <c r="H276" i="2"/>
  <c r="H346" i="4" s="1"/>
  <c r="G346" i="4" s="1"/>
  <c r="H278" i="2"/>
  <c r="H348" i="4" s="1"/>
  <c r="H314" i="2"/>
  <c r="H310" i="2"/>
  <c r="H312" i="2"/>
  <c r="H386" i="4" s="1"/>
  <c r="H316" i="2"/>
  <c r="H390" i="4" s="1"/>
  <c r="H282" i="2"/>
  <c r="H352" i="4" s="1"/>
  <c r="F274" i="2"/>
  <c r="F344" i="4" s="1"/>
  <c r="E344" i="4" s="1"/>
  <c r="H372" i="2"/>
  <c r="H454" i="4" s="1"/>
  <c r="H144" i="2"/>
  <c r="H207" i="4" s="1"/>
  <c r="H68" i="2"/>
  <c r="H416" i="2"/>
  <c r="I15" i="3" s="1"/>
  <c r="H415" i="2"/>
  <c r="I14" i="3" s="1"/>
  <c r="H405" i="2"/>
  <c r="H495" i="4" s="1"/>
  <c r="H29" i="2"/>
  <c r="H86" i="4" s="1"/>
  <c r="D147" i="2"/>
  <c r="D212" i="4" s="1"/>
  <c r="F209" i="2"/>
  <c r="H359" i="2"/>
  <c r="H105" i="2"/>
  <c r="H166" i="4" s="1"/>
  <c r="F357" i="2"/>
  <c r="G439" i="4" s="1"/>
  <c r="F247" i="2"/>
  <c r="F317" i="4" s="1"/>
  <c r="D33" i="2"/>
  <c r="H11" i="2"/>
  <c r="H63" i="4" s="1"/>
  <c r="G278" i="2"/>
  <c r="H104" i="2"/>
  <c r="H165" i="4" s="1"/>
  <c r="G354" i="2"/>
  <c r="H19" i="2"/>
  <c r="H72" i="4" s="1"/>
  <c r="H443" i="2"/>
  <c r="H541" i="4" s="1"/>
  <c r="H465" i="4" l="1"/>
  <c r="H466" i="4"/>
  <c r="D109" i="2"/>
  <c r="D172" i="4" s="1"/>
  <c r="D91" i="4"/>
  <c r="D316" i="2"/>
  <c r="D390" i="4" s="1"/>
  <c r="H388" i="4"/>
  <c r="C364" i="4"/>
  <c r="E382" i="4"/>
  <c r="C404" i="4"/>
  <c r="G310" i="2"/>
  <c r="H384" i="4"/>
  <c r="G384" i="4" s="1"/>
  <c r="G386" i="4"/>
  <c r="E71" i="2"/>
  <c r="E130" i="4" s="1"/>
  <c r="H127" i="4"/>
  <c r="F250" i="2"/>
  <c r="F320" i="4" s="1"/>
  <c r="F276" i="4"/>
  <c r="G348" i="4"/>
  <c r="F318" i="2"/>
  <c r="F392" i="4" s="1"/>
  <c r="F284" i="2"/>
  <c r="F354" i="4" s="1"/>
  <c r="C289" i="2"/>
  <c r="H384" i="2"/>
  <c r="I9" i="3" s="1"/>
  <c r="D310" i="2"/>
  <c r="D384" i="4" s="1"/>
  <c r="D276" i="2"/>
  <c r="D346" i="4" s="1"/>
  <c r="H373" i="2"/>
  <c r="H455" i="4" s="1"/>
  <c r="D278" i="2"/>
  <c r="D348" i="4" s="1"/>
  <c r="D312" i="2"/>
  <c r="D386" i="4" s="1"/>
  <c r="E274" i="2"/>
  <c r="G312" i="2"/>
  <c r="H383" i="2"/>
  <c r="I8" i="3" s="1"/>
  <c r="F280" i="2"/>
  <c r="F350" i="4" s="1"/>
  <c r="G350" i="4" s="1"/>
  <c r="F314" i="2"/>
  <c r="F388" i="4" s="1"/>
  <c r="D280" i="2"/>
  <c r="D350" i="4" s="1"/>
  <c r="D314" i="2"/>
  <c r="D388" i="4" s="1"/>
  <c r="C323" i="2"/>
  <c r="E308" i="2"/>
  <c r="H30" i="2"/>
  <c r="H87" i="4" s="1"/>
  <c r="H361" i="2"/>
  <c r="G358" i="2"/>
  <c r="H106" i="2"/>
  <c r="H167" i="4" s="1"/>
  <c r="G276" i="2"/>
  <c r="D282" i="2"/>
  <c r="D352" i="4" s="1"/>
  <c r="H13" i="2"/>
  <c r="H65" i="4" s="1"/>
  <c r="H183" i="2"/>
  <c r="H250" i="4" s="1"/>
  <c r="H20" i="2"/>
  <c r="H73" i="4" s="1"/>
  <c r="C290" i="2"/>
  <c r="H443" i="4" l="1"/>
  <c r="F448" i="4" s="1"/>
  <c r="G446" i="4" s="1"/>
  <c r="E348" i="4"/>
  <c r="C366" i="4"/>
  <c r="E386" i="4"/>
  <c r="C406" i="4"/>
  <c r="E388" i="4"/>
  <c r="C407" i="4"/>
  <c r="E346" i="4"/>
  <c r="C365" i="4"/>
  <c r="E384" i="4"/>
  <c r="C405" i="4"/>
  <c r="E350" i="4"/>
  <c r="C367" i="4"/>
  <c r="C291" i="2"/>
  <c r="G388" i="4"/>
  <c r="E276" i="2"/>
  <c r="G280" i="2"/>
  <c r="F282" i="2"/>
  <c r="F352" i="4" s="1"/>
  <c r="G352" i="4" s="1"/>
  <c r="E280" i="2"/>
  <c r="E312" i="2"/>
  <c r="C325" i="2"/>
  <c r="C326" i="2"/>
  <c r="E314" i="2"/>
  <c r="C324" i="2"/>
  <c r="E310" i="2"/>
  <c r="F316" i="2"/>
  <c r="F390" i="4" s="1"/>
  <c r="G390" i="4" s="1"/>
  <c r="G314" i="2"/>
  <c r="E278" i="2"/>
  <c r="H38" i="3"/>
  <c r="G38" i="3" s="1"/>
  <c r="E33" i="2"/>
  <c r="E91" i="4" s="1"/>
  <c r="F366" i="2"/>
  <c r="H364" i="2" s="1"/>
  <c r="H446" i="4" s="1"/>
  <c r="H362" i="2"/>
  <c r="H444" i="4" s="1"/>
  <c r="E109" i="2"/>
  <c r="E172" i="4" s="1"/>
  <c r="C292" i="2"/>
  <c r="F186" i="2"/>
  <c r="F253" i="4" s="1"/>
  <c r="H224" i="2"/>
  <c r="H294" i="4" s="1"/>
  <c r="F297" i="4" s="1"/>
  <c r="H14" i="2"/>
  <c r="H66" i="4" s="1"/>
  <c r="G539" i="4" l="1"/>
  <c r="G411" i="4"/>
  <c r="G550" i="4"/>
  <c r="E282" i="2"/>
  <c r="D284" i="2"/>
  <c r="D354" i="4" s="1"/>
  <c r="E352" i="4"/>
  <c r="D318" i="2"/>
  <c r="D392" i="4" s="1"/>
  <c r="G371" i="4"/>
  <c r="C368" i="4"/>
  <c r="G282" i="2"/>
  <c r="C408" i="4"/>
  <c r="E390" i="4"/>
  <c r="C293" i="2"/>
  <c r="G316" i="2"/>
  <c r="E316" i="2"/>
  <c r="C327" i="2"/>
  <c r="I38" i="3"/>
  <c r="F147" i="2"/>
  <c r="F212" i="4" s="1"/>
  <c r="F71" i="2"/>
  <c r="F130" i="4" s="1"/>
  <c r="H130" i="4" s="1"/>
  <c r="G364" i="2"/>
  <c r="H368" i="2"/>
  <c r="H450" i="4" s="1"/>
  <c r="F33" i="2"/>
  <c r="F91" i="4" s="1"/>
  <c r="H91" i="4" s="1"/>
  <c r="F227" i="2"/>
  <c r="C294" i="2"/>
  <c r="H296" i="2" s="1"/>
  <c r="H371" i="4" s="1"/>
  <c r="E284" i="2"/>
  <c r="E392" i="4" l="1"/>
  <c r="C409" i="4"/>
  <c r="E354" i="4"/>
  <c r="C369" i="4"/>
  <c r="C328" i="2"/>
  <c r="H452" i="2" s="1"/>
  <c r="H550" i="4" s="1"/>
  <c r="E318" i="2"/>
  <c r="H330" i="2"/>
  <c r="H411" i="4" s="1"/>
  <c r="G452" i="2"/>
  <c r="H453" i="2"/>
  <c r="H551" i="4" s="1"/>
  <c r="G330" i="2"/>
  <c r="H73" i="2"/>
  <c r="H132" i="4" s="1"/>
  <c r="H71" i="2"/>
  <c r="G296" i="2"/>
  <c r="H442" i="2"/>
  <c r="H540" i="4" s="1"/>
  <c r="H297" i="2"/>
  <c r="H372" i="4" s="1"/>
  <c r="H441" i="2"/>
  <c r="H539" i="4" s="1"/>
  <c r="G441" i="2"/>
  <c r="H410" i="2"/>
  <c r="H378" i="2"/>
  <c r="H35" i="2"/>
  <c r="H93" i="4" s="1"/>
  <c r="H33" i="2"/>
  <c r="F109" i="2"/>
  <c r="F172" i="4" s="1"/>
  <c r="H172" i="4" s="1"/>
  <c r="H379" i="2" l="1"/>
  <c r="H461" i="4" s="1"/>
  <c r="H460" i="4"/>
  <c r="H411" i="2"/>
  <c r="H501" i="4" s="1"/>
  <c r="H500" i="4"/>
  <c r="F298" i="2"/>
  <c r="F332" i="2"/>
  <c r="F413" i="4" s="1"/>
  <c r="F416" i="4" s="1"/>
  <c r="H75" i="2"/>
  <c r="H109" i="2"/>
  <c r="H111" i="2"/>
  <c r="H37" i="2"/>
  <c r="H38" i="2" l="1"/>
  <c r="H96" i="4" s="1"/>
  <c r="H95" i="4"/>
  <c r="H76" i="2"/>
  <c r="H134" i="4"/>
  <c r="H113" i="2"/>
  <c r="H174" i="4"/>
  <c r="H299" i="2"/>
  <c r="F373" i="4"/>
  <c r="F376" i="4" s="1"/>
  <c r="H333" i="2"/>
  <c r="H414" i="4" s="1"/>
  <c r="F335" i="2"/>
  <c r="H26" i="3"/>
  <c r="H178" i="2"/>
  <c r="H243" i="4" s="1"/>
  <c r="G77" i="2" l="1"/>
  <c r="H135" i="4"/>
  <c r="H300" i="2"/>
  <c r="H374" i="4"/>
  <c r="H114" i="2"/>
  <c r="H176" i="4"/>
  <c r="I26" i="3"/>
  <c r="G26" i="3"/>
  <c r="F301" i="2"/>
  <c r="H179" i="2"/>
  <c r="H244" i="4" s="1"/>
  <c r="G39" i="2"/>
  <c r="G97" i="4" s="1"/>
  <c r="H220" i="2"/>
  <c r="H181" i="2"/>
  <c r="H246" i="4" s="1"/>
  <c r="E243" i="4" l="1"/>
  <c r="H301" i="2"/>
  <c r="H375" i="4"/>
  <c r="G115" i="2"/>
  <c r="H177" i="4"/>
  <c r="H222" i="2"/>
  <c r="H291" i="4" s="1"/>
  <c r="H297" i="4" s="1"/>
  <c r="H289" i="4"/>
  <c r="G136" i="4"/>
  <c r="G466" i="4" s="1"/>
  <c r="C84" i="2"/>
  <c r="H78" i="2"/>
  <c r="C83" i="2"/>
  <c r="C85" i="2"/>
  <c r="G383" i="2"/>
  <c r="H8" i="3" s="1"/>
  <c r="G384" i="2"/>
  <c r="H9" i="3" s="1"/>
  <c r="H349" i="2"/>
  <c r="C46" i="2"/>
  <c r="C104" i="4" s="1"/>
  <c r="C47" i="2"/>
  <c r="C45" i="2"/>
  <c r="C103" i="4" s="1"/>
  <c r="H186" i="2"/>
  <c r="H253" i="4" s="1"/>
  <c r="H201" i="2"/>
  <c r="H268" i="4" s="1"/>
  <c r="H40" i="2"/>
  <c r="H98" i="4" s="1"/>
  <c r="E220" i="2"/>
  <c r="E289" i="4" s="1"/>
  <c r="E178" i="2"/>
  <c r="H182" i="2"/>
  <c r="H249" i="4" s="1"/>
  <c r="H219" i="2"/>
  <c r="D47" i="2" l="1"/>
  <c r="D105" i="4" s="1"/>
  <c r="C105" i="4"/>
  <c r="C106" i="4" s="1"/>
  <c r="H331" i="2"/>
  <c r="H376" i="4"/>
  <c r="D85" i="2"/>
  <c r="C144" i="4"/>
  <c r="C142" i="4"/>
  <c r="C86" i="2"/>
  <c r="D83" i="2"/>
  <c r="D84" i="2"/>
  <c r="C143" i="4"/>
  <c r="G178" i="4"/>
  <c r="C123" i="2"/>
  <c r="H116" i="2"/>
  <c r="H179" i="4" s="1"/>
  <c r="H180" i="4" s="1"/>
  <c r="C121" i="2"/>
  <c r="C122" i="2"/>
  <c r="G465" i="4"/>
  <c r="H223" i="2"/>
  <c r="H288" i="4"/>
  <c r="H79" i="2"/>
  <c r="H137" i="4"/>
  <c r="H138" i="4" s="1"/>
  <c r="H380" i="2"/>
  <c r="H437" i="2"/>
  <c r="H535" i="4" s="1"/>
  <c r="D45" i="2"/>
  <c r="D103" i="4" s="1"/>
  <c r="D46" i="2"/>
  <c r="D104" i="4" s="1"/>
  <c r="C48" i="2"/>
  <c r="H41" i="2"/>
  <c r="H99" i="4" s="1"/>
  <c r="E219" i="2"/>
  <c r="E288" i="4" s="1"/>
  <c r="E179" i="2"/>
  <c r="G186" i="2"/>
  <c r="H242" i="2"/>
  <c r="H312" i="4" s="1"/>
  <c r="H227" i="2"/>
  <c r="H34" i="3" l="1"/>
  <c r="H412" i="4"/>
  <c r="H334" i="2"/>
  <c r="C145" i="4"/>
  <c r="E85" i="2"/>
  <c r="E144" i="4" s="1"/>
  <c r="D144" i="4"/>
  <c r="G227" i="2"/>
  <c r="F228" i="2" s="1"/>
  <c r="H293" i="4"/>
  <c r="G297" i="4" s="1"/>
  <c r="C184" i="4"/>
  <c r="D121" i="2"/>
  <c r="D184" i="4" s="1"/>
  <c r="C124" i="2"/>
  <c r="D123" i="2"/>
  <c r="D186" i="4" s="1"/>
  <c r="C186" i="4"/>
  <c r="E244" i="4"/>
  <c r="E84" i="2"/>
  <c r="E143" i="4" s="1"/>
  <c r="D143" i="4"/>
  <c r="E83" i="2"/>
  <c r="D142" i="4"/>
  <c r="H381" i="2"/>
  <c r="H463" i="4" s="1"/>
  <c r="H462" i="4"/>
  <c r="F187" i="2"/>
  <c r="G253" i="4"/>
  <c r="D122" i="2"/>
  <c r="D185" i="4" s="1"/>
  <c r="C185" i="4"/>
  <c r="F438" i="2"/>
  <c r="H389" i="2"/>
  <c r="H388" i="2"/>
  <c r="D388" i="2"/>
  <c r="D389" i="2"/>
  <c r="D387" i="2"/>
  <c r="H387" i="2"/>
  <c r="E47" i="2"/>
  <c r="E105" i="4" s="1"/>
  <c r="E45" i="2"/>
  <c r="E103" i="4" s="1"/>
  <c r="H117" i="2"/>
  <c r="E46" i="2"/>
  <c r="E104" i="4" s="1"/>
  <c r="K9" i="9" l="1"/>
  <c r="K11" i="9" s="1"/>
  <c r="H469" i="4"/>
  <c r="H9" i="9"/>
  <c r="H11" i="9" s="1"/>
  <c r="D469" i="4"/>
  <c r="M9" i="9"/>
  <c r="M11" i="9" s="1"/>
  <c r="H471" i="4"/>
  <c r="C187" i="4"/>
  <c r="L9" i="9"/>
  <c r="L11" i="9" s="1"/>
  <c r="H470" i="4"/>
  <c r="F298" i="4"/>
  <c r="H335" i="2"/>
  <c r="H416" i="4" s="1"/>
  <c r="H415" i="4"/>
  <c r="H448" i="2"/>
  <c r="J9" i="9"/>
  <c r="J11" i="9" s="1"/>
  <c r="N11" i="9" s="1"/>
  <c r="D471" i="4"/>
  <c r="F445" i="2"/>
  <c r="G11" i="3" s="1"/>
  <c r="F536" i="4"/>
  <c r="F543" i="4" s="1"/>
  <c r="E106" i="4"/>
  <c r="E86" i="2"/>
  <c r="E142" i="4"/>
  <c r="E145" i="4" s="1"/>
  <c r="I9" i="9"/>
  <c r="I11" i="9" s="1"/>
  <c r="D470" i="4"/>
  <c r="F254" i="4"/>
  <c r="I34" i="3"/>
  <c r="G34" i="3"/>
  <c r="C52" i="9"/>
  <c r="C45" i="9"/>
  <c r="G18" i="9"/>
  <c r="G19" i="9" s="1"/>
  <c r="G29" i="9"/>
  <c r="J29" i="9"/>
  <c r="J37" i="9" s="1"/>
  <c r="H439" i="2"/>
  <c r="H537" i="4" s="1"/>
  <c r="D29" i="9"/>
  <c r="D30" i="9" s="1"/>
  <c r="D18" i="9"/>
  <c r="D19" i="9" s="1"/>
  <c r="J18" i="9"/>
  <c r="J20" i="9" s="1"/>
  <c r="I20" i="9" s="1"/>
  <c r="J19" i="9"/>
  <c r="I19" i="9" s="1"/>
  <c r="D35" i="9"/>
  <c r="C35" i="9" s="1"/>
  <c r="D34" i="9"/>
  <c r="C34" i="9" s="1"/>
  <c r="G26" i="9"/>
  <c r="F26" i="9" s="1"/>
  <c r="G27" i="9"/>
  <c r="F27" i="9" s="1"/>
  <c r="G24" i="9"/>
  <c r="F24" i="9" s="1"/>
  <c r="G21" i="9"/>
  <c r="F21" i="9" s="1"/>
  <c r="G20" i="9"/>
  <c r="F20" i="9" s="1"/>
  <c r="G22" i="9"/>
  <c r="F22" i="9" s="1"/>
  <c r="G23" i="9"/>
  <c r="F23" i="9" s="1"/>
  <c r="G25" i="9"/>
  <c r="F25" i="9" s="1"/>
  <c r="G31" i="9"/>
  <c r="F31" i="9" s="1"/>
  <c r="G34" i="9"/>
  <c r="F34" i="9" s="1"/>
  <c r="G32" i="9"/>
  <c r="F32" i="9" s="1"/>
  <c r="G33" i="9"/>
  <c r="F33" i="9" s="1"/>
  <c r="G35" i="9"/>
  <c r="F35" i="9" s="1"/>
  <c r="G36" i="9"/>
  <c r="F36" i="9" s="1"/>
  <c r="G37" i="9"/>
  <c r="F37" i="9" s="1"/>
  <c r="G30" i="9"/>
  <c r="F30" i="9" s="1"/>
  <c r="G38" i="9"/>
  <c r="F38" i="9" s="1"/>
  <c r="J35" i="9"/>
  <c r="I35" i="9" s="1"/>
  <c r="J38" i="9"/>
  <c r="I38" i="9" s="1"/>
  <c r="J36" i="9"/>
  <c r="I36" i="9" s="1"/>
  <c r="J32" i="9"/>
  <c r="I32" i="9" s="1"/>
  <c r="J34" i="9"/>
  <c r="J31" i="9"/>
  <c r="I31" i="9" s="1"/>
  <c r="E123" i="2"/>
  <c r="E186" i="4" s="1"/>
  <c r="E121" i="2"/>
  <c r="E184" i="4" s="1"/>
  <c r="E48" i="2"/>
  <c r="H59" i="2" s="1"/>
  <c r="H117" i="4" s="1"/>
  <c r="E122" i="2"/>
  <c r="E185" i="4" s="1"/>
  <c r="H98" i="2" l="1"/>
  <c r="H157" i="4" s="1"/>
  <c r="H97" i="2"/>
  <c r="H156" i="4" s="1"/>
  <c r="F449" i="2"/>
  <c r="H546" i="4"/>
  <c r="E187" i="4"/>
  <c r="D36" i="9"/>
  <c r="C36" i="9" s="1"/>
  <c r="D27" i="9"/>
  <c r="C27" i="9" s="1"/>
  <c r="D38" i="9"/>
  <c r="C38" i="9" s="1"/>
  <c r="D50" i="9"/>
  <c r="D43" i="9"/>
  <c r="I37" i="9"/>
  <c r="J27" i="9"/>
  <c r="I27" i="9" s="1"/>
  <c r="J26" i="9"/>
  <c r="I26" i="9" s="1"/>
  <c r="J24" i="9"/>
  <c r="I24" i="9" s="1"/>
  <c r="J22" i="9"/>
  <c r="I22" i="9" s="1"/>
  <c r="J21" i="9"/>
  <c r="I21" i="9" s="1"/>
  <c r="J25" i="9"/>
  <c r="I25" i="9" s="1"/>
  <c r="J23" i="9"/>
  <c r="I23" i="9" s="1"/>
  <c r="J30" i="9"/>
  <c r="I30" i="9" s="1"/>
  <c r="I34" i="9"/>
  <c r="J33" i="9"/>
  <c r="I33" i="9" s="1"/>
  <c r="D26" i="9"/>
  <c r="C26" i="9" s="1"/>
  <c r="D24" i="9"/>
  <c r="C24" i="9" s="1"/>
  <c r="D22" i="9"/>
  <c r="C22" i="9" s="1"/>
  <c r="D23" i="9"/>
  <c r="C23" i="9" s="1"/>
  <c r="D25" i="9"/>
  <c r="C25" i="9" s="1"/>
  <c r="D37" i="9"/>
  <c r="C37" i="9" s="1"/>
  <c r="D33" i="9"/>
  <c r="C33" i="9" s="1"/>
  <c r="D32" i="9"/>
  <c r="C32" i="9" s="1"/>
  <c r="D31" i="9"/>
  <c r="C31" i="9" s="1"/>
  <c r="D20" i="9"/>
  <c r="H43" i="9"/>
  <c r="F19" i="9"/>
  <c r="D21" i="9"/>
  <c r="C21" i="9" s="1"/>
  <c r="H440" i="2"/>
  <c r="H538" i="4" s="1"/>
  <c r="C19" i="9"/>
  <c r="C30" i="9"/>
  <c r="H60" i="2"/>
  <c r="H118" i="4" s="1"/>
  <c r="G254" i="4" s="1"/>
  <c r="E124" i="2"/>
  <c r="F456" i="2" l="1"/>
  <c r="G17" i="3" s="1"/>
  <c r="F547" i="4"/>
  <c r="F554" i="4" s="1"/>
  <c r="H450" i="2"/>
  <c r="D42" i="9"/>
  <c r="D49" i="9"/>
  <c r="J43" i="9"/>
  <c r="J46" i="9" s="1"/>
  <c r="L43" i="9"/>
  <c r="K46" i="9" s="1"/>
  <c r="I43" i="9"/>
  <c r="C20" i="9"/>
  <c r="I42" i="9" s="1"/>
  <c r="I45" i="9" s="1"/>
  <c r="H444" i="2"/>
  <c r="E147" i="2"/>
  <c r="E212" i="4" s="1"/>
  <c r="H212" i="4" s="1"/>
  <c r="H136" i="2"/>
  <c r="H199" i="4" s="1"/>
  <c r="G298" i="4" s="1"/>
  <c r="H135" i="2"/>
  <c r="H198" i="4" s="1"/>
  <c r="G187" i="2"/>
  <c r="H198" i="2" s="1"/>
  <c r="H265" i="4" s="1"/>
  <c r="H445" i="2" l="1"/>
  <c r="H542" i="4"/>
  <c r="H543" i="4" s="1"/>
  <c r="H451" i="2"/>
  <c r="H548" i="4"/>
  <c r="J42" i="9"/>
  <c r="K42" i="9" s="1"/>
  <c r="L42" i="9" s="1"/>
  <c r="K43" i="9"/>
  <c r="I11" i="3"/>
  <c r="H149" i="2"/>
  <c r="H214" i="4" s="1"/>
  <c r="H147" i="2"/>
  <c r="D206" i="2"/>
  <c r="D273" i="4" s="1"/>
  <c r="H273" i="4" s="1"/>
  <c r="H199" i="2"/>
  <c r="H266" i="4" s="1"/>
  <c r="H200" i="2"/>
  <c r="H267" i="4" s="1"/>
  <c r="D209" i="2"/>
  <c r="G228" i="2"/>
  <c r="H239" i="2" s="1"/>
  <c r="H309" i="4" s="1"/>
  <c r="H455" i="2" l="1"/>
  <c r="H549" i="4"/>
  <c r="H211" i="2"/>
  <c r="D276" i="4"/>
  <c r="H151" i="2"/>
  <c r="H214" i="2"/>
  <c r="H281" i="4" s="1"/>
  <c r="H240" i="2"/>
  <c r="H310" i="4" s="1"/>
  <c r="H241" i="2"/>
  <c r="H311" i="4" s="1"/>
  <c r="D250" i="2"/>
  <c r="D320" i="4" s="1"/>
  <c r="D247" i="2"/>
  <c r="D317" i="4" s="1"/>
  <c r="H209" i="2"/>
  <c r="G213" i="2"/>
  <c r="H213" i="2"/>
  <c r="H280" i="4" s="1"/>
  <c r="E209" i="2"/>
  <c r="H206" i="2"/>
  <c r="E206" i="2"/>
  <c r="E273" i="4" s="1"/>
  <c r="H152" i="2" l="1"/>
  <c r="H216" i="4"/>
  <c r="G280" i="4"/>
  <c r="H276" i="4"/>
  <c r="H278" i="4"/>
  <c r="E276" i="4"/>
  <c r="G324" i="4"/>
  <c r="E320" i="4"/>
  <c r="H320" i="4"/>
  <c r="H322" i="4"/>
  <c r="H317" i="4"/>
  <c r="E317" i="4"/>
  <c r="H456" i="2"/>
  <c r="H553" i="4"/>
  <c r="H554" i="4" s="1"/>
  <c r="H252" i="2"/>
  <c r="H254" i="2"/>
  <c r="H324" i="4" s="1"/>
  <c r="G254" i="2"/>
  <c r="H250" i="2"/>
  <c r="E250" i="2"/>
  <c r="E247" i="2"/>
  <c r="H247" i="2"/>
  <c r="D216" i="2"/>
  <c r="H255" i="2"/>
  <c r="H325" i="4" s="1"/>
  <c r="I17" i="3" l="1"/>
  <c r="O87" i="9"/>
  <c r="O71" i="9"/>
  <c r="O73" i="9"/>
  <c r="O81" i="9"/>
  <c r="O94" i="9"/>
  <c r="O79" i="9"/>
  <c r="O65" i="9"/>
  <c r="O95" i="9"/>
  <c r="O66" i="9"/>
  <c r="O82" i="9"/>
  <c r="O88" i="9"/>
  <c r="O68" i="9"/>
  <c r="O83" i="9"/>
  <c r="O74" i="9"/>
  <c r="O86" i="9"/>
  <c r="O72" i="9"/>
  <c r="O69" i="9"/>
  <c r="O70" i="9"/>
  <c r="O85" i="9"/>
  <c r="O80" i="9"/>
  <c r="O64" i="9"/>
  <c r="O84" i="9"/>
  <c r="O77" i="9"/>
  <c r="O97" i="9"/>
  <c r="O78" i="9"/>
  <c r="O89" i="9"/>
  <c r="O96" i="9"/>
  <c r="O63" i="9"/>
  <c r="O93" i="9"/>
  <c r="O67" i="9"/>
  <c r="O90" i="9"/>
  <c r="O91" i="9"/>
  <c r="O75" i="9"/>
  <c r="O92" i="9"/>
  <c r="O98" i="9"/>
  <c r="O76" i="9"/>
  <c r="H23" i="3"/>
  <c r="D283" i="4"/>
  <c r="G153" i="2"/>
  <c r="H217" i="4"/>
  <c r="G218" i="4" s="1"/>
  <c r="D257" i="2"/>
  <c r="D327" i="4" s="1"/>
  <c r="E216" i="2"/>
  <c r="H216" i="2"/>
  <c r="G506" i="4" l="1"/>
  <c r="G505" i="4"/>
  <c r="E283" i="4"/>
  <c r="H283" i="4"/>
  <c r="C160" i="2"/>
  <c r="C161" i="2"/>
  <c r="H412" i="2"/>
  <c r="C159" i="2"/>
  <c r="G415" i="2"/>
  <c r="H154" i="2"/>
  <c r="G416" i="2"/>
  <c r="H327" i="4"/>
  <c r="E327" i="4"/>
  <c r="I23" i="3"/>
  <c r="G23" i="3"/>
  <c r="H257" i="2"/>
  <c r="E257" i="2"/>
  <c r="H31" i="3"/>
  <c r="H15" i="3" l="1"/>
  <c r="H419" i="2"/>
  <c r="H421" i="2"/>
  <c r="H420" i="2"/>
  <c r="H155" i="2"/>
  <c r="H219" i="4"/>
  <c r="H220" i="4" s="1"/>
  <c r="D159" i="2"/>
  <c r="D224" i="4" s="1"/>
  <c r="C224" i="4"/>
  <c r="E159" i="2"/>
  <c r="C162" i="2"/>
  <c r="H413" i="2"/>
  <c r="H503" i="4" s="1"/>
  <c r="H502" i="4"/>
  <c r="D161" i="2"/>
  <c r="D226" i="4" s="1"/>
  <c r="C226" i="4"/>
  <c r="H14" i="3"/>
  <c r="D419" i="2"/>
  <c r="O22" i="9" s="1"/>
  <c r="N22" i="9" s="1"/>
  <c r="D421" i="2"/>
  <c r="D420" i="2"/>
  <c r="D160" i="2"/>
  <c r="C225" i="4"/>
  <c r="R31" i="9"/>
  <c r="Q31" i="9" s="1"/>
  <c r="O38" i="9"/>
  <c r="N38" i="9" s="1"/>
  <c r="O37" i="9"/>
  <c r="N37" i="9" s="1"/>
  <c r="O35" i="9"/>
  <c r="N35" i="9" s="1"/>
  <c r="O36" i="9"/>
  <c r="N36" i="9" s="1"/>
  <c r="I31" i="3"/>
  <c r="G31" i="3"/>
  <c r="O21" i="9" l="1"/>
  <c r="N21" i="9" s="1"/>
  <c r="O26" i="9"/>
  <c r="N26" i="9" s="1"/>
  <c r="O27" i="9"/>
  <c r="N27" i="9" s="1"/>
  <c r="O25" i="9"/>
  <c r="N25" i="9" s="1"/>
  <c r="E161" i="2"/>
  <c r="E226" i="4" s="1"/>
  <c r="D510" i="4"/>
  <c r="R24" i="9"/>
  <c r="Q24" i="9" s="1"/>
  <c r="R23" i="9"/>
  <c r="Q23" i="9" s="1"/>
  <c r="R9" i="9"/>
  <c r="R11" i="9" s="1"/>
  <c r="R20" i="9"/>
  <c r="Q20" i="9" s="1"/>
  <c r="R25" i="9"/>
  <c r="Q25" i="9" s="1"/>
  <c r="R26" i="9"/>
  <c r="Q26" i="9" s="1"/>
  <c r="R18" i="9"/>
  <c r="R27" i="9"/>
  <c r="Q27" i="9" s="1"/>
  <c r="R22" i="9"/>
  <c r="Q22" i="9" s="1"/>
  <c r="R21" i="9"/>
  <c r="Q21" i="9" s="1"/>
  <c r="R19" i="9"/>
  <c r="Q19" i="9" s="1"/>
  <c r="H511" i="4"/>
  <c r="U32" i="9"/>
  <c r="T32" i="9" s="1"/>
  <c r="U34" i="9"/>
  <c r="T34" i="9" s="1"/>
  <c r="V9" i="9"/>
  <c r="V11" i="9" s="1"/>
  <c r="U30" i="9"/>
  <c r="T30" i="9" s="1"/>
  <c r="U31" i="9"/>
  <c r="T31" i="9" s="1"/>
  <c r="U33" i="9"/>
  <c r="T33" i="9" s="1"/>
  <c r="U35" i="9"/>
  <c r="T35" i="9" s="1"/>
  <c r="U38" i="9"/>
  <c r="T38" i="9" s="1"/>
  <c r="U29" i="9"/>
  <c r="U37" i="9"/>
  <c r="T37" i="9" s="1"/>
  <c r="U36" i="9"/>
  <c r="T36" i="9" s="1"/>
  <c r="E224" i="4"/>
  <c r="H510" i="4"/>
  <c r="R32" i="9"/>
  <c r="Q32" i="9" s="1"/>
  <c r="R33" i="9"/>
  <c r="Q33" i="9" s="1"/>
  <c r="R35" i="9"/>
  <c r="Q35" i="9" s="1"/>
  <c r="R36" i="9"/>
  <c r="Q36" i="9" s="1"/>
  <c r="R37" i="9"/>
  <c r="Q37" i="9" s="1"/>
  <c r="R38" i="9"/>
  <c r="Q38" i="9" s="1"/>
  <c r="R29" i="9"/>
  <c r="R30" i="9" s="1"/>
  <c r="Q30" i="9" s="1"/>
  <c r="R34" i="9"/>
  <c r="Q34" i="9" s="1"/>
  <c r="U9" i="9"/>
  <c r="U11" i="9" s="1"/>
  <c r="D511" i="4"/>
  <c r="U21" i="9"/>
  <c r="T21" i="9" s="1"/>
  <c r="S9" i="9"/>
  <c r="S11" i="9" s="1"/>
  <c r="U22" i="9"/>
  <c r="T22" i="9" s="1"/>
  <c r="U25" i="9"/>
  <c r="T25" i="9" s="1"/>
  <c r="U26" i="9"/>
  <c r="T26" i="9" s="1"/>
  <c r="U23" i="9"/>
  <c r="T23" i="9" s="1"/>
  <c r="U24" i="9"/>
  <c r="T24" i="9" s="1"/>
  <c r="U20" i="9"/>
  <c r="T20" i="9" s="1"/>
  <c r="U18" i="9"/>
  <c r="U27" i="9"/>
  <c r="T27" i="9" s="1"/>
  <c r="U19" i="9"/>
  <c r="T19" i="9" s="1"/>
  <c r="H509" i="4"/>
  <c r="O34" i="9"/>
  <c r="N34" i="9" s="1"/>
  <c r="O29" i="9"/>
  <c r="O33" i="9"/>
  <c r="N33" i="9" s="1"/>
  <c r="T9" i="9"/>
  <c r="T11" i="9" s="1"/>
  <c r="C227" i="4"/>
  <c r="E160" i="2"/>
  <c r="E225" i="4" s="1"/>
  <c r="D225" i="4"/>
  <c r="D509" i="4"/>
  <c r="O23" i="9"/>
  <c r="N23" i="9" s="1"/>
  <c r="O24" i="9"/>
  <c r="N24" i="9" s="1"/>
  <c r="Q9" i="9"/>
  <c r="Q11" i="9" s="1"/>
  <c r="W11" i="9" s="1"/>
  <c r="O18" i="9"/>
  <c r="E227" i="4" l="1"/>
  <c r="E162" i="2"/>
  <c r="O20" i="9"/>
  <c r="N20" i="9" s="1"/>
  <c r="O19" i="9"/>
  <c r="N19" i="9" s="1"/>
  <c r="O30" i="9"/>
  <c r="N30" i="9" s="1"/>
  <c r="O32" i="9"/>
  <c r="N32" i="9" s="1"/>
  <c r="O31" i="9"/>
  <c r="N31" i="9" s="1"/>
  <c r="H173" i="2" l="1"/>
  <c r="H238" i="4" s="1"/>
  <c r="H174" i="2"/>
  <c r="H239" i="4" s="1"/>
</calcChain>
</file>

<file path=xl/sharedStrings.xml><?xml version="1.0" encoding="utf-8"?>
<sst xmlns="http://schemas.openxmlformats.org/spreadsheetml/2006/main" count="1821" uniqueCount="498">
  <si>
    <t>NO.</t>
  </si>
  <si>
    <t>EXPLANATORY</t>
  </si>
  <si>
    <t>FORMULA</t>
  </si>
  <si>
    <t>VALUE</t>
  </si>
  <si>
    <t>UNIT</t>
  </si>
  <si>
    <t>A.1.</t>
  </si>
  <si>
    <t>Input nilai bahan struktur</t>
  </si>
  <si>
    <t>Kuat tekan beton,</t>
  </si>
  <si>
    <r>
      <t>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</si>
  <si>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t>MPa</t>
  </si>
  <si>
    <t xml:space="preserve">Tegangan leleh baja (deform) untuk tulangan lentur, </t>
  </si>
  <si>
    <r>
      <t>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</si>
  <si>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 xml:space="preserve">Tegangan leleh baja (polos) untuk tulangan geser, </t>
  </si>
  <si>
    <t>Modulus elastis baja,</t>
  </si>
  <si>
    <r>
      <t>E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</si>
  <si>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A.2.</t>
  </si>
  <si>
    <t>Input nilai dimensi balok</t>
  </si>
  <si>
    <t>Lebar balok</t>
  </si>
  <si>
    <t>b =</t>
  </si>
  <si>
    <t>mm</t>
  </si>
  <si>
    <t>Tinggi balok</t>
  </si>
  <si>
    <t>h =</t>
  </si>
  <si>
    <t>Tebal bersih selimut beton,</t>
  </si>
  <si>
    <r>
      <t>N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</si>
  <si>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t xml:space="preserve">kN </t>
  </si>
  <si>
    <r>
      <t>V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</si>
  <si>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</si>
  <si>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t>kN.m</t>
  </si>
  <si>
    <t>A.3.</t>
  </si>
  <si>
    <t>B.</t>
  </si>
  <si>
    <t>PERENCANAAN TULANGAN LONGITUDINAL</t>
  </si>
  <si>
    <t>Tinggi efektif balok,</t>
  </si>
  <si>
    <t>syarat 1 :</t>
  </si>
  <si>
    <r>
      <t>mm</t>
    </r>
    <r>
      <rPr>
        <vertAlign val="superscript"/>
        <sz val="11"/>
        <rFont val="Calibri"/>
        <family val="2"/>
        <scheme val="minor"/>
      </rPr>
      <t>2</t>
    </r>
  </si>
  <si>
    <t>syarat 2 :</t>
  </si>
  <si>
    <r>
      <t>Untuk   :  17  ≤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 ≤  28 MPa,</t>
    </r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</si>
  <si>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</si>
  <si>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Untuk   :  28  &lt;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 &lt;  55 MPa,</t>
    </r>
  </si>
  <si>
    <r>
      <t>Untuk   :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'  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 xml:space="preserve">  55 MPa,</t>
    </r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</si>
  <si>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         </t>
    </r>
  </si>
  <si>
    <t xml:space="preserve">Faktor bentuk distribusi tegangan beton,            </t>
  </si>
  <si>
    <t>→</t>
  </si>
  <si>
    <r>
      <t xml:space="preserve">Rasio tulangan pada kondisi </t>
    </r>
    <r>
      <rPr>
        <i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>,</t>
    </r>
  </si>
  <si>
    <r>
      <t>ρ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* 0,85 *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'/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* 600 / ( 600 +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)  =                  </t>
    </r>
  </si>
  <si>
    <t>Rasio tulangan maksimum,</t>
  </si>
  <si>
    <r>
      <t>ρ</t>
    </r>
    <r>
      <rPr>
        <vertAlign val="subscript"/>
        <sz val="11"/>
        <rFont val="Calibri"/>
        <family val="2"/>
        <scheme val="minor"/>
      </rPr>
      <t>maks</t>
    </r>
    <r>
      <rPr>
        <sz val="11"/>
        <rFont val="Calibri"/>
        <family val="2"/>
        <scheme val="minor"/>
      </rPr>
      <t xml:space="preserve"> = 0,75 * ρ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 =                  </t>
    </r>
  </si>
  <si>
    <t>Rasio tulangan minimum,</t>
  </si>
  <si>
    <r>
      <t>ρ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/ ( 4 *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) = </t>
    </r>
  </si>
  <si>
    <r>
      <t>ρ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 1,4 /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 =                  </t>
    </r>
  </si>
  <si>
    <r>
      <t>d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+ P + 0,5 * D =</t>
    </r>
  </si>
  <si>
    <r>
      <t>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( b - 2 * d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) / ( 25 + D ) + 1 =</t>
    </r>
  </si>
  <si>
    <r>
      <t>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</si>
  <si>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bh</t>
  </si>
  <si>
    <t>Jarak horisontal pusat ke pusat antara tulangan,</t>
  </si>
  <si>
    <r>
      <t>x = ( b - 2 * d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) / ( 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- 1 ) =</t>
    </r>
  </si>
  <si>
    <t>Jarak vertikal pusat ke pusat antara tulangan,</t>
  </si>
  <si>
    <t>y = D + 25 =</t>
  </si>
  <si>
    <t>Rasio tegangan leleh baja dengan kuat tekan efektif beton,</t>
  </si>
  <si>
    <r>
      <t>m =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/ ( 0,85 *f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) =</t>
    </r>
  </si>
  <si>
    <r>
      <t>d = h -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- P - 0,5 * D =</t>
    </r>
  </si>
  <si>
    <t>B.1.</t>
  </si>
  <si>
    <t>Asumsi faktor reduksi kekuatan gaya momen,</t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</si>
  <si>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=</t>
    </r>
  </si>
  <si>
    <t>Nilai momen negatif maksimum,</t>
  </si>
  <si>
    <t>Nilai minimum momen negatif nominal,</t>
  </si>
  <si>
    <r>
      <t>M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M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/ </t>
    </r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=</t>
    </r>
  </si>
  <si>
    <t>Nilai modulus elastis beton,</t>
  </si>
  <si>
    <r>
      <t>E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4700 * √fc' =</t>
    </r>
  </si>
  <si>
    <t>faktor tahanan momen,</t>
  </si>
  <si>
    <r>
      <t>R</t>
    </r>
    <r>
      <rPr>
        <i/>
        <vertAlign val="subscript"/>
        <sz val="11"/>
        <rFont val="Calibri"/>
        <family val="2"/>
        <scheme val="minor"/>
      </rPr>
      <t>n</t>
    </r>
    <r>
      <rPr>
        <i/>
        <sz val="11"/>
        <rFont val="Calibri"/>
        <family val="2"/>
        <scheme val="minor"/>
      </rPr>
      <t xml:space="preserve">  = M</t>
    </r>
    <r>
      <rPr>
        <i/>
        <vertAlign val="subscript"/>
        <sz val="11"/>
        <rFont val="Calibri"/>
        <family val="2"/>
        <scheme val="minor"/>
      </rPr>
      <t>n</t>
    </r>
    <r>
      <rPr>
        <i/>
        <sz val="11"/>
        <rFont val="Calibri"/>
        <family val="2"/>
        <scheme val="minor"/>
      </rPr>
      <t xml:space="preserve"> / (</t>
    </r>
    <r>
      <rPr>
        <sz val="11"/>
        <rFont val="Calibri"/>
        <family val="2"/>
        <scheme val="minor"/>
      </rPr>
      <t xml:space="preserve"> b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 =</t>
    </r>
  </si>
  <si>
    <t>Rasio tulangan perlu,</t>
  </si>
  <si>
    <r>
      <t>ρ</t>
    </r>
    <r>
      <rPr>
        <sz val="11"/>
        <rFont val="Calibri"/>
        <family val="2"/>
        <scheme val="minor"/>
      </rPr>
      <t xml:space="preserve"> = 1 / m * ( 1 - [ 1 - 2 * m * Rn / fy ]</t>
    </r>
    <r>
      <rPr>
        <vertAlign val="superscript"/>
        <sz val="11"/>
        <rFont val="Calibri"/>
        <family val="2"/>
        <scheme val="minor"/>
      </rPr>
      <t>0,5</t>
    </r>
    <r>
      <rPr>
        <sz val="11"/>
        <rFont val="Calibri"/>
        <family val="2"/>
        <scheme val="minor"/>
      </rPr>
      <t xml:space="preserve"> ) =</t>
    </r>
  </si>
  <si>
    <t>Kontrol nilai rasio tulangan perlu,</t>
  </si>
  <si>
    <t>Syarat :</t>
  </si>
  <si>
    <r>
      <t>ρ</t>
    </r>
    <r>
      <rPr>
        <vertAlign val="subscript"/>
        <sz val="11"/>
        <rFont val="Calibri"/>
        <family val="2"/>
        <scheme val="minor"/>
      </rPr>
      <t>min</t>
    </r>
  </si>
  <si>
    <t>ρ</t>
  </si>
  <si>
    <r>
      <t>ρ</t>
    </r>
    <r>
      <rPr>
        <vertAlign val="subscript"/>
        <sz val="11"/>
        <rFont val="Calibri"/>
        <family val="2"/>
        <scheme val="minor"/>
      </rPr>
      <t>maks</t>
    </r>
  </si>
  <si>
    <t>Nilai rasio tulangan pakai,</t>
  </si>
  <si>
    <t>ρ =</t>
  </si>
  <si>
    <t>Luas tulangan yang diperlukan,</t>
  </si>
  <si>
    <r>
      <t>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ρ * b * d = </t>
    </r>
  </si>
  <si>
    <t>Jumlah tulangan yang diperlukan,</t>
  </si>
  <si>
    <r>
      <t>n =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/ ( π / 4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 =</t>
    </r>
  </si>
  <si>
    <t>Digunakan tulangan sebelum torsi,</t>
  </si>
  <si>
    <t>Jumlah baris tulangan,</t>
  </si>
  <si>
    <r>
      <t>n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 n / 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</si>
  <si>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Syarat:</t>
  </si>
  <si>
    <r>
      <t>n</t>
    </r>
    <r>
      <rPr>
        <vertAlign val="subscript"/>
        <sz val="11"/>
        <rFont val="Calibri"/>
        <family val="2"/>
        <scheme val="minor"/>
      </rPr>
      <t>b</t>
    </r>
  </si>
  <si>
    <r>
      <t>d = h - Ʃ [ n</t>
    </r>
    <r>
      <rPr>
        <vertAlign val="subscript"/>
        <sz val="11"/>
        <rFont val="Calibri"/>
        <family val="2"/>
        <scheme val="minor"/>
      </rPr>
      <t>i</t>
    </r>
    <r>
      <rPr>
        <sz val="11"/>
        <rFont val="Calibri"/>
        <family val="2"/>
        <scheme val="minor"/>
      </rPr>
      <t xml:space="preserve"> * y</t>
    </r>
    <r>
      <rPr>
        <vertAlign val="subscript"/>
        <sz val="11"/>
        <rFont val="Calibri"/>
        <family val="2"/>
        <scheme val="minor"/>
      </rPr>
      <t>i</t>
    </r>
    <r>
      <rPr>
        <sz val="11"/>
        <rFont val="Calibri"/>
        <family val="2"/>
        <scheme val="minor"/>
      </rPr>
      <t xml:space="preserve"> ] / n =</t>
    </r>
  </si>
  <si>
    <t>Baris</t>
  </si>
  <si>
    <t>Jumlah</t>
  </si>
  <si>
    <t>Jarak</t>
  </si>
  <si>
    <t>Juml. Jarak</t>
  </si>
  <si>
    <t>ke</t>
  </si>
  <si>
    <t>n =</t>
  </si>
  <si>
    <r>
      <rPr>
        <b/>
        <sz val="11"/>
        <rFont val="Calibri"/>
        <family val="2"/>
      </rPr>
      <t>Ʃ</t>
    </r>
    <r>
      <rPr>
        <b/>
        <sz val="11"/>
        <rFont val="Calibri"/>
        <family val="2"/>
        <scheme val="minor"/>
      </rPr>
      <t xml:space="preserve"> [ n</t>
    </r>
    <r>
      <rPr>
        <b/>
        <vertAlign val="subscript"/>
        <sz val="11"/>
        <rFont val="Calibri"/>
        <family val="2"/>
        <scheme val="minor"/>
      </rPr>
      <t>i</t>
    </r>
    <r>
      <rPr>
        <b/>
        <sz val="11"/>
        <rFont val="Calibri"/>
        <family val="2"/>
        <scheme val="minor"/>
      </rPr>
      <t xml:space="preserve"> * y</t>
    </r>
    <r>
      <rPr>
        <b/>
        <vertAlign val="subscript"/>
        <sz val="11"/>
        <rFont val="Calibri"/>
        <family val="2"/>
        <scheme val="minor"/>
      </rPr>
      <t>i</t>
    </r>
    <r>
      <rPr>
        <b/>
        <sz val="11"/>
        <rFont val="Calibri"/>
        <family val="2"/>
        <scheme val="minor"/>
      </rPr>
      <t xml:space="preserve"> ] =</t>
    </r>
  </si>
  <si>
    <t>Nilai momen maksimum pada daerah tumpuan,</t>
  </si>
  <si>
    <t>Nilai minimum momen rencana pada daerah tumpuan,</t>
  </si>
  <si>
    <r>
      <t>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' = ρ * b * d = </t>
    </r>
  </si>
  <si>
    <r>
      <t>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' =</t>
    </r>
  </si>
  <si>
    <r>
      <t>d' = Ʃ [ n</t>
    </r>
    <r>
      <rPr>
        <vertAlign val="subscript"/>
        <sz val="11"/>
        <rFont val="Calibri"/>
        <family val="2"/>
        <scheme val="minor"/>
      </rPr>
      <t>i</t>
    </r>
    <r>
      <rPr>
        <sz val="11"/>
        <rFont val="Calibri"/>
        <family val="2"/>
        <scheme val="minor"/>
      </rPr>
      <t xml:space="preserve"> * y</t>
    </r>
    <r>
      <rPr>
        <vertAlign val="subscript"/>
        <sz val="11"/>
        <rFont val="Calibri"/>
        <family val="2"/>
        <scheme val="minor"/>
      </rPr>
      <t>i</t>
    </r>
    <r>
      <rPr>
        <sz val="11"/>
        <rFont val="Calibri"/>
        <family val="2"/>
        <scheme val="minor"/>
      </rPr>
      <t xml:space="preserve"> ] / n =</t>
    </r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</si>
  <si>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   3</t>
    </r>
  </si>
  <si>
    <t>A.</t>
  </si>
  <si>
    <t>INPUT DATA PERENCANAAN</t>
  </si>
  <si>
    <t>B.2.</t>
  </si>
  <si>
    <t>B.3.</t>
  </si>
  <si>
    <t>Kontrol kekuatan penampang balok terhadap momen bekerja</t>
  </si>
  <si>
    <r>
      <t>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</si>
  <si>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Gaya dalam kondisi tarik pada tulangan tarik sudah leleh,</t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</si>
  <si>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</si>
  <si>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kN</t>
  </si>
  <si>
    <t>Gaya dalam kondisi tekan pada tulangan tekan belum leleh,</t>
  </si>
  <si>
    <r>
      <t>C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' * ε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' * E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</si>
  <si>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Gaya dalam kondisi tekan pada beton,</t>
  </si>
  <si>
    <r>
      <t>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 0,85 * fc' *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* c * b =</t>
    </r>
  </si>
  <si>
    <t>Kesetimbangan gaya dalam,</t>
  </si>
  <si>
    <t>Cc + Cs =</t>
  </si>
  <si>
    <t xml:space="preserve"> Ts</t>
  </si>
  <si>
    <t>Persamaan kuadrat untuk nilai c,</t>
  </si>
  <si>
    <t>Nilai c berdasarkan persamaan ABC,</t>
  </si>
  <si>
    <t>c =</t>
  </si>
  <si>
    <r>
      <t>C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</si>
  <si>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</si>
  <si>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</si>
  <si>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Pengecekan hasil perhitungan terhadap asumsi awal,</t>
  </si>
  <si>
    <t>Syarat untuk tulangan tekan:</t>
  </si>
  <si>
    <r>
      <t>ε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' = (c - d')/c * ε</t>
    </r>
    <r>
      <rPr>
        <vertAlign val="subscript"/>
        <sz val="11"/>
        <rFont val="Calibri"/>
        <family val="2"/>
        <scheme val="minor"/>
      </rPr>
      <t>cu</t>
    </r>
  </si>
  <si>
    <r>
      <t>ε</t>
    </r>
    <r>
      <rPr>
        <vertAlign val="subscript"/>
        <sz val="11"/>
        <rFont val="Calibri"/>
        <family val="2"/>
        <scheme val="minor"/>
      </rPr>
      <t>s-yield</t>
    </r>
    <r>
      <rPr>
        <sz val="11"/>
        <rFont val="Calibri"/>
        <family val="2"/>
        <scheme val="minor"/>
      </rPr>
      <t xml:space="preserve"> =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/ E</t>
    </r>
    <r>
      <rPr>
        <vertAlign val="subscript"/>
        <sz val="11"/>
        <rFont val="Calibri"/>
        <family val="2"/>
        <scheme val="minor"/>
      </rPr>
      <t>s</t>
    </r>
  </si>
  <si>
    <t>Syarat untuk tulangan tarik:</t>
  </si>
  <si>
    <r>
      <t>ε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' = (d - c)/c * ε</t>
    </r>
    <r>
      <rPr>
        <vertAlign val="subscript"/>
        <sz val="11"/>
        <rFont val="Calibri"/>
        <family val="2"/>
        <scheme val="minor"/>
      </rPr>
      <t>cu</t>
    </r>
  </si>
  <si>
    <t>Klasifikasi regangan tarik netto,</t>
  </si>
  <si>
    <t>Faktor reduksi kekuatan gaya momen,</t>
  </si>
  <si>
    <t>Kapasitas momen terhadap T,</t>
  </si>
  <si>
    <r>
      <t>M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* (d -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* c/2) + C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(d - d') =</t>
    </r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</si>
  <si>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* M</t>
    </r>
    <r>
      <rPr>
        <vertAlign val="subscript"/>
        <sz val="11"/>
        <rFont val="Calibri"/>
        <family val="2"/>
        <scheme val="minor"/>
      </rPr>
      <t>n</t>
    </r>
  </si>
  <si>
    <t>≥</t>
  </si>
  <si>
    <r>
      <t>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+ C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</si>
  <si>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 xml:space="preserve"> T</t>
    </r>
    <r>
      <rPr>
        <vertAlign val="subscript"/>
        <sz val="11"/>
        <rFont val="Calibri"/>
        <family val="2"/>
        <scheme val="minor"/>
      </rPr>
      <t>s</t>
    </r>
  </si>
  <si>
    <t>=   0</t>
  </si>
  <si>
    <t>Kontrol hasil perhitungan terhadap asumsi regangan awal,</t>
  </si>
  <si>
    <r>
      <t>φ * M</t>
    </r>
    <r>
      <rPr>
        <vertAlign val="subscript"/>
        <sz val="11"/>
        <rFont val="Calibri"/>
        <family val="2"/>
        <scheme val="minor"/>
      </rPr>
      <t>n</t>
    </r>
  </si>
  <si>
    <t>Nilai modulus elastis baja,</t>
  </si>
  <si>
    <t>=    0</t>
  </si>
  <si>
    <t>C.</t>
  </si>
  <si>
    <t>C.1.</t>
  </si>
  <si>
    <t>Kondisi gaya aksial yang terjadi,</t>
  </si>
  <si>
    <t>Faktor reduksi kekuatan geser,</t>
  </si>
  <si>
    <r>
      <rPr>
        <i/>
        <sz val="11"/>
        <rFont val="Calibri"/>
        <family val="2"/>
      </rPr>
      <t>φ</t>
    </r>
    <r>
      <rPr>
        <sz val="11"/>
        <rFont val="Calibri"/>
        <family val="2"/>
        <scheme val="minor"/>
      </rPr>
      <t xml:space="preserve"> =</t>
    </r>
  </si>
  <si>
    <t>Tinggi efektif penampang beton untuk geser,</t>
  </si>
  <si>
    <r>
      <t>d = h -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-P </t>
    </r>
    <r>
      <rPr>
        <sz val="11"/>
        <rFont val="Calibri"/>
        <family val="2"/>
      </rPr>
      <t>=</t>
    </r>
  </si>
  <si>
    <t>Tegangan leleh tulangan geser,</t>
  </si>
  <si>
    <t>Gaya geser ultimit rencana,</t>
  </si>
  <si>
    <t>Kuat geser beton,</t>
  </si>
  <si>
    <t>Tahanan geser beton,</t>
  </si>
  <si>
    <r>
      <rPr>
        <i/>
        <sz val="11"/>
        <rFont val="Calibri"/>
        <family val="2"/>
      </rPr>
      <t>φ</t>
    </r>
    <r>
      <rPr>
        <sz val="11"/>
        <rFont val="Calibri"/>
        <family val="2"/>
        <scheme val="minor"/>
      </rPr>
      <t xml:space="preserve"> * 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</si>
  <si>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Gaya geser minimum tulangan yang dibutuhkan,</t>
  </si>
  <si>
    <r>
      <t>V</t>
    </r>
    <r>
      <rPr>
        <vertAlign val="subscript"/>
        <sz val="11"/>
        <rFont val="Calibri"/>
        <family val="2"/>
        <scheme val="minor"/>
      </rPr>
      <t>s-min</t>
    </r>
    <r>
      <rPr>
        <sz val="11"/>
        <rFont val="Calibri"/>
        <family val="2"/>
        <scheme val="minor"/>
      </rPr>
      <t xml:space="preserve"> = 1/16 * </t>
    </r>
    <r>
      <rPr>
        <sz val="11"/>
        <rFont val="Calibri"/>
        <family val="2"/>
      </rPr>
      <t>√fc'</t>
    </r>
    <r>
      <rPr>
        <sz val="11"/>
        <rFont val="Calibri"/>
        <family val="2"/>
        <scheme val="minor"/>
      </rPr>
      <t xml:space="preserve"> * b * d =</t>
    </r>
  </si>
  <si>
    <t>Syarat Kond. 1</t>
  </si>
  <si>
    <r>
      <t>V</t>
    </r>
    <r>
      <rPr>
        <vertAlign val="subscript"/>
        <sz val="11"/>
        <rFont val="Calibri"/>
        <family val="2"/>
        <scheme val="minor"/>
      </rPr>
      <t>u</t>
    </r>
  </si>
  <si>
    <t>≤</t>
  </si>
  <si>
    <t>Syarat Kond. 2</t>
  </si>
  <si>
    <t>Syarat Kond. 3</t>
  </si>
  <si>
    <t>Syarat Kond. 4</t>
  </si>
  <si>
    <t>Syarat Kond. 5</t>
  </si>
  <si>
    <t>Syarat Kond. 6</t>
  </si>
  <si>
    <r>
      <t>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≤ 0,5 * φ * V</t>
    </r>
    <r>
      <rPr>
        <b/>
        <vertAlign val="subscript"/>
        <sz val="11"/>
        <rFont val="Calibri"/>
        <family val="2"/>
        <scheme val="minor"/>
      </rPr>
      <t>c</t>
    </r>
  </si>
  <si>
    <r>
      <t xml:space="preserve">0,5 *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 xml:space="preserve"> * 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≤ 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≤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 xml:space="preserve"> * V</t>
    </r>
    <r>
      <rPr>
        <b/>
        <vertAlign val="subscript"/>
        <sz val="11"/>
        <rFont val="Calibri"/>
        <family val="2"/>
        <scheme val="minor"/>
      </rPr>
      <t>c</t>
    </r>
  </si>
  <si>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 xml:space="preserve"> * 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≤ 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≤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 xml:space="preserve"> * ( 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V</t>
    </r>
    <r>
      <rPr>
        <b/>
        <vertAlign val="subscript"/>
        <sz val="11"/>
        <rFont val="Calibri"/>
        <family val="2"/>
        <scheme val="minor"/>
      </rPr>
      <t>s-min</t>
    </r>
    <r>
      <rPr>
        <b/>
        <sz val="11"/>
        <rFont val="Calibri"/>
        <family val="2"/>
        <scheme val="minor"/>
      </rPr>
      <t>)</t>
    </r>
  </si>
  <si>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 xml:space="preserve"> * ( 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V</t>
    </r>
    <r>
      <rPr>
        <b/>
        <vertAlign val="subscript"/>
        <sz val="11"/>
        <rFont val="Calibri"/>
        <family val="2"/>
        <scheme val="minor"/>
      </rPr>
      <t>s-min</t>
    </r>
    <r>
      <rPr>
        <b/>
        <sz val="11"/>
        <rFont val="Calibri"/>
        <family val="2"/>
        <scheme val="minor"/>
      </rPr>
      <t>) ≤ 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≤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>*(V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+ 1/3*√f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'*b*d)</t>
    </r>
  </si>
  <si>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>*(V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+ 1/3*√f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'*b*d) ≤ 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≤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>*(V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+ 2/3*√f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'*b*d)</t>
    </r>
  </si>
  <si>
    <r>
      <t>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</rPr>
      <t>≥</t>
    </r>
    <r>
      <rPr>
        <b/>
        <sz val="1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>*(V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+ 2/3*√f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'*b*d)</t>
    </r>
  </si>
  <si>
    <t>Kesimpulan untuk kondisi tulangan geser,</t>
  </si>
  <si>
    <t>Kondisi</t>
  </si>
  <si>
    <t>Keterangan</t>
  </si>
  <si>
    <t>Gaya Geser Tulangan</t>
  </si>
  <si>
    <t>Jarak sengkang</t>
  </si>
  <si>
    <t>TDK PERLU</t>
  </si>
  <si>
    <r>
      <t>V</t>
    </r>
    <r>
      <rPr>
        <vertAlign val="subscript"/>
        <sz val="11"/>
        <rFont val="Calibri"/>
        <family val="2"/>
        <scheme val="minor"/>
      </rPr>
      <t>s-min</t>
    </r>
  </si>
  <si>
    <t>&lt; d/2</t>
  </si>
  <si>
    <t>&lt; 600</t>
  </si>
  <si>
    <t>&lt; d/4</t>
  </si>
  <si>
    <t>&lt; 300</t>
  </si>
  <si>
    <t>Ubah dimensi penampang</t>
  </si>
  <si>
    <r>
      <rPr>
        <i/>
        <sz val="10"/>
        <rFont val="Calibri"/>
        <family val="2"/>
        <scheme val="minor"/>
      </rPr>
      <t>φ</t>
    </r>
    <r>
      <rPr>
        <sz val="10"/>
        <rFont val="Calibri"/>
        <family val="2"/>
        <scheme val="minor"/>
      </rPr>
      <t>*V</t>
    </r>
    <r>
      <rPr>
        <vertAlign val="subscript"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 = V</t>
    </r>
    <r>
      <rPr>
        <vertAlign val="subscript"/>
        <sz val="10"/>
        <rFont val="Calibri"/>
        <family val="2"/>
        <scheme val="minor"/>
      </rPr>
      <t>u</t>
    </r>
    <r>
      <rPr>
        <sz val="10"/>
        <rFont val="Calibri"/>
        <family val="2"/>
        <scheme val="minor"/>
      </rPr>
      <t xml:space="preserve"> - </t>
    </r>
    <r>
      <rPr>
        <i/>
        <sz val="10"/>
        <rFont val="Calibri"/>
        <family val="2"/>
        <scheme val="minor"/>
      </rPr>
      <t>φ</t>
    </r>
    <r>
      <rPr>
        <sz val="10"/>
        <rFont val="Calibri"/>
        <family val="2"/>
        <scheme val="minor"/>
      </rPr>
      <t>*V</t>
    </r>
    <r>
      <rPr>
        <vertAlign val="subscript"/>
        <sz val="10"/>
        <rFont val="Calibri"/>
        <family val="2"/>
        <scheme val="minor"/>
      </rPr>
      <t>c</t>
    </r>
  </si>
  <si>
    <t>Tahanan geser sengkang,</t>
  </si>
  <si>
    <t>Kuat geser sengkang,</t>
  </si>
  <si>
    <r>
      <t>V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</si>
  <si>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Digunakan sengkang berpenampang :</t>
  </si>
  <si>
    <t>Luas tulangan geser sengkang,</t>
  </si>
  <si>
    <t>Jarak sengkang yang diperlukan :</t>
  </si>
  <si>
    <r>
      <t>s = A</t>
    </r>
    <r>
      <rPr>
        <vertAlign val="sub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 xml:space="preserve"> *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* d / ( V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10</t>
    </r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) =</t>
    </r>
  </si>
  <si>
    <t>Digunakan sengkang sebelum torsi,</t>
  </si>
  <si>
    <t>D.</t>
  </si>
  <si>
    <t>PERENCANAAN TULANGAN TORSI</t>
  </si>
  <si>
    <t>Gaya torsi ultimit rencana,</t>
  </si>
  <si>
    <t>Faktor reduksi kekuatan torsi,</t>
  </si>
  <si>
    <t>Gaya torsi nominal rencana,</t>
  </si>
  <si>
    <r>
      <t>T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T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/ </t>
    </r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=</t>
    </r>
  </si>
  <si>
    <t>Tegangan leleh tulangan torsi,</t>
  </si>
  <si>
    <t>Luas yg dibatasi keliling luar penampang beton,</t>
  </si>
  <si>
    <r>
      <t>A</t>
    </r>
    <r>
      <rPr>
        <vertAlign val="subscript"/>
        <sz val="11"/>
        <rFont val="Calibri"/>
        <family val="2"/>
        <scheme val="minor"/>
      </rPr>
      <t xml:space="preserve">cp </t>
    </r>
    <r>
      <rPr>
        <sz val="11"/>
        <rFont val="Calibri"/>
        <family val="2"/>
        <scheme val="minor"/>
      </rPr>
      <t xml:space="preserve"> = b * h =</t>
    </r>
  </si>
  <si>
    <t>Luas yg dilingkupi oleh garis tulangan torsi tranversal terluar,</t>
  </si>
  <si>
    <t>Keliling luar penampang beton,</t>
  </si>
  <si>
    <r>
      <t>P</t>
    </r>
    <r>
      <rPr>
        <vertAlign val="subscript"/>
        <sz val="11"/>
        <rFont val="Calibri"/>
        <family val="2"/>
        <scheme val="minor"/>
      </rPr>
      <t xml:space="preserve">cp </t>
    </r>
    <r>
      <rPr>
        <sz val="11"/>
        <rFont val="Calibri"/>
        <family val="2"/>
        <scheme val="minor"/>
      </rPr>
      <t xml:space="preserve"> = 2 * ( b + h ) =</t>
    </r>
  </si>
  <si>
    <t>Keliling garis pusat torsi tranversal terluar,</t>
  </si>
  <si>
    <t>Jarak sengkang tulangan transversal,</t>
  </si>
  <si>
    <r>
      <t>s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</si>
  <si>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</si>
  <si>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t>s =</t>
  </si>
  <si>
    <t>Torsi terkecil yang terdeteksi (threshold)</t>
  </si>
  <si>
    <r>
      <t>T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&lt; 1/12 * </t>
    </r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* (√ fc') * (A</t>
    </r>
    <r>
      <rPr>
        <vertAlign val="subscript"/>
        <sz val="11"/>
        <rFont val="Calibri"/>
        <family val="2"/>
        <scheme val="minor"/>
      </rPr>
      <t>cp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/ P</t>
    </r>
    <r>
      <rPr>
        <vertAlign val="subscript"/>
        <sz val="11"/>
        <rFont val="Calibri"/>
        <family val="2"/>
        <scheme val="minor"/>
      </rPr>
      <t>cp</t>
    </r>
    <r>
      <rPr>
        <sz val="11"/>
        <rFont val="Calibri"/>
        <family val="2"/>
        <scheme val="minor"/>
      </rPr>
      <t xml:space="preserve"> ) * ( 1 + N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/ ( 1 / 3 * A</t>
    </r>
    <r>
      <rPr>
        <vertAlign val="subscript"/>
        <sz val="11"/>
        <rFont val="Calibri"/>
        <family val="2"/>
        <scheme val="minor"/>
      </rPr>
      <t>g</t>
    </r>
    <r>
      <rPr>
        <sz val="11"/>
        <rFont val="Calibri"/>
        <family val="2"/>
        <scheme val="minor"/>
      </rPr>
      <t xml:space="preserve"> * (√ fc') ) ) ^ 0,5 =</t>
    </r>
  </si>
  <si>
    <t xml:space="preserve">Syarat dimensi penampang </t>
  </si>
  <si>
    <r>
      <t>(( V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/ (b * d) )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+ ( T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* P</t>
    </r>
    <r>
      <rPr>
        <vertAlign val="subscript"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 xml:space="preserve"> / ( 1,7 * A</t>
    </r>
    <r>
      <rPr>
        <vertAlign val="subscript"/>
        <sz val="11"/>
        <rFont val="Calibri"/>
        <family val="2"/>
        <scheme val="minor"/>
      </rPr>
      <t>oh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))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</t>
    </r>
    <r>
      <rPr>
        <vertAlign val="superscript"/>
        <sz val="11"/>
        <rFont val="Calibri"/>
        <family val="2"/>
        <scheme val="minor"/>
      </rPr>
      <t>0,5</t>
    </r>
    <r>
      <rPr>
        <sz val="11"/>
        <rFont val="Calibri"/>
        <family val="2"/>
        <scheme val="minor"/>
      </rPr>
      <t xml:space="preserve">      ≤            </t>
    </r>
    <r>
      <rPr>
        <sz val="11"/>
        <rFont val="Calibri"/>
        <family val="2"/>
      </rPr>
      <t>φ *</t>
    </r>
    <r>
      <rPr>
        <sz val="11"/>
        <rFont val="Calibri"/>
        <family val="2"/>
        <scheme val="minor"/>
      </rPr>
      <t xml:space="preserve"> ( 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/ ( b * d ) + 2/3 * √ fc' )</t>
    </r>
  </si>
  <si>
    <t>Luas tulangan torsi transversal,</t>
  </si>
  <si>
    <r>
      <t>A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/ s = T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/ ( 2 * A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* f</t>
    </r>
    <r>
      <rPr>
        <vertAlign val="subscript"/>
        <sz val="11"/>
        <rFont val="Calibri"/>
        <family val="2"/>
        <scheme val="minor"/>
      </rPr>
      <t>yt</t>
    </r>
    <r>
      <rPr>
        <sz val="11"/>
        <rFont val="Calibri"/>
        <family val="2"/>
        <scheme val="minor"/>
      </rPr>
      <t xml:space="preserve"> ) =</t>
    </r>
  </si>
  <si>
    <t>Luas tulangan torsi transversal minimal,</t>
  </si>
  <si>
    <r>
      <t>A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/ s = 0,032 * (√ fc') * b / f</t>
    </r>
    <r>
      <rPr>
        <vertAlign val="subscript"/>
        <sz val="11"/>
        <rFont val="Calibri"/>
        <family val="2"/>
        <scheme val="minor"/>
      </rPr>
      <t>yt</t>
    </r>
    <r>
      <rPr>
        <sz val="11"/>
        <rFont val="Calibri"/>
        <family val="2"/>
        <scheme val="minor"/>
      </rPr>
      <t xml:space="preserve"> - 0,5 * A</t>
    </r>
    <r>
      <rPr>
        <vertAlign val="sub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 xml:space="preserve"> =</t>
    </r>
  </si>
  <si>
    <t>Luas tulangan torsi tranversal pakai,</t>
  </si>
  <si>
    <r>
      <t>A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/ s =</t>
    </r>
  </si>
  <si>
    <t>Luas tulangan torsi longitudinal,</t>
  </si>
  <si>
    <r>
      <t>A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= A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/ s * P</t>
    </r>
    <r>
      <rPr>
        <vertAlign val="subscript"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 xml:space="preserve"> * ( f</t>
    </r>
    <r>
      <rPr>
        <vertAlign val="subscript"/>
        <sz val="11"/>
        <rFont val="Calibri"/>
        <family val="2"/>
        <scheme val="minor"/>
      </rPr>
      <t>yt</t>
    </r>
    <r>
      <rPr>
        <sz val="11"/>
        <rFont val="Calibri"/>
        <family val="2"/>
        <scheme val="minor"/>
      </rPr>
      <t xml:space="preserve"> /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) =</t>
    </r>
  </si>
  <si>
    <t>Luas tulangan torsi longitudinal minimal,</t>
  </si>
  <si>
    <t>syarat :</t>
  </si>
  <si>
    <t>At/s</t>
  </si>
  <si>
    <t>&gt;</t>
  </si>
  <si>
    <t>0,175 * b / fyt</t>
  </si>
  <si>
    <t>Luas tulangan torsi longitudinal pakai,</t>
  </si>
  <si>
    <r>
      <t>A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</si>
  <si>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rFont val="Calibri"/>
        <family val="2"/>
        <scheme val="minor"/>
      </rPr>
      <t xml:space="preserve">oh </t>
    </r>
    <r>
      <rPr>
        <sz val="11"/>
        <rFont val="Calibri"/>
        <family val="2"/>
        <scheme val="minor"/>
      </rPr>
      <t xml:space="preserve"> = ( b - 2*(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- 1 / 2 * P ) * ( h - 2*(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- 1 / 2 * P ) =</t>
    </r>
  </si>
  <si>
    <t>E.</t>
  </si>
  <si>
    <t>REKAP TULANGAN TRANSVERSAL &amp; LONGITUDINAL</t>
  </si>
  <si>
    <t>E.1.</t>
  </si>
  <si>
    <t>Kombinasi tulangan transversal,</t>
  </si>
  <si>
    <r>
      <t>A</t>
    </r>
    <r>
      <rPr>
        <vertAlign val="subscript"/>
        <sz val="11"/>
        <rFont val="Calibri"/>
        <family val="2"/>
        <scheme val="minor"/>
      </rPr>
      <t>vt</t>
    </r>
    <r>
      <rPr>
        <sz val="11"/>
        <rFont val="Calibri"/>
        <family val="2"/>
        <scheme val="minor"/>
      </rPr>
      <t xml:space="preserve"> / s = A</t>
    </r>
    <r>
      <rPr>
        <vertAlign val="sub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 xml:space="preserve"> / s + 2 * A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/ s =</t>
    </r>
  </si>
  <si>
    <t>Luas tulangan transversal,</t>
  </si>
  <si>
    <t>Jarak antar sengkang,</t>
  </si>
  <si>
    <r>
      <t>s = A</t>
    </r>
    <r>
      <rPr>
        <vertAlign val="subscript"/>
        <sz val="11"/>
        <rFont val="Calibri"/>
        <family val="2"/>
        <scheme val="minor"/>
      </rPr>
      <t>vt</t>
    </r>
    <r>
      <rPr>
        <sz val="11"/>
        <rFont val="Calibri"/>
        <family val="2"/>
        <scheme val="minor"/>
      </rPr>
      <t xml:space="preserve"> / ( A</t>
    </r>
    <r>
      <rPr>
        <vertAlign val="sub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 xml:space="preserve"> / s + 2 * A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/ s ) =</t>
    </r>
  </si>
  <si>
    <t>Jarak sengkang maksimum,</t>
  </si>
  <si>
    <r>
      <t>s</t>
    </r>
    <r>
      <rPr>
        <vertAlign val="subscript"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 = </t>
    </r>
  </si>
  <si>
    <t>Jarak sengkang maksimum torsi,</t>
  </si>
  <si>
    <r>
      <t>s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= p</t>
    </r>
    <r>
      <rPr>
        <vertAlign val="subscript"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 xml:space="preserve"> / 8 =</t>
    </r>
  </si>
  <si>
    <t>Jarak sengkang yang  harus digunakan,</t>
  </si>
  <si>
    <t>Digunakan tulangan transversal,</t>
  </si>
  <si>
    <t>Diameter tulangan pakai utama,</t>
  </si>
  <si>
    <t>Luas tulangan pakai utama per satu bar,</t>
  </si>
  <si>
    <r>
      <t>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π / 4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</t>
    </r>
    <r>
      <rPr>
        <vertAlign val="sub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=</t>
    </r>
  </si>
  <si>
    <t>Diameter tulangan pakai untuk badan,</t>
  </si>
  <si>
    <t>Luas tulangan pakai untuk badan,</t>
  </si>
  <si>
    <r>
      <t>A</t>
    </r>
    <r>
      <rPr>
        <vertAlign val="subscript"/>
        <sz val="11"/>
        <rFont val="Calibri"/>
        <family val="2"/>
        <scheme val="minor"/>
      </rPr>
      <t>s-badan</t>
    </r>
    <r>
      <rPr>
        <sz val="11"/>
        <rFont val="Calibri"/>
        <family val="2"/>
        <scheme val="minor"/>
      </rPr>
      <t xml:space="preserve"> = n * π / 4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</t>
    </r>
    <r>
      <rPr>
        <vertAlign val="sub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=</t>
    </r>
  </si>
  <si>
    <t>Luas tulangan torsi perlu,</t>
  </si>
  <si>
    <t>Jumlah tulangan torsi perlu untuk tulangan utama,</t>
  </si>
  <si>
    <r>
      <t>n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= (A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- A</t>
    </r>
    <r>
      <rPr>
        <vertAlign val="subscript"/>
        <sz val="11"/>
        <rFont val="Calibri"/>
        <family val="2"/>
        <scheme val="minor"/>
      </rPr>
      <t>s-badan</t>
    </r>
    <r>
      <rPr>
        <sz val="11"/>
        <rFont val="Calibri"/>
        <family val="2"/>
        <scheme val="minor"/>
      </rPr>
      <t>) /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</si>
  <si>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bar</t>
  </si>
  <si>
    <t>Jumlah tulangan momen,</t>
  </si>
  <si>
    <r>
      <t>n</t>
    </r>
    <r>
      <rPr>
        <vertAlign val="subscript"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 xml:space="preserve"> =</t>
    </r>
  </si>
  <si>
    <t>Jumlah tulangan perlu total,</t>
  </si>
  <si>
    <r>
      <t>n</t>
    </r>
    <r>
      <rPr>
        <vertAlign val="subscript"/>
        <sz val="11"/>
        <rFont val="Calibri"/>
        <family val="2"/>
        <scheme val="minor"/>
      </rPr>
      <t>total</t>
    </r>
    <r>
      <rPr>
        <sz val="11"/>
        <rFont val="Calibri"/>
        <family val="2"/>
        <scheme val="minor"/>
      </rPr>
      <t xml:space="preserve"> = n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+ n</t>
    </r>
    <r>
      <rPr>
        <vertAlign val="subscript"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 xml:space="preserve"> =</t>
    </r>
  </si>
  <si>
    <r>
      <t>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/ mm</t>
    </r>
  </si>
  <si>
    <t>E.2.</t>
  </si>
  <si>
    <t>Tulangan Longitudinal Atas</t>
  </si>
  <si>
    <t>Tulangan Longitudinal Bawah</t>
  </si>
  <si>
    <t>Tulangan Transversal</t>
  </si>
  <si>
    <t>Kontrol gaya akibat beban terfaktor</t>
  </si>
  <si>
    <t>Gaya tekan aksial ultimit,</t>
  </si>
  <si>
    <t>Gaya torsi ultimit,</t>
  </si>
  <si>
    <t>Input nilai gaya reaksi akibat kombinasi beban terfaktor</t>
  </si>
  <si>
    <r>
      <t>Gaya geser ultimit, V</t>
    </r>
    <r>
      <rPr>
        <vertAlign val="subscript"/>
        <sz val="11"/>
        <color theme="1"/>
        <rFont val="Calibri"/>
        <family val="2"/>
        <scheme val="minor"/>
      </rPr>
      <t>u</t>
    </r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</si>
  <si>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* V</t>
    </r>
    <r>
      <rPr>
        <vertAlign val="subscript"/>
        <sz val="11"/>
        <rFont val="Calibri"/>
        <family val="2"/>
        <scheme val="minor"/>
      </rPr>
      <t>n</t>
    </r>
  </si>
  <si>
    <r>
      <t>T</t>
    </r>
    <r>
      <rPr>
        <vertAlign val="subscript"/>
        <sz val="11"/>
        <rFont val="Calibri"/>
        <family val="2"/>
        <scheme val="minor"/>
      </rPr>
      <t>u</t>
    </r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</si>
  <si>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* T</t>
    </r>
    <r>
      <rPr>
        <vertAlign val="subscript"/>
        <sz val="11"/>
        <rFont val="Calibri"/>
        <family val="2"/>
        <scheme val="minor"/>
      </rPr>
      <t>n</t>
    </r>
  </si>
  <si>
    <t>Dimensi &amp; Tulangan Balok</t>
  </si>
  <si>
    <t>Tinggi balok, h</t>
  </si>
  <si>
    <t>Lebar balok, b</t>
  </si>
  <si>
    <t>DATA PERENCANAAN</t>
  </si>
  <si>
    <t>Nilai bahan struktur</t>
  </si>
  <si>
    <t>Nilai dimensi balok</t>
  </si>
  <si>
    <r>
      <t>Gaya torsi ultimit, T</t>
    </r>
    <r>
      <rPr>
        <vertAlign val="subscript"/>
        <sz val="11"/>
        <color theme="1"/>
        <rFont val="Calibri"/>
        <family val="2"/>
        <scheme val="minor"/>
      </rPr>
      <t>u</t>
    </r>
  </si>
  <si>
    <r>
      <t>P</t>
    </r>
    <r>
      <rPr>
        <vertAlign val="subscript"/>
        <sz val="11"/>
        <rFont val="Calibri"/>
        <family val="2"/>
        <scheme val="minor"/>
      </rPr>
      <t xml:space="preserve">h </t>
    </r>
    <r>
      <rPr>
        <sz val="11"/>
        <rFont val="Calibri"/>
        <family val="2"/>
        <scheme val="minor"/>
      </rPr>
      <t xml:space="preserve"> = 2 * ( ( b - 2 * (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- 1 / 2 * P ) + ( h - 2 * (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- 1 / 2 * P ) ) =</t>
    </r>
  </si>
  <si>
    <r>
      <t>S</t>
    </r>
    <r>
      <rPr>
        <b/>
        <vertAlign val="subscript"/>
        <sz val="11"/>
        <color theme="0"/>
        <rFont val="Calibri Light"/>
        <family val="2"/>
        <scheme val="major"/>
      </rPr>
      <t>maks-1</t>
    </r>
  </si>
  <si>
    <r>
      <t>S</t>
    </r>
    <r>
      <rPr>
        <b/>
        <vertAlign val="subscript"/>
        <sz val="11"/>
        <color theme="0"/>
        <rFont val="Calibri Light"/>
        <family val="2"/>
        <scheme val="major"/>
      </rPr>
      <t>maks-2</t>
    </r>
  </si>
  <si>
    <r>
      <t>n</t>
    </r>
    <r>
      <rPr>
        <b/>
        <vertAlign val="subscript"/>
        <sz val="11"/>
        <color theme="0"/>
        <rFont val="Calibri"/>
        <family val="2"/>
        <scheme val="minor"/>
      </rPr>
      <t>i</t>
    </r>
  </si>
  <si>
    <r>
      <t>y</t>
    </r>
    <r>
      <rPr>
        <b/>
        <vertAlign val="subscript"/>
        <sz val="11"/>
        <color theme="0"/>
        <rFont val="Calibri"/>
        <family val="2"/>
        <scheme val="minor"/>
      </rPr>
      <t>i</t>
    </r>
  </si>
  <si>
    <r>
      <t>n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 * y</t>
    </r>
    <r>
      <rPr>
        <b/>
        <vertAlign val="subscript"/>
        <sz val="11"/>
        <color theme="0"/>
        <rFont val="Calibri"/>
        <family val="2"/>
        <scheme val="minor"/>
      </rPr>
      <t>i</t>
    </r>
  </si>
  <si>
    <t xml:space="preserve">REPORT OUTPUT EXCEL SPREADSHEET </t>
  </si>
  <si>
    <t>• Nama Program</t>
  </si>
  <si>
    <t xml:space="preserve">• Versi </t>
  </si>
  <si>
    <t>• Penyusun</t>
  </si>
  <si>
    <t>• email</t>
  </si>
  <si>
    <t>Penulangan Penampang Balok Segi Empat Struktur Bertulang</t>
  </si>
  <si>
    <t xml:space="preserve"> </t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</si>
  <si>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0,85 - 0,05 * (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- 28) / 7 =</t>
    </r>
  </si>
  <si>
    <r>
      <t>n =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' / ( π / 4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 =</t>
    </r>
  </si>
  <si>
    <r>
      <t>ε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(c - d')/c * ε</t>
    </r>
    <r>
      <rPr>
        <vertAlign val="subscript"/>
        <sz val="11"/>
        <rFont val="Calibri"/>
        <family val="2"/>
        <scheme val="minor"/>
      </rPr>
      <t>cu</t>
    </r>
  </si>
  <si>
    <r>
      <t>ε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(d - c)/c * ε</t>
    </r>
    <r>
      <rPr>
        <vertAlign val="subscript"/>
        <sz val="11"/>
        <rFont val="Calibri"/>
        <family val="2"/>
        <scheme val="minor"/>
      </rPr>
      <t>cu</t>
    </r>
  </si>
  <si>
    <t>Judul Program</t>
  </si>
  <si>
    <t>:</t>
  </si>
  <si>
    <t>Versi Program</t>
  </si>
  <si>
    <t>Penyusun</t>
  </si>
  <si>
    <t xml:space="preserve">Ada permintaan program? Hubungi kami di : </t>
  </si>
  <si>
    <t>info@inpetra.id</t>
  </si>
  <si>
    <t>Penulangan Penampang Balok Segi Empat Struktur Beton Bertulang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</si>
  <si>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</si>
  <si>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</si>
  <si>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</si>
  <si>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>V1.0.1</t>
  </si>
  <si>
    <t xml:space="preserve">Update Revisi : </t>
  </si>
  <si>
    <t>Perbaikan terhadap beberapa link pada report</t>
  </si>
  <si>
    <t>Update ke 1</t>
  </si>
  <si>
    <t>Agustus 2024</t>
  </si>
  <si>
    <t>1. Tulangan Tumpuan</t>
  </si>
  <si>
    <t>2. Tulangan Lapangan</t>
  </si>
  <si>
    <t>Rekapitulasi tulangan longitudinal untuk tumpuan</t>
  </si>
  <si>
    <t>Rekapitulasi tulangan longitudinal untuk lapangan</t>
  </si>
  <si>
    <t>E.3.</t>
  </si>
  <si>
    <t>Digunakan jumlah maksimal tulangan dalam satu baris,</t>
  </si>
  <si>
    <t>Jumlah maksimal tulangan dlm satu baris,</t>
  </si>
  <si>
    <t>SNI 2847 - 2019 Tabel 22.2.2.4.3</t>
  </si>
  <si>
    <t>SNI 2847 Pasal 9.6.1.2 (a)</t>
  </si>
  <si>
    <t>SNI 2847 Pasal 9.6.1.2 (b)</t>
  </si>
  <si>
    <t>SNI 2847 - 2019 Pasal 2.2 hal 14 &amp; Pasal 2.3 hal 52</t>
  </si>
  <si>
    <t>Diameter sengkang (ulir) yang digunakan,</t>
  </si>
  <si>
    <t>Diameter tulangan longitudinal (ulir) yang digunakan,</t>
  </si>
  <si>
    <r>
      <t>d</t>
    </r>
    <r>
      <rPr>
        <vertAlign val="subscript"/>
        <sz val="11"/>
        <rFont val="Calibri"/>
        <family val="2"/>
        <scheme val="minor"/>
      </rPr>
      <t>b-longitudinal</t>
    </r>
    <r>
      <rPr>
        <sz val="11"/>
        <rFont val="Calibri"/>
        <family val="2"/>
        <scheme val="minor"/>
      </rPr>
      <t xml:space="preserve"> =</t>
    </r>
  </si>
  <si>
    <r>
      <t>d</t>
    </r>
    <r>
      <rPr>
        <vertAlign val="subscript"/>
        <sz val="11"/>
        <rFont val="Calibri"/>
        <family val="2"/>
        <scheme val="minor"/>
      </rPr>
      <t>b-sengkang</t>
    </r>
    <r>
      <rPr>
        <sz val="1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</si>
  <si>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</si>
  <si>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Jarak dari serat tekan terjauh ke pusat tulangan tekan longitudinal terluar,</t>
  </si>
  <si>
    <t>Balok</t>
  </si>
  <si>
    <t>Sisi Kiri</t>
  </si>
  <si>
    <r>
      <t>n</t>
    </r>
    <r>
      <rPr>
        <b/>
        <vertAlign val="subscript"/>
        <sz val="11"/>
        <color theme="0"/>
        <rFont val="Calibri"/>
        <family val="2"/>
        <scheme val="minor"/>
      </rPr>
      <t>1</t>
    </r>
  </si>
  <si>
    <r>
      <t>n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/>
    </r>
  </si>
  <si>
    <r>
      <t>n</t>
    </r>
    <r>
      <rPr>
        <b/>
        <vertAlign val="subscript"/>
        <sz val="11"/>
        <color theme="0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/>
    </r>
  </si>
  <si>
    <t>ts</t>
  </si>
  <si>
    <t>Sisi Kanan</t>
  </si>
  <si>
    <t>X</t>
  </si>
  <si>
    <t>Y</t>
  </si>
  <si>
    <t>Sisi Atas</t>
  </si>
  <si>
    <t>Sisi Bawah</t>
  </si>
  <si>
    <r>
      <t>n</t>
    </r>
    <r>
      <rPr>
        <b/>
        <vertAlign val="subscript"/>
        <sz val="11"/>
        <color theme="0"/>
        <rFont val="Calibri"/>
        <family val="2"/>
        <scheme val="minor"/>
      </rPr>
      <t>2</t>
    </r>
  </si>
  <si>
    <r>
      <t>n</t>
    </r>
    <r>
      <rPr>
        <b/>
        <vertAlign val="subscript"/>
        <sz val="11"/>
        <color theme="0"/>
        <rFont val="Calibri"/>
        <family val="2"/>
        <scheme val="minor"/>
      </rPr>
      <t>3</t>
    </r>
  </si>
  <si>
    <t>Sengkang</t>
  </si>
  <si>
    <r>
      <t>X</t>
    </r>
    <r>
      <rPr>
        <b/>
        <vertAlign val="subscript"/>
        <sz val="11"/>
        <color theme="0"/>
        <rFont val="Calibri"/>
        <family val="2"/>
        <scheme val="minor"/>
      </rPr>
      <t>1</t>
    </r>
  </si>
  <si>
    <r>
      <t>X</t>
    </r>
    <r>
      <rPr>
        <b/>
        <vertAlign val="subscript"/>
        <sz val="11"/>
        <color theme="0"/>
        <rFont val="Calibri"/>
        <family val="2"/>
        <scheme val="minor"/>
      </rPr>
      <t>2</t>
    </r>
  </si>
  <si>
    <t>Atas</t>
  </si>
  <si>
    <t>Kanan</t>
  </si>
  <si>
    <t>t1</t>
  </si>
  <si>
    <t>1 baris</t>
  </si>
  <si>
    <t>t2</t>
  </si>
  <si>
    <t xml:space="preserve">2 baris </t>
  </si>
  <si>
    <t>t3</t>
  </si>
  <si>
    <t xml:space="preserve">3 baris </t>
  </si>
  <si>
    <t>Bawah</t>
  </si>
  <si>
    <t>Kiri</t>
  </si>
  <si>
    <t>Spasi :</t>
  </si>
  <si>
    <t>x</t>
  </si>
  <si>
    <t>y</t>
  </si>
  <si>
    <t>Tulangan longitudinal tumpuan</t>
  </si>
  <si>
    <r>
      <t>n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</si>
  <si>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</si>
  <si>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</si>
  <si>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</si>
  <si>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</si>
  <si>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=</t>
    </r>
  </si>
  <si>
    <t>Jumlah tulangan longitudinal lapangan bagian atas (tekan),</t>
  </si>
  <si>
    <t>baris 1 :</t>
  </si>
  <si>
    <t>baris 2 :</t>
  </si>
  <si>
    <t>baris 3 :</t>
  </si>
  <si>
    <t>Jumlah tulangan longitudinal lapangan bagian bawah (tarik),</t>
  </si>
  <si>
    <t>Jumlah tulangan longitudinal tumpuan bagian atas (tekan),</t>
  </si>
  <si>
    <t>Jumlah tulangan tumpuan lapangan bagian bawah (tarik),</t>
  </si>
  <si>
    <t>atas</t>
  </si>
  <si>
    <t>bawah</t>
  </si>
  <si>
    <t>Garis dimensi b</t>
  </si>
  <si>
    <t>Garis dimensi h</t>
  </si>
  <si>
    <t>sumbu</t>
  </si>
  <si>
    <t>Garis dimensi cc</t>
  </si>
  <si>
    <t>Tulangan longitudinal lapangan</t>
  </si>
  <si>
    <t>Jumlah tulangan torsi pakai untuk badan,</t>
  </si>
  <si>
    <t>Input gaya dalam maksimum pada balok,</t>
  </si>
  <si>
    <r>
      <t>M</t>
    </r>
    <r>
      <rPr>
        <vertAlign val="subscript"/>
        <sz val="11"/>
        <rFont val="Calibri"/>
        <family val="2"/>
        <scheme val="minor"/>
      </rPr>
      <t>ut</t>
    </r>
    <r>
      <rPr>
        <vertAlign val="superscript"/>
        <sz val="11"/>
        <rFont val="Calibri"/>
        <family val="2"/>
        <scheme val="minor"/>
      </rPr>
      <t>-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</si>
  <si>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rFont val="Calibri"/>
        <family val="2"/>
        <scheme val="minor"/>
      </rPr>
      <t>ut</t>
    </r>
    <r>
      <rPr>
        <vertAlign val="superscript"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</si>
  <si>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rFont val="Calibri"/>
        <family val="2"/>
        <scheme val="minor"/>
      </rPr>
      <t>ul</t>
    </r>
    <r>
      <rPr>
        <vertAlign val="superscript"/>
        <sz val="11"/>
        <rFont val="Calibri"/>
        <family val="2"/>
        <scheme val="minor"/>
      </rPr>
      <t>-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</si>
  <si>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rFont val="Calibri"/>
        <family val="2"/>
        <scheme val="minor"/>
      </rPr>
      <t>ul</t>
    </r>
    <r>
      <rPr>
        <vertAlign val="superscript"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=</t>
    </r>
  </si>
  <si>
    <t>Diameter tulangan torsi badan (ulir) yang digunakan,</t>
  </si>
  <si>
    <r>
      <t>d</t>
    </r>
    <r>
      <rPr>
        <vertAlign val="subscript"/>
        <sz val="11"/>
        <rFont val="Calibri"/>
        <family val="2"/>
        <scheme val="minor"/>
      </rPr>
      <t>b-badan</t>
    </r>
    <r>
      <rPr>
        <sz val="11"/>
        <rFont val="Calibri"/>
        <family val="2"/>
        <scheme val="minor"/>
      </rPr>
      <t xml:space="preserve"> =</t>
    </r>
  </si>
  <si>
    <t>Luas tulangan tarik yang diperlukan,</t>
  </si>
  <si>
    <t>Tulangan badan tumpuan</t>
  </si>
  <si>
    <t>Tulangan badan lapangan</t>
  </si>
  <si>
    <t>Balok potongan</t>
  </si>
  <si>
    <t>A</t>
  </si>
  <si>
    <t>B</t>
  </si>
  <si>
    <t>C</t>
  </si>
  <si>
    <t>D</t>
  </si>
  <si>
    <t>Garis tumpuan</t>
  </si>
  <si>
    <t>kiri</t>
  </si>
  <si>
    <t>kanan</t>
  </si>
  <si>
    <t>Garis tumpuan arsir</t>
  </si>
  <si>
    <t>kiri 1</t>
  </si>
  <si>
    <t>kiri 2</t>
  </si>
  <si>
    <t>kiri 3</t>
  </si>
  <si>
    <t>kanan 1</t>
  </si>
  <si>
    <t>kanan 2</t>
  </si>
  <si>
    <t>kanan 3</t>
  </si>
  <si>
    <t>potongan</t>
  </si>
  <si>
    <t>Tulangan Lapangan Bawah</t>
  </si>
  <si>
    <t>Tulangan Tumpuan Bawah</t>
  </si>
  <si>
    <t>Tulangan Lapangan Atas</t>
  </si>
  <si>
    <t>Tulangan atas,</t>
  </si>
  <si>
    <t>Tulangan bawah,</t>
  </si>
  <si>
    <t>Tulangan longitudinal tumpuan bagian atas,</t>
  </si>
  <si>
    <t>Tulangan longitudinal tumpuan bagian bawah,</t>
  </si>
  <si>
    <t>Tulangan longitudinal lapangan bagian atas,</t>
  </si>
  <si>
    <t>Tulangan longitudinal lapangan bagian bawah,</t>
  </si>
  <si>
    <t>Momen maksimum negatif tumpuan,</t>
  </si>
  <si>
    <t>Momen maksimum positif tumpuan,</t>
  </si>
  <si>
    <t>Momen maksimum negatif lapangan,</t>
  </si>
  <si>
    <t>Momen maksimum positif lapangan,</t>
  </si>
  <si>
    <t>B.4.</t>
  </si>
  <si>
    <t>B.5.</t>
  </si>
  <si>
    <t>Tulangan Tumpuan Atas</t>
  </si>
  <si>
    <r>
      <rPr>
        <b/>
        <sz val="11"/>
        <color rgb="FFFF0000"/>
        <rFont val="Calibri"/>
        <family val="2"/>
        <scheme val="minor"/>
      </rPr>
      <t>n.b.</t>
    </r>
    <r>
      <rPr>
        <b/>
        <sz val="11"/>
        <color theme="1"/>
        <rFont val="Calibri"/>
        <family val="2"/>
        <scheme val="minor"/>
      </rPr>
      <t xml:space="preserve"> input nilai absolut</t>
    </r>
  </si>
  <si>
    <t>transversal</t>
  </si>
  <si>
    <t>lap</t>
  </si>
  <si>
    <t>balok transversal</t>
  </si>
  <si>
    <t>Gaya geser ultimit tumpuan,</t>
  </si>
  <si>
    <t>Gaya geser ultimit lapangan,</t>
  </si>
  <si>
    <r>
      <t>V</t>
    </r>
    <r>
      <rPr>
        <vertAlign val="subscript"/>
        <sz val="11"/>
        <rFont val="Calibri"/>
        <family val="2"/>
        <scheme val="minor"/>
      </rPr>
      <t>ut</t>
    </r>
    <r>
      <rPr>
        <sz val="1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</si>
  <si>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ul</t>
    </r>
    <r>
      <rPr>
        <sz val="11"/>
        <rFont val="Calibri"/>
        <family val="2"/>
        <scheme val="minor"/>
      </rPr>
      <t xml:space="preserve"> =</t>
    </r>
  </si>
  <si>
    <t>Gaya dalam pada daerah tumpuan:</t>
  </si>
  <si>
    <t>Rekapitulasi tulangan transversal tumpuan</t>
  </si>
  <si>
    <t>PERENCANAAN TULANGAN TRANSVERSAL</t>
  </si>
  <si>
    <t>Tulangan Transversal Tumpuan</t>
  </si>
  <si>
    <t>Kondisi penulangan geser untuk daerah tumpuan:</t>
  </si>
  <si>
    <t>C.2,</t>
  </si>
  <si>
    <t>Tulangan Transversal Lapangan</t>
  </si>
  <si>
    <t>tul torsi badan</t>
  </si>
  <si>
    <t>transversal jika tul tumpuan td sama dg tul lapangan</t>
  </si>
  <si>
    <t>1t</t>
  </si>
  <si>
    <t>2t</t>
  </si>
  <si>
    <t>3t</t>
  </si>
  <si>
    <t>tump kanan</t>
  </si>
  <si>
    <t>titik keterangan</t>
  </si>
  <si>
    <t>tump kiri</t>
  </si>
  <si>
    <t>tul long</t>
  </si>
  <si>
    <t>tul torsi</t>
  </si>
  <si>
    <t>SNI 2847 -2019, Pasal R.9.5.4.3</t>
  </si>
  <si>
    <t>DAFTAR REFERENSI</t>
  </si>
  <si>
    <t xml:space="preserve">Tegangan leleh baja (deform) untuk tulangan geser, </t>
  </si>
  <si>
    <t>SNI 2847:2019 Tabel 9.6.3.3</t>
  </si>
  <si>
    <t>SNI 2847:2019 Pasal 9.6.4.2</t>
  </si>
  <si>
    <t>SNI 2847:2019 Pasal 9.6.4.3</t>
  </si>
  <si>
    <t>SNI 2847:2019 Tabel 9.7.6.2.2</t>
  </si>
  <si>
    <t>SNI 2847:2019 Tabel 21.2.1 (b)</t>
  </si>
  <si>
    <t>SNI 2847:2019 Pasal 22.2.2.4.1</t>
  </si>
  <si>
    <t>SNI 2847:2019 Tabel 22.5.5.1</t>
  </si>
  <si>
    <t>SNI 2847:2019 Pasal 22.5.10.5.3</t>
  </si>
  <si>
    <r>
      <t>A</t>
    </r>
    <r>
      <rPr>
        <vertAlign val="sub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 xml:space="preserve"> = 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</t>
    </r>
    <r>
      <rPr>
        <sz val="11"/>
        <rFont val="Calibri"/>
        <family val="2"/>
      </rPr>
      <t>π</t>
    </r>
    <r>
      <rPr>
        <sz val="11"/>
        <rFont val="Calibri"/>
        <family val="2"/>
        <scheme val="minor"/>
      </rPr>
      <t xml:space="preserve"> / 4 * d</t>
    </r>
    <r>
      <rPr>
        <vertAlign val="subscript"/>
        <sz val="11"/>
        <rFont val="Calibri"/>
        <family val="2"/>
        <scheme val="minor"/>
      </rPr>
      <t>b-sengkang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=</t>
    </r>
  </si>
  <si>
    <t>SNI 2847:2019 Pasal 22.7.1.1</t>
  </si>
  <si>
    <t>SNI 2847:2019 Tabel 22.7.4.1(a)</t>
  </si>
  <si>
    <t>SNI 2847:2019 Pasal 22.7.7</t>
  </si>
  <si>
    <r>
      <t>A</t>
    </r>
    <r>
      <rPr>
        <vertAlign val="subscript"/>
        <sz val="11"/>
        <rFont val="Calibri"/>
        <family val="2"/>
        <scheme val="minor"/>
      </rPr>
      <t>vt</t>
    </r>
    <r>
      <rPr>
        <sz val="11"/>
        <rFont val="Calibri"/>
        <family val="2"/>
        <scheme val="minor"/>
      </rPr>
      <t xml:space="preserve"> = 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</t>
    </r>
    <r>
      <rPr>
        <sz val="11"/>
        <rFont val="Calibri"/>
        <family val="2"/>
      </rPr>
      <t>π</t>
    </r>
    <r>
      <rPr>
        <sz val="11"/>
        <rFont val="Calibri"/>
        <family val="2"/>
        <scheme val="minor"/>
      </rPr>
      <t xml:space="preserve"> / 4 * </t>
    </r>
    <r>
      <rPr>
        <sz val="11"/>
        <rFont val="Calibri"/>
        <family val="2"/>
      </rPr>
      <t>d</t>
    </r>
    <r>
      <rPr>
        <vertAlign val="subscript"/>
        <sz val="11"/>
        <rFont val="Calibri"/>
        <family val="2"/>
      </rPr>
      <t>b-sengkang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=</t>
    </r>
  </si>
  <si>
    <t>SNI 2847:2019 Pasal 22.7.6.1 (a)</t>
  </si>
  <si>
    <t>SNI 2847:2019 Pasal 22.7.6.1 (b)</t>
  </si>
  <si>
    <t>SNI 2847:2019 Pasal 22.7.6.1</t>
  </si>
  <si>
    <t>SNI 2847:2019 Pasal R22.7.6.1</t>
  </si>
  <si>
    <t>Tulangan Pembagi (torsi badan)</t>
  </si>
  <si>
    <r>
      <t>Selimut beton balok, c</t>
    </r>
    <r>
      <rPr>
        <vertAlign val="subscript"/>
        <sz val="11"/>
        <color theme="1"/>
        <rFont val="Calibri"/>
        <family val="2"/>
        <scheme val="minor"/>
      </rPr>
      <t>c</t>
    </r>
  </si>
  <si>
    <t>Tulangan daerah tumpuan,</t>
  </si>
  <si>
    <t>Tulangan daerah lapangan,</t>
  </si>
  <si>
    <t>Kontrol gaya daerah tumpuan,</t>
  </si>
  <si>
    <t>Kontrol gaya daerah lapangan,</t>
  </si>
  <si>
    <r>
      <t>C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' * ε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E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</si>
  <si>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rFont val="Calibri"/>
        <family val="2"/>
        <scheme val="minor"/>
      </rPr>
      <t>ut</t>
    </r>
  </si>
  <si>
    <r>
      <t>M</t>
    </r>
    <r>
      <rPr>
        <vertAlign val="subscript"/>
        <sz val="11"/>
        <rFont val="Calibri"/>
        <family val="2"/>
        <scheme val="minor"/>
      </rPr>
      <t>ul</t>
    </r>
  </si>
  <si>
    <r>
      <t>Momen maksimum ultimit, M</t>
    </r>
    <r>
      <rPr>
        <vertAlign val="subscript"/>
        <sz val="11"/>
        <color theme="1"/>
        <rFont val="Calibri"/>
        <family val="2"/>
        <scheme val="minor"/>
      </rPr>
      <t>ut</t>
    </r>
  </si>
  <si>
    <r>
      <t>Momen maksimum ultimit, M</t>
    </r>
    <r>
      <rPr>
        <vertAlign val="subscript"/>
        <sz val="11"/>
        <color theme="1"/>
        <rFont val="Calibri"/>
        <family val="2"/>
        <scheme val="minor"/>
      </rPr>
      <t>ul</t>
    </r>
  </si>
  <si>
    <r>
      <t>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/mm</t>
    </r>
  </si>
  <si>
    <t>Jumlah tulangan longitudinal lapangan atas,</t>
  </si>
  <si>
    <t>Jumlah tulangan longitudinal tumpuan atas,</t>
  </si>
  <si>
    <t>Jumlah tulangan longitudinal tumpuan bawah,</t>
  </si>
  <si>
    <t>Jumlah tulangan longitudinal lapangan bawah,</t>
  </si>
  <si>
    <t>Jarak tulangan tumpuan atas ke serat tekan terjauh,</t>
  </si>
  <si>
    <t>Jarak tulangan tumpuan atas ke serat tarik terjauh,</t>
  </si>
  <si>
    <t>Jarak tulangan tumpuan bawah ke serat tekan terjauh,</t>
  </si>
  <si>
    <t>Jarak tulangan tumpuan bawah ke serat tarik terjauh,</t>
  </si>
  <si>
    <t>Jarak tulangan lapangan atas ke serat tarik terjauh,</t>
  </si>
  <si>
    <t>Jarak tulangan lapangan atas ke serat tekan terjauh,</t>
  </si>
  <si>
    <t>Jarak tulangan lapangan bawah ke serat tekan terjauh,</t>
  </si>
  <si>
    <t>Jarak tulangan lapangan bawah ke serat tarik terjauh,</t>
  </si>
  <si>
    <t>V2.0.0</t>
  </si>
  <si>
    <t>atau klik</t>
  </si>
  <si>
    <t>Expert Panel</t>
  </si>
  <si>
    <t>1. Indra K Raj Suweda</t>
  </si>
  <si>
    <t>2. Shafannisa Sabila Sulhi</t>
  </si>
  <si>
    <t>1. Dr. Eng. Achfas Zacoeb, ST., MT.</t>
  </si>
  <si>
    <t>2. Donny B Tampubolon, S.T.</t>
  </si>
  <si>
    <t>Kolaborasi dengan Expert Panel</t>
  </si>
  <si>
    <t>2.0.0</t>
  </si>
  <si>
    <t>• Expert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</si>
</sst>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4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sz val="11"/>
      <name val="Calibri"/>
      <family val="2"/>
    </font>
    <font>
      <i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vertAlign val="sub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 Light"/>
      <family val="2"/>
      <scheme val="major"/>
    </font>
    <font>
      <b/>
      <vertAlign val="subscript"/>
      <sz val="11"/>
      <color theme="0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sz val="12"/>
      <color theme="0"/>
      <name val="Calibri"/>
      <family val="2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sz val="8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charset val="1"/>
      <scheme val="minor"/>
    </font>
    <font>
      <b/>
      <sz val="12"/>
      <color theme="4" tint="-0.499984740745262"/>
      <name val="Calibri Light"/>
      <family val="2"/>
      <scheme val="major"/>
    </font>
    <font>
      <vertAlign val="subscript"/>
      <sz val="11"/>
      <name val="Calibri"/>
      <family val="2"/>
    </font>
    <font>
      <sz val="11"/>
      <color theme="0"/>
      <name val="Calibri"/>
      <family val="2"/>
      <charset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5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3">
    <xf numFmtId="0" fontId="0" fillId="0" borderId="0"/>
    <xf numFmtId="0" fontId="4" fillId="0" borderId="0"/>
    <xf numFmtId="0" fontId="31" fillId="0" borderId="0" applyNumberFormat="0" applyFill="0" applyBorder="0" applyAlignment="0" applyProtection="0"/>
  </cellStyleXfs>
  <cellXfs count="320">
    <xf numFmtId="0" fontId="0" fillId="0" borderId="0" xfId="0"/>
    <xf numFmtId="0" fontId="5" fillId="0" borderId="1" xfId="1" applyFont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2" fontId="8" fillId="3" borderId="2" xfId="1" applyNumberFormat="1" applyFont="1" applyFill="1" applyBorder="1" applyAlignment="1" applyProtection="1">
      <alignment horizontal="center" vertical="center"/>
      <protection locked="0"/>
    </xf>
    <xf numFmtId="1" fontId="8" fillId="3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6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5" fillId="2" borderId="7" xfId="1" applyFont="1" applyFill="1" applyBorder="1" applyAlignment="1">
      <alignment horizontal="left" vertical="center" inden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 applyAlignment="1">
      <alignment horizontal="left" vertical="center" inden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2" fontId="6" fillId="0" borderId="0" xfId="1" applyNumberFormat="1" applyFont="1" applyAlignment="1">
      <alignment horizontal="center" vertical="center"/>
    </xf>
    <xf numFmtId="0" fontId="0" fillId="0" borderId="7" xfId="0" applyBorder="1"/>
    <xf numFmtId="0" fontId="5" fillId="0" borderId="0" xfId="1" applyFont="1" applyAlignment="1">
      <alignment horizontal="left" vertical="center"/>
    </xf>
    <xf numFmtId="2" fontId="5" fillId="0" borderId="0" xfId="1" applyNumberFormat="1" applyFont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2" fontId="5" fillId="0" borderId="9" xfId="1" applyNumberFormat="1" applyFont="1" applyBorder="1" applyAlignment="1">
      <alignment horizontal="center" vertical="center"/>
    </xf>
    <xf numFmtId="2" fontId="5" fillId="0" borderId="9" xfId="1" applyNumberFormat="1" applyFont="1" applyBorder="1" applyAlignment="1" applyProtection="1">
      <alignment horizontal="center" vertical="center"/>
      <protection locked="0"/>
    </xf>
    <xf numFmtId="0" fontId="10" fillId="4" borderId="0" xfId="1" applyFont="1" applyFill="1" applyAlignment="1">
      <alignment horizontal="center" vertical="center"/>
    </xf>
    <xf numFmtId="0" fontId="6" fillId="5" borderId="0" xfId="1" applyFont="1" applyFill="1" applyAlignment="1">
      <alignment vertical="center"/>
    </xf>
    <xf numFmtId="0" fontId="5" fillId="5" borderId="0" xfId="1" applyFont="1" applyFill="1" applyAlignment="1">
      <alignment vertical="center"/>
    </xf>
    <xf numFmtId="0" fontId="5" fillId="5" borderId="0" xfId="1" applyFont="1" applyFill="1" applyAlignment="1">
      <alignment horizontal="right" vertical="center"/>
    </xf>
    <xf numFmtId="0" fontId="5" fillId="5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left" vertical="center" indent="1"/>
    </xf>
    <xf numFmtId="0" fontId="5" fillId="0" borderId="2" xfId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1" fontId="5" fillId="0" borderId="2" xfId="1" applyNumberFormat="1" applyFont="1" applyBorder="1" applyAlignment="1">
      <alignment horizontal="center" vertical="center"/>
    </xf>
    <xf numFmtId="2" fontId="13" fillId="0" borderId="0" xfId="1" applyNumberFormat="1" applyFont="1" applyAlignment="1">
      <alignment vertical="center"/>
    </xf>
    <xf numFmtId="2" fontId="5" fillId="0" borderId="3" xfId="1" applyNumberFormat="1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center" vertical="center"/>
    </xf>
    <xf numFmtId="2" fontId="5" fillId="0" borderId="8" xfId="1" applyNumberFormat="1" applyFont="1" applyBorder="1" applyAlignment="1">
      <alignment horizontal="center" vertical="center"/>
    </xf>
    <xf numFmtId="0" fontId="15" fillId="0" borderId="0" xfId="0" applyFont="1"/>
    <xf numFmtId="0" fontId="5" fillId="2" borderId="12" xfId="1" applyFont="1" applyFill="1" applyBorder="1" applyAlignment="1">
      <alignment horizontal="center" vertical="center"/>
    </xf>
    <xf numFmtId="166" fontId="5" fillId="0" borderId="2" xfId="1" applyNumberFormat="1" applyFont="1" applyBorder="1" applyAlignment="1">
      <alignment horizontal="left" vertical="center" indent="1"/>
    </xf>
    <xf numFmtId="164" fontId="5" fillId="0" borderId="2" xfId="1" applyNumberFormat="1" applyFont="1" applyBorder="1" applyAlignment="1">
      <alignment horizontal="left" vertical="center" indent="1"/>
    </xf>
    <xf numFmtId="0" fontId="13" fillId="0" borderId="0" xfId="1" applyFont="1" applyAlignment="1">
      <alignment vertical="center"/>
    </xf>
    <xf numFmtId="164" fontId="13" fillId="0" borderId="0" xfId="1" applyNumberFormat="1" applyFont="1" applyAlignment="1">
      <alignment vertical="center"/>
    </xf>
    <xf numFmtId="164" fontId="6" fillId="0" borderId="13" xfId="1" applyNumberFormat="1" applyFont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 vertical="center"/>
    </xf>
    <xf numFmtId="1" fontId="5" fillId="0" borderId="13" xfId="1" applyNumberFormat="1" applyFont="1" applyBorder="1" applyAlignment="1">
      <alignment horizontal="center" vertical="center"/>
    </xf>
    <xf numFmtId="1" fontId="5" fillId="0" borderId="14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vertical="center"/>
    </xf>
    <xf numFmtId="0" fontId="13" fillId="0" borderId="0" xfId="1" applyFont="1" applyAlignment="1">
      <alignment horizontal="left" vertical="center" indent="1"/>
    </xf>
    <xf numFmtId="0" fontId="22" fillId="0" borderId="2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right" vertical="center"/>
      <protection locked="0"/>
    </xf>
    <xf numFmtId="0" fontId="5" fillId="0" borderId="14" xfId="1" applyFont="1" applyBorder="1" applyAlignment="1">
      <alignment horizontal="center" vertical="center"/>
    </xf>
    <xf numFmtId="1" fontId="5" fillId="0" borderId="17" xfId="1" applyNumberFormat="1" applyFont="1" applyBorder="1" applyAlignment="1">
      <alignment horizontal="left" vertical="center"/>
    </xf>
    <xf numFmtId="0" fontId="5" fillId="0" borderId="16" xfId="1" applyFont="1" applyBorder="1" applyAlignment="1">
      <alignment horizontal="right" vertical="center"/>
    </xf>
    <xf numFmtId="1" fontId="5" fillId="0" borderId="18" xfId="1" applyNumberFormat="1" applyFont="1" applyBorder="1" applyAlignment="1">
      <alignment horizontal="center" vertical="center"/>
    </xf>
    <xf numFmtId="2" fontId="13" fillId="0" borderId="0" xfId="1" applyNumberFormat="1" applyFont="1" applyAlignment="1">
      <alignment horizontal="center" vertical="center"/>
    </xf>
    <xf numFmtId="2" fontId="5" fillId="0" borderId="11" xfId="1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1" fontId="5" fillId="0" borderId="12" xfId="1" applyNumberFormat="1" applyFont="1" applyBorder="1" applyAlignment="1" applyProtection="1">
      <alignment horizontal="center" vertical="center"/>
      <protection locked="0"/>
    </xf>
    <xf numFmtId="1" fontId="13" fillId="0" borderId="0" xfId="1" applyNumberFormat="1" applyFont="1" applyAlignment="1">
      <alignment vertical="center"/>
    </xf>
    <xf numFmtId="0" fontId="0" fillId="0" borderId="8" xfId="0" applyBorder="1"/>
    <xf numFmtId="1" fontId="5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5" fillId="0" borderId="7" xfId="1" applyFont="1" applyBorder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5" fillId="0" borderId="7" xfId="1" applyNumberFormat="1" applyFont="1" applyBorder="1" applyAlignment="1">
      <alignment horizontal="left" vertical="center" indent="1"/>
    </xf>
    <xf numFmtId="0" fontId="6" fillId="2" borderId="0" xfId="1" applyFont="1" applyFill="1" applyAlignment="1">
      <alignment horizontal="left" vertical="center"/>
    </xf>
    <xf numFmtId="1" fontId="5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right" vertical="center"/>
    </xf>
    <xf numFmtId="0" fontId="5" fillId="0" borderId="7" xfId="1" applyFont="1" applyBorder="1" applyAlignment="1">
      <alignment horizontal="left" vertical="center" indent="3"/>
    </xf>
    <xf numFmtId="0" fontId="5" fillId="0" borderId="7" xfId="1" applyFont="1" applyBorder="1" applyAlignment="1">
      <alignment vertical="center"/>
    </xf>
    <xf numFmtId="165" fontId="5" fillId="0" borderId="7" xfId="1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164" fontId="5" fillId="0" borderId="0" xfId="1" applyNumberFormat="1" applyFont="1" applyAlignment="1">
      <alignment horizontal="left" vertical="center"/>
    </xf>
    <xf numFmtId="164" fontId="5" fillId="0" borderId="0" xfId="1" quotePrefix="1" applyNumberFormat="1" applyFont="1" applyAlignment="1">
      <alignment horizontal="left" vertical="center" indent="4"/>
    </xf>
    <xf numFmtId="0" fontId="6" fillId="0" borderId="0" xfId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 indent="1"/>
    </xf>
    <xf numFmtId="164" fontId="5" fillId="0" borderId="0" xfId="1" quotePrefix="1" applyNumberFormat="1" applyFont="1" applyAlignment="1">
      <alignment horizontal="left" vertical="center" indent="2"/>
    </xf>
    <xf numFmtId="0" fontId="5" fillId="5" borderId="7" xfId="1" applyFont="1" applyFill="1" applyBorder="1" applyAlignment="1">
      <alignment horizontal="left" vertical="center" indent="1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6" fillId="0" borderId="7" xfId="1" applyFont="1" applyBorder="1" applyAlignment="1">
      <alignment horizontal="left" vertical="center" indent="1"/>
    </xf>
    <xf numFmtId="0" fontId="0" fillId="0" borderId="9" xfId="0" applyBorder="1"/>
    <xf numFmtId="0" fontId="0" fillId="0" borderId="10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" fontId="0" fillId="0" borderId="15" xfId="0" applyNumberFormat="1" applyBorder="1" applyAlignment="1">
      <alignment vertical="center"/>
    </xf>
    <xf numFmtId="1" fontId="0" fillId="0" borderId="12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2" fontId="0" fillId="0" borderId="15" xfId="0" applyNumberFormat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5" fillId="2" borderId="0" xfId="1" applyFont="1" applyFill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2" fontId="5" fillId="0" borderId="2" xfId="1" applyNumberFormat="1" applyFont="1" applyBorder="1" applyAlignment="1">
      <alignment horizontal="left" vertical="center" indent="1"/>
    </xf>
    <xf numFmtId="164" fontId="27" fillId="7" borderId="2" xfId="1" applyNumberFormat="1" applyFont="1" applyFill="1" applyBorder="1" applyAlignment="1">
      <alignment horizontal="center" vertical="center"/>
    </xf>
    <xf numFmtId="0" fontId="29" fillId="7" borderId="12" xfId="1" applyFont="1" applyFill="1" applyBorder="1" applyAlignment="1">
      <alignment horizontal="center" vertical="center"/>
    </xf>
    <xf numFmtId="0" fontId="29" fillId="7" borderId="2" xfId="1" applyFont="1" applyFill="1" applyBorder="1" applyAlignment="1">
      <alignment horizontal="center" vertical="center"/>
    </xf>
    <xf numFmtId="0" fontId="6" fillId="8" borderId="0" xfId="1" applyFont="1" applyFill="1" applyAlignment="1">
      <alignment horizontal="left" vertical="center"/>
    </xf>
    <xf numFmtId="0" fontId="5" fillId="8" borderId="0" xfId="1" applyFont="1" applyFill="1" applyAlignment="1">
      <alignment horizontal="center" vertical="center"/>
    </xf>
    <xf numFmtId="0" fontId="5" fillId="8" borderId="0" xfId="1" applyFont="1" applyFill="1" applyAlignment="1">
      <alignment vertical="center"/>
    </xf>
    <xf numFmtId="0" fontId="5" fillId="8" borderId="0" xfId="1" applyFont="1" applyFill="1" applyAlignment="1">
      <alignment horizontal="right" vertical="center"/>
    </xf>
    <xf numFmtId="0" fontId="6" fillId="8" borderId="12" xfId="1" applyFont="1" applyFill="1" applyBorder="1" applyAlignment="1">
      <alignment horizontal="right" vertical="center"/>
    </xf>
    <xf numFmtId="2" fontId="6" fillId="8" borderId="2" xfId="1" applyNumberFormat="1" applyFont="1" applyFill="1" applyBorder="1" applyAlignment="1">
      <alignment horizontal="center" vertical="center"/>
    </xf>
    <xf numFmtId="0" fontId="6" fillId="8" borderId="2" xfId="1" applyFont="1" applyFill="1" applyBorder="1" applyAlignment="1">
      <alignment horizontal="right" vertical="center"/>
    </xf>
    <xf numFmtId="164" fontId="5" fillId="8" borderId="7" xfId="1" applyNumberFormat="1" applyFont="1" applyFill="1" applyBorder="1" applyAlignment="1">
      <alignment horizontal="left" vertical="center" indent="1"/>
    </xf>
    <xf numFmtId="0" fontId="5" fillId="5" borderId="12" xfId="1" applyFont="1" applyFill="1" applyBorder="1" applyAlignment="1">
      <alignment horizontal="center" vertical="center"/>
    </xf>
    <xf numFmtId="0" fontId="6" fillId="8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9" borderId="0" xfId="1" applyFont="1" applyFill="1" applyAlignment="1">
      <alignment horizontal="center" vertical="center"/>
    </xf>
    <xf numFmtId="0" fontId="29" fillId="9" borderId="0" xfId="1" applyFont="1" applyFill="1" applyAlignment="1">
      <alignment vertical="center"/>
    </xf>
    <xf numFmtId="0" fontId="20" fillId="9" borderId="0" xfId="1" applyFont="1" applyFill="1" applyAlignment="1">
      <alignment vertical="center"/>
    </xf>
    <xf numFmtId="0" fontId="20" fillId="9" borderId="0" xfId="1" applyFont="1" applyFill="1" applyAlignment="1">
      <alignment horizontal="right" vertical="center"/>
    </xf>
    <xf numFmtId="0" fontId="20" fillId="9" borderId="0" xfId="1" applyFont="1" applyFill="1" applyAlignment="1">
      <alignment horizontal="left" vertical="center" indent="1"/>
    </xf>
    <xf numFmtId="0" fontId="5" fillId="0" borderId="14" xfId="1" applyFont="1" applyBorder="1" applyAlignment="1">
      <alignment horizontal="left" vertical="center" indent="3"/>
    </xf>
    <xf numFmtId="0" fontId="6" fillId="8" borderId="11" xfId="1" applyFont="1" applyFill="1" applyBorder="1" applyAlignment="1">
      <alignment horizontal="right" vertical="center"/>
    </xf>
    <xf numFmtId="0" fontId="6" fillId="8" borderId="15" xfId="1" applyFont="1" applyFill="1" applyBorder="1" applyAlignment="1">
      <alignment horizontal="left" vertical="center" indent="3"/>
    </xf>
    <xf numFmtId="0" fontId="29" fillId="9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34" fillId="10" borderId="0" xfId="0" applyFont="1" applyFill="1" applyAlignment="1">
      <alignment vertical="center"/>
    </xf>
    <xf numFmtId="0" fontId="33" fillId="10" borderId="0" xfId="0" applyFont="1" applyFill="1" applyAlignment="1">
      <alignment vertical="center"/>
    </xf>
    <xf numFmtId="0" fontId="10" fillId="10" borderId="0" xfId="0" applyFont="1" applyFill="1" applyAlignment="1">
      <alignment vertical="center"/>
    </xf>
    <xf numFmtId="0" fontId="34" fillId="10" borderId="0" xfId="0" applyFont="1" applyFill="1" applyAlignment="1">
      <alignment horizontal="center" vertical="center"/>
    </xf>
    <xf numFmtId="0" fontId="35" fillId="10" borderId="0" xfId="0" applyFont="1" applyFill="1" applyAlignment="1">
      <alignment vertical="center"/>
    </xf>
    <xf numFmtId="0" fontId="34" fillId="10" borderId="0" xfId="0" quotePrefix="1" applyFont="1" applyFill="1" applyAlignment="1">
      <alignment vertical="center"/>
    </xf>
    <xf numFmtId="0" fontId="36" fillId="10" borderId="0" xfId="0" applyFont="1" applyFill="1" applyAlignment="1">
      <alignment vertical="center"/>
    </xf>
    <xf numFmtId="0" fontId="10" fillId="10" borderId="0" xfId="0" applyFont="1" applyFill="1" applyAlignment="1">
      <alignment vertical="center" wrapText="1"/>
    </xf>
    <xf numFmtId="0" fontId="37" fillId="10" borderId="0" xfId="2" applyFont="1" applyFill="1" applyAlignment="1">
      <alignment vertical="center"/>
    </xf>
    <xf numFmtId="14" fontId="34" fillId="10" borderId="0" xfId="0" applyNumberFormat="1" applyFont="1" applyFill="1" applyAlignment="1">
      <alignment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left" vertical="center" indent="1"/>
    </xf>
    <xf numFmtId="0" fontId="6" fillId="0" borderId="1" xfId="1" applyFont="1" applyBorder="1" applyAlignment="1">
      <alignment horizontal="center" vertical="center"/>
    </xf>
    <xf numFmtId="1" fontId="6" fillId="8" borderId="10" xfId="1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9" fillId="11" borderId="31" xfId="0" applyFont="1" applyFill="1" applyBorder="1" applyAlignment="1">
      <alignment vertical="center"/>
    </xf>
    <xf numFmtId="0" fontId="29" fillId="11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2" fontId="15" fillId="0" borderId="31" xfId="0" applyNumberFormat="1" applyFon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29" fillId="11" borderId="35" xfId="0" applyFont="1" applyFill="1" applyBorder="1" applyAlignment="1">
      <alignment horizontal="center" vertical="center"/>
    </xf>
    <xf numFmtId="0" fontId="29" fillId="11" borderId="36" xfId="0" applyFont="1" applyFill="1" applyBorder="1" applyAlignment="1">
      <alignment horizontal="center" vertical="center"/>
    </xf>
    <xf numFmtId="0" fontId="29" fillId="11" borderId="3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2" fontId="39" fillId="0" borderId="39" xfId="0" applyNumberFormat="1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29" fillId="11" borderId="28" xfId="0" applyFont="1" applyFill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42" xfId="1" applyFont="1" applyBorder="1" applyAlignment="1">
      <alignment horizontal="left" vertical="center" indent="1"/>
    </xf>
    <xf numFmtId="0" fontId="0" fillId="0" borderId="43" xfId="0" applyBorder="1"/>
    <xf numFmtId="0" fontId="15" fillId="8" borderId="11" xfId="0" applyFont="1" applyFill="1" applyBorder="1" applyAlignment="1">
      <alignment vertical="center"/>
    </xf>
    <xf numFmtId="1" fontId="15" fillId="8" borderId="12" xfId="0" applyNumberFormat="1" applyFont="1" applyFill="1" applyBorder="1" applyAlignment="1">
      <alignment horizontal="center" vertical="center"/>
    </xf>
    <xf numFmtId="1" fontId="15" fillId="8" borderId="12" xfId="0" applyNumberFormat="1" applyFont="1" applyFill="1" applyBorder="1" applyAlignment="1">
      <alignment horizontal="left" vertical="center"/>
    </xf>
    <xf numFmtId="0" fontId="15" fillId="8" borderId="11" xfId="0" applyFont="1" applyFill="1" applyBorder="1" applyAlignment="1">
      <alignment horizontal="right" vertical="center" indent="1"/>
    </xf>
    <xf numFmtId="0" fontId="0" fillId="0" borderId="44" xfId="0" applyBorder="1" applyAlignment="1">
      <alignment vertical="center"/>
    </xf>
    <xf numFmtId="0" fontId="15" fillId="0" borderId="45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5" xfId="0" applyBorder="1"/>
    <xf numFmtId="0" fontId="0" fillId="0" borderId="46" xfId="0" applyBorder="1"/>
    <xf numFmtId="0" fontId="0" fillId="0" borderId="47" xfId="0" applyBorder="1" applyAlignment="1">
      <alignment vertical="center"/>
    </xf>
    <xf numFmtId="0" fontId="0" fillId="0" borderId="48" xfId="0" applyBorder="1"/>
    <xf numFmtId="0" fontId="0" fillId="0" borderId="47" xfId="0" applyBorder="1"/>
    <xf numFmtId="2" fontId="39" fillId="0" borderId="0" xfId="0" applyNumberFormat="1" applyFont="1" applyAlignment="1">
      <alignment horizontal="center" vertical="center"/>
    </xf>
    <xf numFmtId="0" fontId="29" fillId="11" borderId="49" xfId="0" applyFont="1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1" xfId="0" applyBorder="1"/>
    <xf numFmtId="0" fontId="0" fillId="0" borderId="52" xfId="0" applyBorder="1"/>
    <xf numFmtId="0" fontId="6" fillId="5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5" fillId="5" borderId="5" xfId="1" applyFont="1" applyFill="1" applyBorder="1" applyAlignment="1">
      <alignment vertical="center"/>
    </xf>
    <xf numFmtId="0" fontId="5" fillId="5" borderId="5" xfId="1" applyFont="1" applyFill="1" applyBorder="1" applyAlignment="1">
      <alignment horizontal="right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left" vertical="center"/>
    </xf>
    <xf numFmtId="0" fontId="5" fillId="5" borderId="6" xfId="1" applyFont="1" applyFill="1" applyBorder="1" applyAlignment="1">
      <alignment horizontal="left" vertical="center" indent="1"/>
    </xf>
    <xf numFmtId="164" fontId="5" fillId="2" borderId="7" xfId="1" applyNumberFormat="1" applyFont="1" applyFill="1" applyBorder="1" applyAlignment="1">
      <alignment horizontal="left" vertical="center" indent="1"/>
    </xf>
    <xf numFmtId="0" fontId="6" fillId="2" borderId="0" xfId="1" applyFont="1" applyFill="1" applyAlignment="1">
      <alignment horizontal="right" vertical="center"/>
    </xf>
    <xf numFmtId="0" fontId="6" fillId="2" borderId="7" xfId="1" applyFont="1" applyFill="1" applyBorder="1" applyAlignment="1">
      <alignment horizontal="left" vertical="center" indent="1"/>
    </xf>
    <xf numFmtId="2" fontId="5" fillId="5" borderId="0" xfId="1" applyNumberFormat="1" applyFont="1" applyFill="1" applyAlignment="1">
      <alignment vertical="center"/>
    </xf>
    <xf numFmtId="0" fontId="40" fillId="0" borderId="1" xfId="0" applyFont="1" applyBorder="1"/>
    <xf numFmtId="0" fontId="6" fillId="0" borderId="8" xfId="1" applyFont="1" applyBorder="1" applyAlignment="1">
      <alignment horizontal="center" vertical="center"/>
    </xf>
    <xf numFmtId="0" fontId="40" fillId="0" borderId="0" xfId="0" applyFont="1"/>
    <xf numFmtId="2" fontId="5" fillId="0" borderId="53" xfId="1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/>
    </xf>
    <xf numFmtId="0" fontId="42" fillId="0" borderId="0" xfId="0" applyFont="1" applyAlignment="1">
      <alignment horizontal="left" vertical="center" indent="1"/>
    </xf>
    <xf numFmtId="2" fontId="42" fillId="0" borderId="0" xfId="0" applyNumberFormat="1" applyFont="1" applyAlignment="1">
      <alignment horizontal="left" vertical="center" indent="1"/>
    </xf>
    <xf numFmtId="0" fontId="43" fillId="6" borderId="0" xfId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164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1" fontId="5" fillId="0" borderId="2" xfId="1" applyNumberFormat="1" applyFont="1" applyBorder="1" applyAlignment="1" applyProtection="1">
      <alignment horizontal="center" vertical="center"/>
      <protection locked="0"/>
    </xf>
    <xf numFmtId="164" fontId="5" fillId="0" borderId="0" xfId="1" applyNumberFormat="1" applyFont="1" applyAlignment="1">
      <alignment horizontal="left" vertical="center" indent="1"/>
    </xf>
    <xf numFmtId="2" fontId="6" fillId="0" borderId="5" xfId="1" applyNumberFormat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1" applyNumberFormat="1" applyFont="1" applyAlignment="1">
      <alignment vertical="center"/>
    </xf>
    <xf numFmtId="1" fontId="5" fillId="0" borderId="1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164" fontId="5" fillId="0" borderId="0" xfId="1" quotePrefix="1" applyNumberFormat="1" applyFont="1" applyAlignment="1">
      <alignment vertical="center"/>
    </xf>
    <xf numFmtId="164" fontId="5" fillId="2" borderId="0" xfId="1" applyNumberFormat="1" applyFont="1" applyFill="1" applyAlignment="1">
      <alignment horizontal="left" vertical="center" indent="1"/>
    </xf>
    <xf numFmtId="164" fontId="5" fillId="8" borderId="0" xfId="1" applyNumberFormat="1" applyFont="1" applyFill="1" applyAlignment="1">
      <alignment horizontal="left" vertical="center" indent="1"/>
    </xf>
    <xf numFmtId="0" fontId="5" fillId="0" borderId="0" xfId="1" applyFont="1" applyAlignment="1">
      <alignment horizontal="right" vertical="center" indent="1"/>
    </xf>
    <xf numFmtId="164" fontId="5" fillId="0" borderId="11" xfId="1" applyNumberFormat="1" applyFont="1" applyBorder="1" applyAlignment="1">
      <alignment horizontal="center" vertical="center"/>
    </xf>
    <xf numFmtId="2" fontId="5" fillId="0" borderId="11" xfId="1" applyNumberFormat="1" applyFont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 indent="1"/>
    </xf>
    <xf numFmtId="0" fontId="6" fillId="0" borderId="0" xfId="1" applyFont="1" applyAlignment="1">
      <alignment horizontal="left" vertical="center" indent="1"/>
    </xf>
    <xf numFmtId="0" fontId="6" fillId="5" borderId="0" xfId="1" applyFont="1" applyFill="1" applyAlignment="1">
      <alignment horizontal="left" vertical="center" indent="1"/>
    </xf>
    <xf numFmtId="0" fontId="5" fillId="0" borderId="54" xfId="1" applyFont="1" applyBorder="1" applyAlignment="1">
      <alignment horizontal="left" vertical="center" indent="1"/>
    </xf>
    <xf numFmtId="2" fontId="5" fillId="0" borderId="0" xfId="1" applyNumberFormat="1" applyFont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/>
    </xf>
    <xf numFmtId="0" fontId="1" fillId="0" borderId="0" xfId="0" applyFont="1"/>
    <xf numFmtId="0" fontId="34" fillId="4" borderId="0" xfId="0" applyFont="1" applyFill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45" fillId="10" borderId="0" xfId="2" quotePrefix="1" applyFont="1" applyFill="1" applyAlignment="1">
      <alignment vertical="center"/>
    </xf>
    <xf numFmtId="0" fontId="5" fillId="5" borderId="2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29" fillId="11" borderId="35" xfId="0" applyFont="1" applyFill="1" applyBorder="1" applyAlignment="1">
      <alignment horizontal="center" vertical="center"/>
    </xf>
    <xf numFmtId="0" fontId="29" fillId="11" borderId="37" xfId="0" applyFont="1" applyFill="1" applyBorder="1" applyAlignment="1">
      <alignment horizontal="center" vertical="center"/>
    </xf>
    <xf numFmtId="0" fontId="29" fillId="11" borderId="32" xfId="0" applyFont="1" applyFill="1" applyBorder="1" applyAlignment="1">
      <alignment horizontal="center" vertical="center"/>
    </xf>
    <xf numFmtId="0" fontId="29" fillId="11" borderId="33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 indent="1"/>
    </xf>
    <xf numFmtId="0" fontId="29" fillId="11" borderId="28" xfId="0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 indent="5"/>
    </xf>
    <xf numFmtId="0" fontId="20" fillId="7" borderId="12" xfId="1" applyFont="1" applyFill="1" applyBorder="1" applyAlignment="1">
      <alignment horizontal="center" vertical="center"/>
    </xf>
    <xf numFmtId="0" fontId="20" fillId="7" borderId="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7" fillId="7" borderId="12" xfId="1" applyFont="1" applyFill="1" applyBorder="1" applyAlignment="1">
      <alignment horizontal="center" vertical="center"/>
    </xf>
    <xf numFmtId="164" fontId="27" fillId="7" borderId="2" xfId="1" applyNumberFormat="1" applyFont="1" applyFill="1" applyBorder="1" applyAlignment="1">
      <alignment horizontal="center" vertical="center"/>
    </xf>
    <xf numFmtId="0" fontId="27" fillId="7" borderId="2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64" fontId="5" fillId="0" borderId="0" xfId="1" applyNumberFormat="1" applyFont="1" applyAlignment="1">
      <alignment horizontal="left" vertical="center" indent="6"/>
    </xf>
    <xf numFmtId="0" fontId="5" fillId="0" borderId="7" xfId="1" applyFont="1" applyBorder="1" applyAlignment="1">
      <alignment horizontal="left" vertical="center" indent="6"/>
    </xf>
    <xf numFmtId="164" fontId="5" fillId="0" borderId="0" xfId="1" applyNumberFormat="1" applyFont="1" applyAlignment="1">
      <alignment horizontal="left" vertical="center" indent="4"/>
    </xf>
    <xf numFmtId="0" fontId="5" fillId="0" borderId="7" xfId="1" applyFont="1" applyBorder="1" applyAlignment="1">
      <alignment horizontal="left" vertical="center" indent="4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2" fontId="5" fillId="0" borderId="0" xfId="1" applyNumberFormat="1" applyFont="1" applyAlignment="1">
      <alignment horizontal="left" vertical="center" indent="9"/>
    </xf>
    <xf numFmtId="0" fontId="0" fillId="0" borderId="11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20" fontId="0" fillId="0" borderId="11" xfId="0" quotePrefix="1" applyNumberFormat="1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31" fillId="0" borderId="11" xfId="2" applyBorder="1" applyAlignment="1">
      <alignment horizontal="left" vertical="center" indent="1"/>
    </xf>
    <xf numFmtId="0" fontId="27" fillId="7" borderId="2" xfId="1" applyFont="1" applyFill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93247638-96DF-4FA9-93D6-AEB42A5A3E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21053247508932E-2"/>
          <c:y val="6.0721134754976411E-2"/>
          <c:w val="0.81421686564215334"/>
          <c:h val="0.86942752236255472"/>
        </c:manualLayout>
      </c:layout>
      <c:scatterChart>
        <c:scatterStyle val="lineMarker"/>
        <c:varyColors val="0"/>
        <c:ser>
          <c:idx val="0"/>
          <c:order val="0"/>
          <c:tx>
            <c:v>Sisi kiri Balok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database'!$B$7:$B$8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'Pic database'!$C$7:$C$8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02-440E-8A56-3A721681C4C5}"/>
            </c:ext>
          </c:extLst>
        </c:ser>
        <c:ser>
          <c:idx val="1"/>
          <c:order val="1"/>
          <c:tx>
            <c:v>Sisi Kanan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database'!$B$9:$B$10</c:f>
              <c:numCache>
                <c:formatCode>General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xVal>
          <c:yVal>
            <c:numRef>
              <c:f>'Pic database'!$C$9:$C$10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02-440E-8A56-3A721681C4C5}"/>
            </c:ext>
          </c:extLst>
        </c:ser>
        <c:ser>
          <c:idx val="2"/>
          <c:order val="2"/>
          <c:tx>
            <c:v>Sisi Atas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database'!$B$11:$B$12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database'!$C$11:$C$12</c:f>
              <c:numCache>
                <c:formatCode>0</c:formatCode>
                <c:ptCount val="2"/>
                <c:pt idx="0">
                  <c:v>110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02-440E-8A56-3A721681C4C5}"/>
            </c:ext>
          </c:extLst>
        </c:ser>
        <c:ser>
          <c:idx val="3"/>
          <c:order val="3"/>
          <c:tx>
            <c:v>Sisi Bawah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database'!$B$13:$B$14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database'!$C$13:$C$14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02-440E-8A56-3A721681C4C5}"/>
            </c:ext>
          </c:extLst>
        </c:ser>
        <c:ser>
          <c:idx val="4"/>
          <c:order val="4"/>
          <c:tx>
            <c:v>n1-1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database'!$D$18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402-440E-8A56-3A721681C4C5}"/>
            </c:ext>
          </c:extLst>
        </c:ser>
        <c:ser>
          <c:idx val="5"/>
          <c:order val="5"/>
          <c:tx>
            <c:v>n1-2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database'!$C$19</c:f>
              <c:numCache>
                <c:formatCode>0.00</c:formatCode>
                <c:ptCount val="1"/>
                <c:pt idx="0">
                  <c:v>52.666666666666664</c:v>
                </c:pt>
              </c:numCache>
            </c:numRef>
          </c:xVal>
          <c:yVal>
            <c:numRef>
              <c:f>'Pic database'!$D$19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402-440E-8A56-3A721681C4C5}"/>
            </c:ext>
          </c:extLst>
        </c:ser>
        <c:ser>
          <c:idx val="6"/>
          <c:order val="6"/>
          <c:tx>
            <c:v>n1-3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33082345980765004"/>
                  <c:y val="-0.109760669380473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d</a:t>
                    </a:r>
                    <a:r>
                      <a:rPr lang="en-US" sz="1000" b="1" baseline="-25000"/>
                      <a:t>b-longitudinal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14018877422371"/>
                      <c:h val="5.337801286289594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1402-440E-8A56-3A721681C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database'!$C$20</c:f>
              <c:numCache>
                <c:formatCode>0.00</c:formatCode>
                <c:ptCount val="1"/>
                <c:pt idx="0">
                  <c:v>67.333333333333329</c:v>
                </c:pt>
              </c:numCache>
            </c:numRef>
          </c:xVal>
          <c:yVal>
            <c:numRef>
              <c:f>'Pic database'!$D$20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402-440E-8A56-3A721681C4C5}"/>
            </c:ext>
          </c:extLst>
        </c:ser>
        <c:ser>
          <c:idx val="7"/>
          <c:order val="7"/>
          <c:tx>
            <c:v>n1-4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database'!$C$21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database'!$D$21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402-440E-8A56-3A721681C4C5}"/>
            </c:ext>
          </c:extLst>
        </c:ser>
        <c:ser>
          <c:idx val="8"/>
          <c:order val="8"/>
          <c:tx>
            <c:v>n1-5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402-440E-8A56-3A721681C4C5}"/>
            </c:ext>
          </c:extLst>
        </c:ser>
        <c:ser>
          <c:idx val="9"/>
          <c:order val="9"/>
          <c:tx>
            <c:v>n1-6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402-440E-8A56-3A721681C4C5}"/>
            </c:ext>
          </c:extLst>
        </c:ser>
        <c:ser>
          <c:idx val="10"/>
          <c:order val="10"/>
          <c:tx>
            <c:v>n1-7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402-440E-8A56-3A721681C4C5}"/>
            </c:ext>
          </c:extLst>
        </c:ser>
        <c:ser>
          <c:idx val="11"/>
          <c:order val="11"/>
          <c:tx>
            <c:v>n1-8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402-440E-8A56-3A721681C4C5}"/>
            </c:ext>
          </c:extLst>
        </c:ser>
        <c:ser>
          <c:idx val="12"/>
          <c:order val="12"/>
          <c:tx>
            <c:v>n1-9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402-440E-8A56-3A721681C4C5}"/>
            </c:ext>
          </c:extLst>
        </c:ser>
        <c:ser>
          <c:idx val="13"/>
          <c:order val="13"/>
          <c:tx>
            <c:v>n1-10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402-440E-8A56-3A721681C4C5}"/>
            </c:ext>
          </c:extLst>
        </c:ser>
        <c:ser>
          <c:idx val="14"/>
          <c:order val="14"/>
          <c:tx>
            <c:v>n2-1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database'!$G$18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402-440E-8A56-3A721681C4C5}"/>
            </c:ext>
          </c:extLst>
        </c:ser>
        <c:ser>
          <c:idx val="15"/>
          <c:order val="15"/>
          <c:tx>
            <c:v>n2-2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402-440E-8A56-3A721681C4C5}"/>
            </c:ext>
          </c:extLst>
        </c:ser>
        <c:ser>
          <c:idx val="16"/>
          <c:order val="16"/>
          <c:tx>
            <c:v>n2-3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402-440E-8A56-3A721681C4C5}"/>
            </c:ext>
          </c:extLst>
        </c:ser>
        <c:ser>
          <c:idx val="17"/>
          <c:order val="17"/>
          <c:tx>
            <c:v>n2-4</c:v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402-440E-8A56-3A721681C4C5}"/>
            </c:ext>
          </c:extLst>
        </c:ser>
        <c:ser>
          <c:idx val="18"/>
          <c:order val="18"/>
          <c:tx>
            <c:v>n2-5</c:v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1402-440E-8A56-3A721681C4C5}"/>
            </c:ext>
          </c:extLst>
        </c:ser>
        <c:ser>
          <c:idx val="19"/>
          <c:order val="19"/>
          <c:tx>
            <c:v>n2-6</c:v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1402-440E-8A56-3A721681C4C5}"/>
            </c:ext>
          </c:extLst>
        </c:ser>
        <c:ser>
          <c:idx val="20"/>
          <c:order val="20"/>
          <c:tx>
            <c:v>n2-7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1402-440E-8A56-3A721681C4C5}"/>
            </c:ext>
          </c:extLst>
        </c:ser>
        <c:ser>
          <c:idx val="21"/>
          <c:order val="21"/>
          <c:tx>
            <c:v>n2-8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1402-440E-8A56-3A721681C4C5}"/>
            </c:ext>
          </c:extLst>
        </c:ser>
        <c:ser>
          <c:idx val="22"/>
          <c:order val="22"/>
          <c:tx>
            <c:v>n2-9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1402-440E-8A56-3A721681C4C5}"/>
            </c:ext>
          </c:extLst>
        </c:ser>
        <c:ser>
          <c:idx val="23"/>
          <c:order val="23"/>
          <c:tx>
            <c:v>n2-10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402-440E-8A56-3A721681C4C5}"/>
            </c:ext>
          </c:extLst>
        </c:ser>
        <c:ser>
          <c:idx val="25"/>
          <c:order val="24"/>
          <c:tx>
            <c:v>n3-1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database'!$J$18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1402-440E-8A56-3A721681C4C5}"/>
            </c:ext>
          </c:extLst>
        </c:ser>
        <c:ser>
          <c:idx val="26"/>
          <c:order val="25"/>
          <c:tx>
            <c:v>n3-2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1402-440E-8A56-3A721681C4C5}"/>
            </c:ext>
          </c:extLst>
        </c:ser>
        <c:ser>
          <c:idx val="27"/>
          <c:order val="26"/>
          <c:tx>
            <c:v>n3-3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1402-440E-8A56-3A721681C4C5}"/>
            </c:ext>
          </c:extLst>
        </c:ser>
        <c:ser>
          <c:idx val="28"/>
          <c:order val="27"/>
          <c:tx>
            <c:v>n3-4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1402-440E-8A56-3A721681C4C5}"/>
            </c:ext>
          </c:extLst>
        </c:ser>
        <c:ser>
          <c:idx val="29"/>
          <c:order val="28"/>
          <c:tx>
            <c:v>n3-5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1402-440E-8A56-3A721681C4C5}"/>
            </c:ext>
          </c:extLst>
        </c:ser>
        <c:ser>
          <c:idx val="30"/>
          <c:order val="29"/>
          <c:tx>
            <c:v>n3-6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1402-440E-8A56-3A721681C4C5}"/>
            </c:ext>
          </c:extLst>
        </c:ser>
        <c:ser>
          <c:idx val="31"/>
          <c:order val="30"/>
          <c:tx>
            <c:v>n3-7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1402-440E-8A56-3A721681C4C5}"/>
            </c:ext>
          </c:extLst>
        </c:ser>
        <c:ser>
          <c:idx val="32"/>
          <c:order val="31"/>
          <c:tx>
            <c:v>n3-8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1402-440E-8A56-3A721681C4C5}"/>
            </c:ext>
          </c:extLst>
        </c:ser>
        <c:ser>
          <c:idx val="33"/>
          <c:order val="32"/>
          <c:tx>
            <c:v>n3-9</c:v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1402-440E-8A56-3A721681C4C5}"/>
            </c:ext>
          </c:extLst>
        </c:ser>
        <c:ser>
          <c:idx val="34"/>
          <c:order val="33"/>
          <c:tx>
            <c:v>n3-10</c:v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1402-440E-8A56-3A721681C4C5}"/>
            </c:ext>
          </c:extLst>
        </c:ser>
        <c:ser>
          <c:idx val="35"/>
          <c:order val="34"/>
          <c:tx>
            <c:v>n4-1</c:v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database'!$D$29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1402-440E-8A56-3A721681C4C5}"/>
            </c:ext>
          </c:extLst>
        </c:ser>
        <c:ser>
          <c:idx val="36"/>
          <c:order val="35"/>
          <c:tx>
            <c:v>n4-2</c:v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database'!$C$30</c:f>
              <c:numCache>
                <c:formatCode>0.00</c:formatCode>
                <c:ptCount val="1"/>
                <c:pt idx="0">
                  <c:v>60</c:v>
                </c:pt>
              </c:numCache>
            </c:numRef>
          </c:xVal>
          <c:yVal>
            <c:numRef>
              <c:f>'Pic database'!$D$30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1402-440E-8A56-3A721681C4C5}"/>
            </c:ext>
          </c:extLst>
        </c:ser>
        <c:ser>
          <c:idx val="37"/>
          <c:order val="36"/>
          <c:tx>
            <c:v>n4-3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database'!$C$31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database'!$D$31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1402-440E-8A56-3A721681C4C5}"/>
            </c:ext>
          </c:extLst>
        </c:ser>
        <c:ser>
          <c:idx val="38"/>
          <c:order val="37"/>
          <c:tx>
            <c:v>n4-4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1402-440E-8A56-3A721681C4C5}"/>
            </c:ext>
          </c:extLst>
        </c:ser>
        <c:ser>
          <c:idx val="39"/>
          <c:order val="38"/>
          <c:tx>
            <c:v>n4-5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1402-440E-8A56-3A721681C4C5}"/>
            </c:ext>
          </c:extLst>
        </c:ser>
        <c:ser>
          <c:idx val="40"/>
          <c:order val="39"/>
          <c:tx>
            <c:v>n4-6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1402-440E-8A56-3A721681C4C5}"/>
            </c:ext>
          </c:extLst>
        </c:ser>
        <c:ser>
          <c:idx val="41"/>
          <c:order val="40"/>
          <c:tx>
            <c:v>n4-7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1402-440E-8A56-3A721681C4C5}"/>
            </c:ext>
          </c:extLst>
        </c:ser>
        <c:ser>
          <c:idx val="42"/>
          <c:order val="41"/>
          <c:tx>
            <c:v>n4-8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1402-440E-8A56-3A721681C4C5}"/>
            </c:ext>
          </c:extLst>
        </c:ser>
        <c:ser>
          <c:idx val="43"/>
          <c:order val="42"/>
          <c:tx>
            <c:v>n4-9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1402-440E-8A56-3A721681C4C5}"/>
            </c:ext>
          </c:extLst>
        </c:ser>
        <c:ser>
          <c:idx val="44"/>
          <c:order val="43"/>
          <c:tx>
            <c:v>n4-10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1402-440E-8A56-3A721681C4C5}"/>
            </c:ext>
          </c:extLst>
        </c:ser>
        <c:ser>
          <c:idx val="45"/>
          <c:order val="44"/>
          <c:tx>
            <c:v>n5-1</c:v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database'!$G$29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1402-440E-8A56-3A721681C4C5}"/>
            </c:ext>
          </c:extLst>
        </c:ser>
        <c:ser>
          <c:idx val="46"/>
          <c:order val="45"/>
          <c:tx>
            <c:v>n5-2</c:v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1402-440E-8A56-3A721681C4C5}"/>
            </c:ext>
          </c:extLst>
        </c:ser>
        <c:ser>
          <c:idx val="47"/>
          <c:order val="46"/>
          <c:tx>
            <c:v>n5-3</c:v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1402-440E-8A56-3A721681C4C5}"/>
            </c:ext>
          </c:extLst>
        </c:ser>
        <c:ser>
          <c:idx val="48"/>
          <c:order val="47"/>
          <c:tx>
            <c:v>n5-4</c:v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1402-440E-8A56-3A721681C4C5}"/>
            </c:ext>
          </c:extLst>
        </c:ser>
        <c:ser>
          <c:idx val="49"/>
          <c:order val="48"/>
          <c:tx>
            <c:v>n5-5</c:v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1402-440E-8A56-3A721681C4C5}"/>
            </c:ext>
          </c:extLst>
        </c:ser>
        <c:ser>
          <c:idx val="50"/>
          <c:order val="49"/>
          <c:tx>
            <c:v>n5-6</c:v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1402-440E-8A56-3A721681C4C5}"/>
            </c:ext>
          </c:extLst>
        </c:ser>
        <c:ser>
          <c:idx val="51"/>
          <c:order val="50"/>
          <c:tx>
            <c:v>n5-7</c:v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1402-440E-8A56-3A721681C4C5}"/>
            </c:ext>
          </c:extLst>
        </c:ser>
        <c:ser>
          <c:idx val="52"/>
          <c:order val="51"/>
          <c:tx>
            <c:v>n5-8</c:v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1402-440E-8A56-3A721681C4C5}"/>
            </c:ext>
          </c:extLst>
        </c:ser>
        <c:ser>
          <c:idx val="53"/>
          <c:order val="52"/>
          <c:tx>
            <c:v>n5-9</c:v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1402-440E-8A56-3A721681C4C5}"/>
            </c:ext>
          </c:extLst>
        </c:ser>
        <c:ser>
          <c:idx val="54"/>
          <c:order val="53"/>
          <c:tx>
            <c:v>n5-10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1402-440E-8A56-3A721681C4C5}"/>
            </c:ext>
          </c:extLst>
        </c:ser>
        <c:ser>
          <c:idx val="55"/>
          <c:order val="54"/>
          <c:tx>
            <c:v>n6-1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database'!$J$29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1402-440E-8A56-3A721681C4C5}"/>
            </c:ext>
          </c:extLst>
        </c:ser>
        <c:ser>
          <c:idx val="56"/>
          <c:order val="55"/>
          <c:tx>
            <c:v>n6-2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1402-440E-8A56-3A721681C4C5}"/>
            </c:ext>
          </c:extLst>
        </c:ser>
        <c:ser>
          <c:idx val="57"/>
          <c:order val="56"/>
          <c:tx>
            <c:v>n6-3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1402-440E-8A56-3A721681C4C5}"/>
            </c:ext>
          </c:extLst>
        </c:ser>
        <c:ser>
          <c:idx val="58"/>
          <c:order val="57"/>
          <c:tx>
            <c:v>n6-4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1402-440E-8A56-3A721681C4C5}"/>
            </c:ext>
          </c:extLst>
        </c:ser>
        <c:ser>
          <c:idx val="59"/>
          <c:order val="58"/>
          <c:tx>
            <c:v>n6-5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1402-440E-8A56-3A721681C4C5}"/>
            </c:ext>
          </c:extLst>
        </c:ser>
        <c:ser>
          <c:idx val="60"/>
          <c:order val="59"/>
          <c:tx>
            <c:v>n6-6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1402-440E-8A56-3A721681C4C5}"/>
            </c:ext>
          </c:extLst>
        </c:ser>
        <c:ser>
          <c:idx val="61"/>
          <c:order val="60"/>
          <c:tx>
            <c:v>n6-7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1402-440E-8A56-3A721681C4C5}"/>
            </c:ext>
          </c:extLst>
        </c:ser>
        <c:ser>
          <c:idx val="62"/>
          <c:order val="61"/>
          <c:tx>
            <c:v>n6-8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1402-440E-8A56-3A721681C4C5}"/>
            </c:ext>
          </c:extLst>
        </c:ser>
        <c:ser>
          <c:idx val="63"/>
          <c:order val="62"/>
          <c:tx>
            <c:v>n6-9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1402-440E-8A56-3A721681C4C5}"/>
            </c:ext>
          </c:extLst>
        </c:ser>
        <c:ser>
          <c:idx val="64"/>
          <c:order val="63"/>
          <c:tx>
            <c:v>n6-10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1402-440E-8A56-3A721681C4C5}"/>
            </c:ext>
          </c:extLst>
        </c:ser>
        <c:ser>
          <c:idx val="24"/>
          <c:order val="64"/>
          <c:tx>
            <c:v>t1-x1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database'!$C$42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database'!$D$42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1402-440E-8A56-3A721681C4C5}"/>
            </c:ext>
          </c:extLst>
        </c:ser>
        <c:ser>
          <c:idx val="65"/>
          <c:order val="65"/>
          <c:tx>
            <c:v>t1-x2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9633049061998587E-2"/>
                  <c:y val="-9.56042735863083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d</a:t>
                    </a:r>
                    <a:r>
                      <a:rPr lang="en-US" b="1" baseline="-25000"/>
                      <a:t>b-badan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F78-4A08-AF81-8775D65D02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database'!$E$42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database'!$D$42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1402-440E-8A56-3A721681C4C5}"/>
            </c:ext>
          </c:extLst>
        </c:ser>
        <c:ser>
          <c:idx val="67"/>
          <c:order val="66"/>
          <c:tx>
            <c:v>t2a-x1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database'!$C$43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database'!$D$43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1402-440E-8A56-3A721681C4C5}"/>
            </c:ext>
          </c:extLst>
        </c:ser>
        <c:ser>
          <c:idx val="68"/>
          <c:order val="67"/>
          <c:tx>
            <c:v>t2a-x2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4-1402-440E-8A56-3A721681C4C5}"/>
              </c:ext>
            </c:extLst>
          </c:dPt>
          <c:xVal>
            <c:numRef>
              <c:f>'Pic database'!$E$43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database'!$D$43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1402-440E-8A56-3A721681C4C5}"/>
            </c:ext>
          </c:extLst>
        </c:ser>
        <c:ser>
          <c:idx val="69"/>
          <c:order val="68"/>
          <c:tx>
            <c:v>t3-x1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database'!$C$44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database'!$D$44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1402-440E-8A56-3A721681C4C5}"/>
            </c:ext>
          </c:extLst>
        </c:ser>
        <c:ser>
          <c:idx val="70"/>
          <c:order val="69"/>
          <c:tx>
            <c:v>t3-x2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database'!$E$44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database'!$D$44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1402-440E-8A56-3A721681C4C5}"/>
            </c:ext>
          </c:extLst>
        </c:ser>
        <c:ser>
          <c:idx val="66"/>
          <c:order val="70"/>
          <c:tx>
            <c:v>Sengkang Atas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database'!$H$42:$I$42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database'!$H$43:$I$43</c:f>
              <c:numCache>
                <c:formatCode>General</c:formatCode>
                <c:ptCount val="2"/>
                <c:pt idx="0">
                  <c:v>104.04</c:v>
                </c:pt>
                <c:pt idx="1">
                  <c:v>104.04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1402-440E-8A56-3A721681C4C5}"/>
            </c:ext>
          </c:extLst>
        </c:ser>
        <c:ser>
          <c:idx val="71"/>
          <c:order val="71"/>
          <c:tx>
            <c:v>Sengkang bawah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database'!$H$45:$I$45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database'!$H$46:$I$46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1402-440E-8A56-3A721681C4C5}"/>
            </c:ext>
          </c:extLst>
        </c:ser>
        <c:ser>
          <c:idx val="72"/>
          <c:order val="72"/>
          <c:tx>
            <c:v>Sengkang Kanan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4.0856043645958406E-2"/>
                  <c:y val="-1.14502314119132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d</a:t>
                    </a:r>
                    <a:r>
                      <a:rPr lang="en-US" sz="1000" b="1" baseline="-25000"/>
                      <a:t>b-sengkang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68490538463352"/>
                      <c:h val="5.337801286289594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4A-1402-440E-8A56-3A721681C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database'!$J$42:$L$42</c:f>
              <c:numCache>
                <c:formatCode>0.00</c:formatCode>
                <c:ptCount val="3"/>
                <c:pt idx="0">
                  <c:v>84.6</c:v>
                </c:pt>
                <c:pt idx="1">
                  <c:v>84.6</c:v>
                </c:pt>
                <c:pt idx="2">
                  <c:v>84.6</c:v>
                </c:pt>
              </c:numCache>
            </c:numRef>
          </c:xVal>
          <c:yVal>
            <c:numRef>
              <c:f>'Pic database'!$J$43:$L$43</c:f>
              <c:numCache>
                <c:formatCode>0.00</c:formatCode>
                <c:ptCount val="3"/>
                <c:pt idx="0">
                  <c:v>102</c:v>
                </c:pt>
                <c:pt idx="1">
                  <c:v>52</c:v>
                </c:pt>
                <c:pt idx="2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1402-440E-8A56-3A721681C4C5}"/>
            </c:ext>
          </c:extLst>
        </c:ser>
        <c:ser>
          <c:idx val="73"/>
          <c:order val="73"/>
          <c:tx>
            <c:v>Sengkang kiri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database'!$J$45:$K$45</c:f>
              <c:numCache>
                <c:formatCode>0.00</c:formatCode>
                <c:ptCount val="2"/>
                <c:pt idx="0">
                  <c:v>35.4</c:v>
                </c:pt>
                <c:pt idx="1">
                  <c:v>35.4</c:v>
                </c:pt>
              </c:numCache>
            </c:numRef>
          </c:xVal>
          <c:yVal>
            <c:numRef>
              <c:f>'Pic database'!$J$46:$K$46</c:f>
              <c:numCache>
                <c:formatCode>0.00</c:formatCode>
                <c:ptCount val="2"/>
                <c:pt idx="0">
                  <c:v>102</c:v>
                </c:pt>
                <c:pt idx="1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1402-440E-8A56-3A721681C4C5}"/>
            </c:ext>
          </c:extLst>
        </c:ser>
        <c:ser>
          <c:idx val="75"/>
          <c:order val="74"/>
          <c:tx>
            <c:v>s2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D-1402-440E-8A56-3A721681C4C5}"/>
            </c:ext>
          </c:extLst>
        </c:ser>
        <c:ser>
          <c:idx val="76"/>
          <c:order val="75"/>
          <c:tx>
            <c:v>s3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E-1402-440E-8A56-3A721681C4C5}"/>
            </c:ext>
          </c:extLst>
        </c:ser>
        <c:ser>
          <c:idx val="77"/>
          <c:order val="76"/>
          <c:tx>
            <c:v>dimensi h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F-1402-440E-8A56-3A721681C4C5}"/>
              </c:ext>
            </c:extLst>
          </c:dPt>
          <c:xVal>
            <c:numRef>
              <c:f>'Pic database'!$D$56:$D$57</c:f>
              <c:numCache>
                <c:formatCode>0.00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'Pic database'!$E$56:$E$57</c:f>
              <c:numCache>
                <c:formatCode>0.00</c:formatCode>
                <c:ptCount val="2"/>
                <c:pt idx="0">
                  <c:v>10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1402-440E-8A56-3A721681C4C5}"/>
            </c:ext>
          </c:extLst>
        </c:ser>
        <c:ser>
          <c:idx val="78"/>
          <c:order val="77"/>
          <c:tx>
            <c:v>dimensi b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1-1402-440E-8A56-3A721681C4C5}"/>
              </c:ext>
            </c:extLst>
          </c:dPt>
          <c:xVal>
            <c:numRef>
              <c:f>'Pic database'!$B$56:$B$57</c:f>
              <c:numCache>
                <c:formatCode>0.00</c:formatCode>
                <c:ptCount val="2"/>
                <c:pt idx="0">
                  <c:v>30</c:v>
                </c:pt>
                <c:pt idx="1">
                  <c:v>60</c:v>
                </c:pt>
              </c:numCache>
            </c:numRef>
          </c:xVal>
          <c:yVal>
            <c:numRef>
              <c:f>'Pic database'!$C$56:$C$57</c:f>
              <c:numCache>
                <c:formatCode>0.00</c:formatCode>
                <c:ptCount val="2"/>
                <c:pt idx="0">
                  <c:v>-5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2-1402-440E-8A56-3A721681C4C5}"/>
            </c:ext>
          </c:extLst>
        </c:ser>
        <c:ser>
          <c:idx val="74"/>
          <c:order val="78"/>
          <c:tx>
            <c:v>dimensi b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1402-440E-8A56-3A721681C4C5}"/>
              </c:ext>
            </c:extLst>
          </c:dPt>
          <c:dLbls>
            <c:dLbl>
              <c:idx val="0"/>
              <c:layout>
                <c:manualLayout>
                  <c:x val="-0.18385632569471416"/>
                  <c:y val="3.77356633486851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766816143497751"/>
                      <c:h val="6.59671668399940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54-1402-440E-8A56-3A721681C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database'!$B$57:$B$58</c:f>
              <c:numCache>
                <c:formatCode>0.00</c:formatCode>
                <c:ptCount val="2"/>
                <c:pt idx="0">
                  <c:v>60</c:v>
                </c:pt>
                <c:pt idx="1">
                  <c:v>90</c:v>
                </c:pt>
              </c:numCache>
            </c:numRef>
          </c:xVal>
          <c:yVal>
            <c:numRef>
              <c:f>'Pic database'!$C$57:$C$58</c:f>
              <c:numCache>
                <c:formatCode>0.00</c:formatCode>
                <c:ptCount val="2"/>
                <c:pt idx="0">
                  <c:v>-5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1402-440E-8A56-3A721681C4C5}"/>
            </c:ext>
          </c:extLst>
        </c:ser>
        <c:ser>
          <c:idx val="79"/>
          <c:order val="79"/>
          <c:tx>
            <c:v>dimensi h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6-1402-440E-8A56-3A721681C4C5}"/>
              </c:ext>
            </c:extLst>
          </c:dPt>
          <c:dLbls>
            <c:dLbl>
              <c:idx val="0"/>
              <c:layout>
                <c:manualLayout>
                  <c:x val="-0.16426481675661764"/>
                  <c:y val="-9.4630712956732897E-3"/>
                </c:manualLayout>
              </c:layout>
              <c:tx>
                <c:rich>
                  <a:bodyPr rot="-5400000" spcFirstLastPara="1" vertOverflow="ellipsis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h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15505532247889"/>
                      <c:h val="6.44699674157395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57-1402-440E-8A56-3A721681C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database'!$D$57:$D$58</c:f>
              <c:numCache>
                <c:formatCode>0.00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'Pic database'!$E$57:$E$58</c:f>
              <c:numCache>
                <c:formatCode>0.00</c:formatCode>
                <c:ptCount val="2"/>
                <c:pt idx="0">
                  <c:v>60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8-1402-440E-8A56-3A721681C4C5}"/>
            </c:ext>
          </c:extLst>
        </c:ser>
        <c:ser>
          <c:idx val="80"/>
          <c:order val="80"/>
          <c:tx>
            <c:v>dimensi cc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9-1402-440E-8A56-3A721681C4C5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A-1402-440E-8A56-3A721681C4C5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B-1402-440E-8A56-3A721681C4C5}"/>
              </c:ext>
            </c:extLst>
          </c:dPt>
          <c:dLbls>
            <c:dLbl>
              <c:idx val="2"/>
              <c:layout>
                <c:manualLayout>
                  <c:x val="-8.4742734868062056E-3"/>
                  <c:y val="1.38233913558775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c</a:t>
                    </a:r>
                    <a:r>
                      <a:rPr lang="en-US" sz="1000" b="1" baseline="-25000"/>
                      <a:t>c</a:t>
                    </a:r>
                    <a:endParaRPr lang="en-US" sz="1000" b="1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47018749188112"/>
                      <c:h val="5.406402666302680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5B-1402-440E-8A56-3A721681C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'Pic database'!$F$56:$F$58</c:f>
              <c:numCache>
                <c:formatCode>0.00</c:formatCode>
                <c:ptCount val="3"/>
                <c:pt idx="0">
                  <c:v>99.000000000000014</c:v>
                </c:pt>
                <c:pt idx="1">
                  <c:v>99.000000000000014</c:v>
                </c:pt>
                <c:pt idx="2">
                  <c:v>99.000000000000014</c:v>
                </c:pt>
              </c:numCache>
            </c:numRef>
          </c:xVal>
          <c:yVal>
            <c:numRef>
              <c:f>'Pic database'!$G$56:$G$58</c:f>
              <c:numCache>
                <c:formatCode>0.00</c:formatCode>
                <c:ptCount val="3"/>
                <c:pt idx="0">
                  <c:v>10</c:v>
                </c:pt>
                <c:pt idx="1">
                  <c:v>13</c:v>
                </c:pt>
                <c:pt idx="2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C-1402-440E-8A56-3A721681C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</c:scatterChart>
      <c:valAx>
        <c:axId val="671018880"/>
        <c:scaling>
          <c:orientation val="minMax"/>
          <c:max val="120"/>
          <c:min val="-10"/>
        </c:scaling>
        <c:delete val="1"/>
        <c:axPos val="b"/>
        <c:numFmt formatCode="General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20"/>
          <c:min val="-10"/>
        </c:scaling>
        <c:delete val="1"/>
        <c:axPos val="l"/>
        <c:numFmt formatCode="General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sng" strike="noStrike" kern="1200" spc="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r>
              <a:rPr lang="en-US" sz="1000" b="1" u="sng">
                <a:solidFill>
                  <a:schemeClr val="accent2"/>
                </a:solidFill>
              </a:rPr>
              <a:t>Tulangan pada daerah</a:t>
            </a:r>
            <a:r>
              <a:rPr lang="en-US" sz="1000" b="1" u="sng" baseline="0">
                <a:solidFill>
                  <a:schemeClr val="accent2"/>
                </a:solidFill>
              </a:rPr>
              <a:t> lapangan</a:t>
            </a:r>
          </a:p>
          <a:p>
            <a:pPr>
              <a:defRPr sz="1100" b="1" u="sng">
                <a:solidFill>
                  <a:schemeClr val="accent2"/>
                </a:solidFill>
              </a:defRPr>
            </a:pPr>
            <a:r>
              <a:rPr lang="en-US" sz="800" b="0" u="none" baseline="0">
                <a:solidFill>
                  <a:schemeClr val="accent2"/>
                </a:solidFill>
              </a:rPr>
              <a:t>(potongan B - B)</a:t>
            </a:r>
            <a:endParaRPr lang="en-US" sz="800" b="0" u="none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0.23615136520279226"/>
          <c:y val="2.3522755260775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sng" strike="noStrike" kern="1200" spc="0" baseline="0">
              <a:solidFill>
                <a:schemeClr val="accent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722132404680746E-3"/>
          <c:y val="0.19005230774735402"/>
          <c:w val="0.63153454055655012"/>
          <c:h val="0.71912349775204665"/>
        </c:manualLayout>
      </c:layout>
      <c:scatterChart>
        <c:scatterStyle val="lineMarker"/>
        <c:varyColors val="0"/>
        <c:ser>
          <c:idx val="0"/>
          <c:order val="0"/>
          <c:tx>
            <c:v>Sisi kiri Balok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database'!$B$7:$B$8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'Pic database'!$C$7:$C$8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13-48D7-B6F0-CF6D41602357}"/>
            </c:ext>
          </c:extLst>
        </c:ser>
        <c:ser>
          <c:idx val="1"/>
          <c:order val="1"/>
          <c:tx>
            <c:v>Sisi Kanan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database'!$B$9:$B$10</c:f>
              <c:numCache>
                <c:formatCode>General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xVal>
          <c:yVal>
            <c:numRef>
              <c:f>'Pic database'!$C$9:$C$10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13-48D7-B6F0-CF6D41602357}"/>
            </c:ext>
          </c:extLst>
        </c:ser>
        <c:ser>
          <c:idx val="2"/>
          <c:order val="2"/>
          <c:tx>
            <c:v>Sisi Atas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database'!$B$11:$B$12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database'!$C$11:$C$12</c:f>
              <c:numCache>
                <c:formatCode>0</c:formatCode>
                <c:ptCount val="2"/>
                <c:pt idx="0">
                  <c:v>110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E13-48D7-B6F0-CF6D41602357}"/>
            </c:ext>
          </c:extLst>
        </c:ser>
        <c:ser>
          <c:idx val="3"/>
          <c:order val="3"/>
          <c:tx>
            <c:v>Sisi Bawah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database'!$B$13:$B$14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database'!$C$13:$C$14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13-48D7-B6F0-CF6D41602357}"/>
            </c:ext>
          </c:extLst>
        </c:ser>
        <c:ser>
          <c:idx val="4"/>
          <c:order val="4"/>
          <c:tx>
            <c:v>n1-1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82828756036318E-17"/>
                  <c:y val="-0.1071909866580763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d</a:t>
                    </a:r>
                    <a:r>
                      <a:rPr lang="en-US" baseline="-25000"/>
                      <a:t>b-longitudinal</a:t>
                    </a:r>
                    <a:r>
                      <a:rPr lang="en-US"/>
                      <a:t> = </a:t>
                    </a:r>
                    <a:fld id="{90F303BE-CA70-476F-8848-D74D7AC26934}" type="CELLREF">
                      <a:rPr lang="en-US"/>
                      <a:pPr algn="l">
                        <a:defRPr b="1"/>
                      </a:pPr>
                      <a:t>[CELLREF]</a:t>
                    </a:fld>
                    <a:r>
                      <a:rPr lang="en-US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425873844917637"/>
                      <c:h val="8.9125161156004634E-2"/>
                    </c:manualLayout>
                  </c15:layout>
                  <c15:dlblFieldTable>
                    <c15:dlblFTEntry>
                      <c15:txfldGUID>{90F303BE-CA70-476F-8848-D74D7AC26934}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6E13-48D7-B6F0-CF6D41602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database'!$N$18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database'!$O$18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E13-48D7-B6F0-CF6D41602357}"/>
            </c:ext>
          </c:extLst>
        </c:ser>
        <c:ser>
          <c:idx val="5"/>
          <c:order val="5"/>
          <c:tx>
            <c:v>n1-2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E13-48D7-B6F0-CF6D4160235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34801124949779028"/>
                      <c:h val="0.160585936153736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E13-48D7-B6F0-CF6D41602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database'!$N$19</c:f>
              <c:numCache>
                <c:formatCode>0.00</c:formatCode>
                <c:ptCount val="1"/>
                <c:pt idx="0">
                  <c:v>60</c:v>
                </c:pt>
              </c:numCache>
            </c:numRef>
          </c:xVal>
          <c:yVal>
            <c:numRef>
              <c:f>'Pic database'!$O$19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E13-48D7-B6F0-CF6D41602357}"/>
            </c:ext>
          </c:extLst>
        </c:ser>
        <c:ser>
          <c:idx val="6"/>
          <c:order val="6"/>
          <c:tx>
            <c:v>n1-3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2362394535958214E-2"/>
                  <c:y val="-6.69927181751623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accent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Tulangan tekan</a:t>
                    </a:r>
                  </a:p>
                  <a:p>
                    <a:pPr algn="l"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42054C54-C713-47DB-9A0B-62D804D3B701}" type="CELLREF"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 algn="l"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[CELLREF]</a:t>
                    </a:fld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 D</a:t>
                    </a:r>
                    <a:r>
                      <a:rPr lang="en-US" b="1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 </a:t>
                    </a:r>
                    <a:fld id="{1A6BBD65-38CD-4CF8-86DE-34A6266ADD5A}" type="CELLREF">
                      <a:rPr lang="en-US" b="1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 algn="l"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[CELLREF]</a:t>
                    </a:fld>
                    <a:endParaRPr lang="en-US" b="1" baseline="0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453595821615108"/>
                      <c:h val="0.12932184709222869"/>
                    </c:manualLayout>
                  </c15:layout>
                  <c15:dlblFieldTable>
                    <c15:dlblFTEntry>
                      <c15:txfldGUID>{42054C54-C713-47DB-9A0B-62D804D3B701}</c15:txfldGUID>
                      <c15:f>Process!$G$415</c15:f>
                      <c15:dlblFieldTableCache>
                        <c:ptCount val="1"/>
                        <c:pt idx="0">
                          <c:v>3</c:v>
                        </c:pt>
                      </c15:dlblFieldTableCache>
                    </c15:dlblFTEntry>
                    <c15:dlblFTEntry>
                      <c15:txfldGUID>{1A6BBD65-38CD-4CF8-86DE-34A6266ADD5A}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6E13-48D7-B6F0-CF6D41602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'Pic database'!$N$20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database'!$O$20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E13-48D7-B6F0-CF6D41602357}"/>
            </c:ext>
          </c:extLst>
        </c:ser>
        <c:ser>
          <c:idx val="7"/>
          <c:order val="7"/>
          <c:tx>
            <c:v>n1-4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E13-48D7-B6F0-CF6D41602357}"/>
            </c:ext>
          </c:extLst>
        </c:ser>
        <c:ser>
          <c:idx val="8"/>
          <c:order val="8"/>
          <c:tx>
            <c:v>n1-5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E13-48D7-B6F0-CF6D41602357}"/>
            </c:ext>
          </c:extLst>
        </c:ser>
        <c:ser>
          <c:idx val="9"/>
          <c:order val="9"/>
          <c:tx>
            <c:v>n1-6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E13-48D7-B6F0-CF6D41602357}"/>
            </c:ext>
          </c:extLst>
        </c:ser>
        <c:ser>
          <c:idx val="10"/>
          <c:order val="10"/>
          <c:tx>
            <c:v>n1-7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E13-48D7-B6F0-CF6D41602357}"/>
            </c:ext>
          </c:extLst>
        </c:ser>
        <c:ser>
          <c:idx val="11"/>
          <c:order val="11"/>
          <c:tx>
            <c:v>n1-8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E13-48D7-B6F0-CF6D41602357}"/>
            </c:ext>
          </c:extLst>
        </c:ser>
        <c:ser>
          <c:idx val="12"/>
          <c:order val="12"/>
          <c:tx>
            <c:v>n1-9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E13-48D7-B6F0-CF6D41602357}"/>
            </c:ext>
          </c:extLst>
        </c:ser>
        <c:ser>
          <c:idx val="13"/>
          <c:order val="13"/>
          <c:tx>
            <c:v>n1-10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database'!$N$27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E13-48D7-B6F0-CF6D41602357}"/>
            </c:ext>
          </c:extLst>
        </c:ser>
        <c:ser>
          <c:idx val="14"/>
          <c:order val="14"/>
          <c:tx>
            <c:v>n2-1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database'!$Q$18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database'!$R$18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E13-48D7-B6F0-CF6D41602357}"/>
            </c:ext>
          </c:extLst>
        </c:ser>
        <c:ser>
          <c:idx val="15"/>
          <c:order val="15"/>
          <c:tx>
            <c:v>n2-2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database'!$Q$19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E13-48D7-B6F0-CF6D41602357}"/>
            </c:ext>
          </c:extLst>
        </c:ser>
        <c:ser>
          <c:idx val="16"/>
          <c:order val="16"/>
          <c:tx>
            <c:v>n2-3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database'!$Q$20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E13-48D7-B6F0-CF6D41602357}"/>
            </c:ext>
          </c:extLst>
        </c:ser>
        <c:ser>
          <c:idx val="17"/>
          <c:order val="17"/>
          <c:tx>
            <c:v>n2-4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database'!$Q$21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E13-48D7-B6F0-CF6D41602357}"/>
            </c:ext>
          </c:extLst>
        </c:ser>
        <c:ser>
          <c:idx val="18"/>
          <c:order val="18"/>
          <c:tx>
            <c:v>n2-5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E13-48D7-B6F0-CF6D41602357}"/>
            </c:ext>
          </c:extLst>
        </c:ser>
        <c:ser>
          <c:idx val="19"/>
          <c:order val="19"/>
          <c:tx>
            <c:v>n2-6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E13-48D7-B6F0-CF6D41602357}"/>
            </c:ext>
          </c:extLst>
        </c:ser>
        <c:ser>
          <c:idx val="20"/>
          <c:order val="20"/>
          <c:tx>
            <c:v>n2-7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E13-48D7-B6F0-CF6D41602357}"/>
            </c:ext>
          </c:extLst>
        </c:ser>
        <c:ser>
          <c:idx val="21"/>
          <c:order val="21"/>
          <c:tx>
            <c:v>n2-8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6E13-48D7-B6F0-CF6D41602357}"/>
            </c:ext>
          </c:extLst>
        </c:ser>
        <c:ser>
          <c:idx val="22"/>
          <c:order val="22"/>
          <c:tx>
            <c:v>n2-9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6E13-48D7-B6F0-CF6D41602357}"/>
            </c:ext>
          </c:extLst>
        </c:ser>
        <c:ser>
          <c:idx val="23"/>
          <c:order val="23"/>
          <c:tx>
            <c:v>n2-10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E13-48D7-B6F0-CF6D41602357}"/>
            </c:ext>
          </c:extLst>
        </c:ser>
        <c:ser>
          <c:idx val="25"/>
          <c:order val="24"/>
          <c:tx>
            <c:v>n3-1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database'!$T$18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database'!$U$18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E13-48D7-B6F0-CF6D41602357}"/>
            </c:ext>
          </c:extLst>
        </c:ser>
        <c:ser>
          <c:idx val="26"/>
          <c:order val="25"/>
          <c:tx>
            <c:v>n3-2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database'!$T$19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6E13-48D7-B6F0-CF6D41602357}"/>
            </c:ext>
          </c:extLst>
        </c:ser>
        <c:ser>
          <c:idx val="27"/>
          <c:order val="26"/>
          <c:tx>
            <c:v>n3-3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database'!$T$20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6E13-48D7-B6F0-CF6D41602357}"/>
            </c:ext>
          </c:extLst>
        </c:ser>
        <c:ser>
          <c:idx val="28"/>
          <c:order val="27"/>
          <c:tx>
            <c:v>n3-4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database'!$T$21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6E13-48D7-B6F0-CF6D41602357}"/>
            </c:ext>
          </c:extLst>
        </c:ser>
        <c:ser>
          <c:idx val="29"/>
          <c:order val="28"/>
          <c:tx>
            <c:v>n3-5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database'!$T$22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6E13-48D7-B6F0-CF6D41602357}"/>
            </c:ext>
          </c:extLst>
        </c:ser>
        <c:ser>
          <c:idx val="30"/>
          <c:order val="29"/>
          <c:tx>
            <c:v>n3-6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database'!$T$23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6E13-48D7-B6F0-CF6D41602357}"/>
            </c:ext>
          </c:extLst>
        </c:ser>
        <c:ser>
          <c:idx val="31"/>
          <c:order val="30"/>
          <c:tx>
            <c:v>n3-7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database'!$T$24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6E13-48D7-B6F0-CF6D41602357}"/>
            </c:ext>
          </c:extLst>
        </c:ser>
        <c:ser>
          <c:idx val="32"/>
          <c:order val="31"/>
          <c:tx>
            <c:v>n3-8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database'!$T$25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6E13-48D7-B6F0-CF6D41602357}"/>
            </c:ext>
          </c:extLst>
        </c:ser>
        <c:ser>
          <c:idx val="33"/>
          <c:order val="32"/>
          <c:tx>
            <c:v>n3-9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database'!$T$26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6E13-48D7-B6F0-CF6D41602357}"/>
            </c:ext>
          </c:extLst>
        </c:ser>
        <c:ser>
          <c:idx val="34"/>
          <c:order val="33"/>
          <c:tx>
            <c:v>n3-10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database'!$T$27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6E13-48D7-B6F0-CF6D41602357}"/>
            </c:ext>
          </c:extLst>
        </c:ser>
        <c:ser>
          <c:idx val="35"/>
          <c:order val="34"/>
          <c:tx>
            <c:v>n4-1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039790827673258E-2"/>
                  <c:y val="0.1161241110483562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d</a:t>
                    </a:r>
                    <a:r>
                      <a:rPr lang="en-US" baseline="-25000"/>
                      <a:t>b-longitudinal</a:t>
                    </a:r>
                    <a:r>
                      <a:rPr lang="en-US"/>
                      <a:t> = </a:t>
                    </a:r>
                    <a:fld id="{6D790EA6-5416-4FB3-B22B-4D05A6D4B4E7}" type="CELLREF">
                      <a:rPr lang="en-US"/>
                      <a:pPr algn="ctr">
                        <a:defRPr b="1"/>
                      </a:pPr>
                      <a:t>[CELLREF]</a:t>
                    </a:fld>
                    <a:r>
                      <a:rPr lang="en-US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613499397348327"/>
                      <c:h val="8.0192564281288181E-2"/>
                    </c:manualLayout>
                  </c15:layout>
                  <c15:dlblFieldTable>
                    <c15:dlblFTEntry>
                      <c15:txfldGUID>{6D790EA6-5416-4FB3-B22B-4D05A6D4B4E7}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6E13-48D7-B6F0-CF6D41602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database'!$N$29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database'!$O$29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6E13-48D7-B6F0-CF6D41602357}"/>
            </c:ext>
          </c:extLst>
        </c:ser>
        <c:ser>
          <c:idx val="36"/>
          <c:order val="35"/>
          <c:tx>
            <c:v>n4-2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database'!$N$30</c:f>
              <c:numCache>
                <c:formatCode>0.00</c:formatCode>
                <c:ptCount val="1"/>
                <c:pt idx="0">
                  <c:v>52.666666666666664</c:v>
                </c:pt>
              </c:numCache>
            </c:numRef>
          </c:xVal>
          <c:yVal>
            <c:numRef>
              <c:f>'Pic database'!$O$30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6E13-48D7-B6F0-CF6D41602357}"/>
            </c:ext>
          </c:extLst>
        </c:ser>
        <c:ser>
          <c:idx val="37"/>
          <c:order val="36"/>
          <c:tx>
            <c:v>n4-3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database'!$N$31</c:f>
              <c:numCache>
                <c:formatCode>0.00</c:formatCode>
                <c:ptCount val="1"/>
                <c:pt idx="0">
                  <c:v>67.333333333333329</c:v>
                </c:pt>
              </c:numCache>
            </c:numRef>
          </c:xVal>
          <c:yVal>
            <c:numRef>
              <c:f>'Pic database'!$O$31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6E13-48D7-B6F0-CF6D41602357}"/>
            </c:ext>
          </c:extLst>
        </c:ser>
        <c:ser>
          <c:idx val="38"/>
          <c:order val="37"/>
          <c:tx>
            <c:v>n4-4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  <a:alpha val="97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7.4327038971474566E-2"/>
                  <c:y val="-4.466298437358318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accent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Tulangan tarik</a:t>
                    </a:r>
                  </a:p>
                  <a:p>
                    <a:pPr algn="l"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51163E63-B1DA-4356-BDA6-5DECA423BCFD}" type="CELLREF">
                      <a:rPr lang="en-US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 algn="l"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[CELLREF]</a:t>
                    </a:fld>
                    <a:r>
                      <a:rPr lang="en-US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 D</a:t>
                    </a:r>
                    <a:r>
                      <a:rPr lang="en-US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 </a:t>
                    </a:r>
                    <a:fld id="{54F4229B-1B2C-4811-A806-F28B8C96B1DC}" type="CELLREF">
                      <a:rPr lang="en-US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 algn="l"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[CELLREF]</a:t>
                    </a:fld>
                    <a:endParaRPr lang="en-US" baseline="0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257131378063484"/>
                      <c:h val="0.12485554865487047"/>
                    </c:manualLayout>
                  </c15:layout>
                  <c15:dlblFieldTable>
                    <c15:dlblFTEntry>
                      <c15:txfldGUID>{51163E63-B1DA-4356-BDA6-5DECA423BCFD}</c15:txfldGUID>
                      <c15:f>Process!$G$416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  <c15:dlblFTEntry>
                      <c15:txfldGUID>{54F4229B-1B2C-4811-A806-F28B8C96B1DC}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6E13-48D7-B6F0-CF6D41602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'Pic database'!$N$32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database'!$O$32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6E13-48D7-B6F0-CF6D41602357}"/>
            </c:ext>
          </c:extLst>
        </c:ser>
        <c:ser>
          <c:idx val="39"/>
          <c:order val="38"/>
          <c:tx>
            <c:v>n4-5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6E13-48D7-B6F0-CF6D41602357}"/>
            </c:ext>
          </c:extLst>
        </c:ser>
        <c:ser>
          <c:idx val="40"/>
          <c:order val="39"/>
          <c:tx>
            <c:v>n4-6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6E13-48D7-B6F0-CF6D41602357}"/>
            </c:ext>
          </c:extLst>
        </c:ser>
        <c:ser>
          <c:idx val="41"/>
          <c:order val="40"/>
          <c:tx>
            <c:v>n4-7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6E13-48D7-B6F0-CF6D41602357}"/>
            </c:ext>
          </c:extLst>
        </c:ser>
        <c:ser>
          <c:idx val="42"/>
          <c:order val="41"/>
          <c:tx>
            <c:v>n4-8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6E13-48D7-B6F0-CF6D41602357}"/>
            </c:ext>
          </c:extLst>
        </c:ser>
        <c:ser>
          <c:idx val="43"/>
          <c:order val="42"/>
          <c:tx>
            <c:v>n4-9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6E13-48D7-B6F0-CF6D41602357}"/>
            </c:ext>
          </c:extLst>
        </c:ser>
        <c:ser>
          <c:idx val="44"/>
          <c:order val="43"/>
          <c:tx>
            <c:v>n4-10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'Pic database'!$N$38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6E13-48D7-B6F0-CF6D41602357}"/>
            </c:ext>
          </c:extLst>
        </c:ser>
        <c:ser>
          <c:idx val="45"/>
          <c:order val="44"/>
          <c:tx>
            <c:v>n5-1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6E13-48D7-B6F0-CF6D41602357}"/>
              </c:ext>
            </c:extLst>
          </c:dPt>
          <c:xVal>
            <c:numRef>
              <c:f>'Pic database'!$Q$29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database'!$R$29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6E13-48D7-B6F0-CF6D41602357}"/>
            </c:ext>
          </c:extLst>
        </c:ser>
        <c:ser>
          <c:idx val="46"/>
          <c:order val="45"/>
          <c:tx>
            <c:v>n5-2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'Pic database'!$Q$30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6E13-48D7-B6F0-CF6D41602357}"/>
            </c:ext>
          </c:extLst>
        </c:ser>
        <c:ser>
          <c:idx val="47"/>
          <c:order val="46"/>
          <c:tx>
            <c:v>n5-3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'Pic database'!$Q$31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6E13-48D7-B6F0-CF6D41602357}"/>
            </c:ext>
          </c:extLst>
        </c:ser>
        <c:ser>
          <c:idx val="48"/>
          <c:order val="47"/>
          <c:tx>
            <c:v>n5-4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6E13-48D7-B6F0-CF6D41602357}"/>
            </c:ext>
          </c:extLst>
        </c:ser>
        <c:ser>
          <c:idx val="49"/>
          <c:order val="48"/>
          <c:tx>
            <c:v>n5-5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6E13-48D7-B6F0-CF6D41602357}"/>
            </c:ext>
          </c:extLst>
        </c:ser>
        <c:ser>
          <c:idx val="50"/>
          <c:order val="49"/>
          <c:tx>
            <c:v>n5-6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6E13-48D7-B6F0-CF6D41602357}"/>
            </c:ext>
          </c:extLst>
        </c:ser>
        <c:ser>
          <c:idx val="51"/>
          <c:order val="50"/>
          <c:tx>
            <c:v>n5-7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6E13-48D7-B6F0-CF6D41602357}"/>
            </c:ext>
          </c:extLst>
        </c:ser>
        <c:ser>
          <c:idx val="52"/>
          <c:order val="51"/>
          <c:tx>
            <c:v>n5-8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6E13-48D7-B6F0-CF6D41602357}"/>
            </c:ext>
          </c:extLst>
        </c:ser>
        <c:ser>
          <c:idx val="53"/>
          <c:order val="52"/>
          <c:tx>
            <c:v>n5-9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6E13-48D7-B6F0-CF6D41602357}"/>
            </c:ext>
          </c:extLst>
        </c:ser>
        <c:ser>
          <c:idx val="54"/>
          <c:order val="53"/>
          <c:tx>
            <c:v>n5-10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'Pic database'!$Q$38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6E13-48D7-B6F0-CF6D41602357}"/>
            </c:ext>
          </c:extLst>
        </c:ser>
        <c:ser>
          <c:idx val="55"/>
          <c:order val="54"/>
          <c:tx>
            <c:v>n6-1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'Pic database'!$T$29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database'!$U$29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6E13-48D7-B6F0-CF6D41602357}"/>
            </c:ext>
          </c:extLst>
        </c:ser>
        <c:ser>
          <c:idx val="56"/>
          <c:order val="55"/>
          <c:tx>
            <c:v>n6-2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'Pic database'!$T$30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6E13-48D7-B6F0-CF6D41602357}"/>
            </c:ext>
          </c:extLst>
        </c:ser>
        <c:ser>
          <c:idx val="57"/>
          <c:order val="56"/>
          <c:tx>
            <c:v>n6-3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'Pic database'!$T$31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6E13-48D7-B6F0-CF6D41602357}"/>
            </c:ext>
          </c:extLst>
        </c:ser>
        <c:ser>
          <c:idx val="58"/>
          <c:order val="57"/>
          <c:tx>
            <c:v>n6-4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F-6E13-48D7-B6F0-CF6D41602357}"/>
              </c:ext>
            </c:extLst>
          </c:dPt>
          <c:xVal>
            <c:numRef>
              <c:f>'Pic database'!$T$32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6E13-48D7-B6F0-CF6D41602357}"/>
            </c:ext>
          </c:extLst>
        </c:ser>
        <c:ser>
          <c:idx val="59"/>
          <c:order val="58"/>
          <c:tx>
            <c:v>n6-5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'Pic database'!$T$33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6E13-48D7-B6F0-CF6D41602357}"/>
            </c:ext>
          </c:extLst>
        </c:ser>
        <c:ser>
          <c:idx val="60"/>
          <c:order val="59"/>
          <c:tx>
            <c:v>n6-6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'Pic database'!$T$34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6E13-48D7-B6F0-CF6D41602357}"/>
            </c:ext>
          </c:extLst>
        </c:ser>
        <c:ser>
          <c:idx val="61"/>
          <c:order val="60"/>
          <c:tx>
            <c:v>n6-7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'Pic database'!$T$35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6E13-48D7-B6F0-CF6D41602357}"/>
            </c:ext>
          </c:extLst>
        </c:ser>
        <c:ser>
          <c:idx val="62"/>
          <c:order val="61"/>
          <c:tx>
            <c:v>n6-8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'Pic database'!$T$36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6E13-48D7-B6F0-CF6D41602357}"/>
            </c:ext>
          </c:extLst>
        </c:ser>
        <c:ser>
          <c:idx val="63"/>
          <c:order val="62"/>
          <c:tx>
            <c:v>n6-9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'Pic database'!$T$37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6E13-48D7-B6F0-CF6D41602357}"/>
            </c:ext>
          </c:extLst>
        </c:ser>
        <c:ser>
          <c:idx val="64"/>
          <c:order val="63"/>
          <c:tx>
            <c:v>n6-10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'Pic database'!$T$38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6E13-48D7-B6F0-CF6D41602357}"/>
            </c:ext>
          </c:extLst>
        </c:ser>
        <c:ser>
          <c:idx val="24"/>
          <c:order val="64"/>
          <c:tx>
            <c:v>t1-x1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database'!$C$49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database'!$D$49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6E13-48D7-B6F0-CF6D41602357}"/>
            </c:ext>
          </c:extLst>
        </c:ser>
        <c:ser>
          <c:idx val="65"/>
          <c:order val="65"/>
          <c:tx>
            <c:v>t1-x2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7.030936118923263E-2"/>
                  <c:y val="-8.03933718724481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d</a:t>
                    </a:r>
                    <a:r>
                      <a:rPr lang="en-US" b="1" baseline="-25000"/>
                      <a:t>b-badan</a:t>
                    </a:r>
                    <a:r>
                      <a:rPr lang="en-US" b="1" baseline="0"/>
                      <a:t> = </a:t>
                    </a:r>
                    <a:fld id="{F55741C5-7E8E-4299-9351-4552A4CAC3E7}" type="CELLREF">
                      <a:rPr lang="en-US" b="1"/>
                      <a:pPr algn="l">
                        <a:defRPr b="1"/>
                      </a:pPr>
                      <a:t>[CELLREF]</a:t>
                    </a:fld>
                    <a:r>
                      <a:rPr lang="en-US" b="1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50060265166732"/>
                      <c:h val="9.365827823140209E-2"/>
                    </c:manualLayout>
                  </c15:layout>
                  <c15:dlblFieldTable>
                    <c15:dlblFTEntry>
                      <c15:txfldGUID>{F55741C5-7E8E-4299-9351-4552A4CAC3E7}</c15:txfldGUID>
                      <c15:f>Input!$H$24</c15:f>
                      <c15:dlblFieldTableCache>
                        <c:ptCount val="1"/>
                        <c:pt idx="0">
                          <c:v>13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6E13-48D7-B6F0-CF6D41602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database'!$E$49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database'!$D$49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6E13-48D7-B6F0-CF6D41602357}"/>
            </c:ext>
          </c:extLst>
        </c:ser>
        <c:ser>
          <c:idx val="67"/>
          <c:order val="66"/>
          <c:tx>
            <c:v>t2a-x1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database'!$C$50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database'!$D$50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6E13-48D7-B6F0-CF6D41602357}"/>
            </c:ext>
          </c:extLst>
        </c:ser>
        <c:ser>
          <c:idx val="68"/>
          <c:order val="67"/>
          <c:tx>
            <c:v>t2a-x2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database'!$E$50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database'!$D$50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6E13-48D7-B6F0-CF6D41602357}"/>
            </c:ext>
          </c:extLst>
        </c:ser>
        <c:ser>
          <c:idx val="69"/>
          <c:order val="68"/>
          <c:tx>
            <c:v>t3-x1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database'!$C$51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database'!$D$51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6E13-48D7-B6F0-CF6D41602357}"/>
            </c:ext>
          </c:extLst>
        </c:ser>
        <c:ser>
          <c:idx val="70"/>
          <c:order val="69"/>
          <c:tx>
            <c:v>t3-x2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database'!$E$51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database'!$D$51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6E13-48D7-B6F0-CF6D41602357}"/>
            </c:ext>
          </c:extLst>
        </c:ser>
        <c:ser>
          <c:idx val="66"/>
          <c:order val="70"/>
          <c:tx>
            <c:v>Sengkang Atas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database'!$H$42:$I$42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database'!$H$43:$I$43</c:f>
              <c:numCache>
                <c:formatCode>General</c:formatCode>
                <c:ptCount val="2"/>
                <c:pt idx="0">
                  <c:v>104.04</c:v>
                </c:pt>
                <c:pt idx="1">
                  <c:v>104.04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6E13-48D7-B6F0-CF6D41602357}"/>
            </c:ext>
          </c:extLst>
        </c:ser>
        <c:ser>
          <c:idx val="71"/>
          <c:order val="71"/>
          <c:tx>
            <c:v>Sengkang bawah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database'!$H$45:$I$45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database'!$H$46:$I$46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6E13-48D7-B6F0-CF6D41602357}"/>
            </c:ext>
          </c:extLst>
        </c:ser>
        <c:ser>
          <c:idx val="72"/>
          <c:order val="72"/>
          <c:tx>
            <c:v>Sengkang Kanan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487535632737543E-2"/>
                  <c:y val="-1.14501828505100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1"/>
                      <a:t>d</a:t>
                    </a:r>
                    <a:r>
                      <a:rPr lang="en-US" sz="900" b="1" baseline="-25000"/>
                      <a:t>b-sengkang</a:t>
                    </a:r>
                    <a:r>
                      <a:rPr lang="en-US" sz="900" b="1"/>
                      <a:t> = </a:t>
                    </a:r>
                    <a:fld id="{E3891ED9-24FB-424B-8B68-97CDBC70FCF0}" type="CELLREF">
                      <a:rPr lang="en-US" sz="900" b="1"/>
                      <a:pPr algn="l">
                        <a:defRPr b="1"/>
                      </a:pPr>
                      <a:t>[CELLREF]</a:t>
                    </a:fld>
                    <a:r>
                      <a:rPr lang="en-US" sz="900" b="1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99992628493993"/>
                      <c:h val="5.337801458608657E-2"/>
                    </c:manualLayout>
                  </c15:layout>
                  <c15:dlblFieldTable>
                    <c15:dlblFTEntry>
                      <c15:txfldGUID>{E3891ED9-24FB-424B-8B68-97CDBC70FCF0}</c15:txfldGUID>
                      <c15:f>Input!$H$23</c15:f>
                      <c15:dlblFieldTableCache>
                        <c:ptCount val="1"/>
                        <c:pt idx="0">
                          <c:v>12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6E13-48D7-B6F0-CF6D41602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database'!$J$42:$L$42</c:f>
              <c:numCache>
                <c:formatCode>0.00</c:formatCode>
                <c:ptCount val="3"/>
                <c:pt idx="0">
                  <c:v>84.6</c:v>
                </c:pt>
                <c:pt idx="1">
                  <c:v>84.6</c:v>
                </c:pt>
                <c:pt idx="2">
                  <c:v>84.6</c:v>
                </c:pt>
              </c:numCache>
            </c:numRef>
          </c:xVal>
          <c:yVal>
            <c:numRef>
              <c:f>'Pic database'!$J$43:$L$43</c:f>
              <c:numCache>
                <c:formatCode>0.00</c:formatCode>
                <c:ptCount val="3"/>
                <c:pt idx="0">
                  <c:v>102</c:v>
                </c:pt>
                <c:pt idx="1">
                  <c:v>52</c:v>
                </c:pt>
                <c:pt idx="2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6E13-48D7-B6F0-CF6D41602357}"/>
            </c:ext>
          </c:extLst>
        </c:ser>
        <c:ser>
          <c:idx val="73"/>
          <c:order val="73"/>
          <c:tx>
            <c:v>Sengkang kiri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database'!$J$45:$K$45</c:f>
              <c:numCache>
                <c:formatCode>0.00</c:formatCode>
                <c:ptCount val="2"/>
                <c:pt idx="0">
                  <c:v>35.4</c:v>
                </c:pt>
                <c:pt idx="1">
                  <c:v>35.4</c:v>
                </c:pt>
              </c:numCache>
            </c:numRef>
          </c:xVal>
          <c:yVal>
            <c:numRef>
              <c:f>'Pic database'!$J$46:$K$46</c:f>
              <c:numCache>
                <c:formatCode>0.00</c:formatCode>
                <c:ptCount val="2"/>
                <c:pt idx="0">
                  <c:v>102</c:v>
                </c:pt>
                <c:pt idx="1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2-6E13-48D7-B6F0-CF6D41602357}"/>
            </c:ext>
          </c:extLst>
        </c:ser>
        <c:ser>
          <c:idx val="75"/>
          <c:order val="74"/>
          <c:tx>
            <c:v>s2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3-6E13-48D7-B6F0-CF6D41602357}"/>
            </c:ext>
          </c:extLst>
        </c:ser>
        <c:ser>
          <c:idx val="76"/>
          <c:order val="75"/>
          <c:tx>
            <c:v>s3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4-6E13-48D7-B6F0-CF6D41602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  <c:extLst>
          <c:ext xmlns:c15="http://schemas.microsoft.com/office/drawing/2012/chart" uri="{02D57815-91ED-43cb-92C2-25804820EDAC}">
            <c15:filteredScatterSeries>
              <c15:ser>
                <c:idx val="77"/>
                <c:order val="76"/>
                <c:tx>
                  <c:v>dimensi h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55-6E13-48D7-B6F0-CF6D41602357}"/>
                    </c:ext>
                  </c:extLst>
                </c:dPt>
                <c:xVal>
                  <c:numRef>
                    <c:extLst>
                      <c:ext uri="{02D57815-91ED-43cb-92C2-25804820EDAC}">
                        <c15:formulaRef>
                          <c15:sqref>'Pic database'!$D$56:$D$57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'Pic database'!$E$56:$E$57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60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56-6E13-48D7-B6F0-CF6D41602357}"/>
                  </c:ext>
                </c:extLst>
              </c15:ser>
            </c15:filteredScatterSeries>
            <c15:filteredScatterSeries>
              <c15:ser>
                <c:idx val="78"/>
                <c:order val="77"/>
                <c:tx>
                  <c:v>dimensi b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6E13-48D7-B6F0-CF6D41602357}"/>
                    </c:ext>
                  </c:extLst>
                </c:dPt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database'!$B$56:$B$57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30</c:v>
                      </c:pt>
                      <c:pt idx="1">
                        <c:v>60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database'!$C$56:$C$57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-5</c:v>
                      </c:pt>
                      <c:pt idx="1">
                        <c:v>-5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8-6E13-48D7-B6F0-CF6D41602357}"/>
                  </c:ext>
                </c:extLst>
              </c15:ser>
            </c15:filteredScatterSeries>
            <c15:filteredScatterSeries>
              <c15:ser>
                <c:idx val="74"/>
                <c:order val="78"/>
                <c:tx>
                  <c:v>dimensi b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6E13-48D7-B6F0-CF6D41602357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0.18385632569471416"/>
                        <c:y val="3.7735663348685188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b</a:t>
                          </a:r>
                          <a:r>
                            <a:rPr lang="en-US" sz="1000" b="1" baseline="-25000"/>
                            <a:t>w</a:t>
                          </a:r>
                          <a:endParaRPr lang="en-US" sz="1000" b="1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32766816143497751"/>
                            <c:h val="6.596716683999404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5A-6E13-48D7-B6F0-CF6D4160235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database'!$B$57:$B$58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60</c:v>
                      </c:pt>
                      <c:pt idx="1">
                        <c:v>90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database'!$C$57:$C$58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-5</c:v>
                      </c:pt>
                      <c:pt idx="1">
                        <c:v>-5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B-6E13-48D7-B6F0-CF6D41602357}"/>
                  </c:ext>
                </c:extLst>
              </c15:ser>
            </c15:filteredScatterSeries>
            <c15:filteredScatterSeries>
              <c15:ser>
                <c:idx val="79"/>
                <c:order val="79"/>
                <c:tx>
                  <c:v>dimensi h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C-6E13-48D7-B6F0-CF6D41602357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0.16426481675661764"/>
                        <c:y val="-9.4630712956732897E-3"/>
                      </c:manualLayout>
                    </c:layout>
                    <c:tx>
                      <c:rich>
                        <a:bodyPr rot="-5400000" spcFirstLastPara="1" vertOverflow="ellipsis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h</a:t>
                          </a: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-5400000" spcFirstLastPara="1" vertOverflow="ellipsis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21315505532247889"/>
                            <c:h val="6.4469967415739543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5D-6E13-48D7-B6F0-CF6D4160235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database'!$D$57:$D$58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database'!$E$57:$E$58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60</c:v>
                      </c:pt>
                      <c:pt idx="1">
                        <c:v>110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E-6E13-48D7-B6F0-CF6D41602357}"/>
                  </c:ext>
                </c:extLst>
              </c15:ser>
            </c15:filteredScatterSeries>
            <c15:filteredScatterSeries>
              <c15:ser>
                <c:idx val="80"/>
                <c:order val="80"/>
                <c:tx>
                  <c:v>dimensi cc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rgbClr val="C00000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E13-48D7-B6F0-CF6D41602357}"/>
                    </c:ext>
                  </c:extLst>
                </c:dPt>
                <c:dPt>
                  <c:idx val="1"/>
                  <c:marker>
                    <c:symbol val="none"/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6E13-48D7-B6F0-CF6D41602357}"/>
                    </c:ext>
                  </c:extLst>
                </c:dPt>
                <c:dPt>
                  <c:idx val="2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E13-48D7-B6F0-CF6D41602357}"/>
                    </c:ext>
                  </c:extLst>
                </c:dPt>
                <c:dLbls>
                  <c:dLbl>
                    <c:idx val="2"/>
                    <c:layout>
                      <c:manualLayout>
                        <c:x val="-8.4742734868062056E-3"/>
                        <c:y val="1.382339135587755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l"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c</a:t>
                          </a:r>
                          <a:r>
                            <a:rPr lang="en-US" sz="1000" b="1" baseline="-25000"/>
                            <a:t>c</a:t>
                          </a:r>
                          <a:endParaRPr lang="en-US" sz="1000" b="1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l"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347018749188112"/>
                            <c:h val="5.4064026663026801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61-6E13-48D7-B6F0-CF6D4160235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database'!$F$56:$F$58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99.000000000000014</c:v>
                      </c:pt>
                      <c:pt idx="1">
                        <c:v>99.000000000000014</c:v>
                      </c:pt>
                      <c:pt idx="2">
                        <c:v>99.000000000000014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database'!$G$56:$G$58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10</c:v>
                      </c:pt>
                      <c:pt idx="1">
                        <c:v>13</c:v>
                      </c:pt>
                      <c:pt idx="2">
                        <c:v>16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6E13-48D7-B6F0-CF6D41602357}"/>
                  </c:ext>
                </c:extLst>
              </c15:ser>
            </c15:filteredScatterSeries>
          </c:ext>
        </c:extLst>
      </c:scatterChart>
      <c:valAx>
        <c:axId val="671018880"/>
        <c:scaling>
          <c:orientation val="minMax"/>
          <c:max val="120"/>
          <c:min val="-10"/>
        </c:scaling>
        <c:delete val="1"/>
        <c:axPos val="b"/>
        <c:numFmt formatCode="General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20"/>
          <c:min val="-10"/>
        </c:scaling>
        <c:delete val="1"/>
        <c:axPos val="l"/>
        <c:numFmt formatCode="General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783777018390902E-2"/>
          <c:y val="1.4208750173073307E-2"/>
          <c:w val="0.97477524971902263"/>
          <c:h val="0.98417768997249422"/>
        </c:manualLayout>
      </c:layout>
      <c:scatterChart>
        <c:scatterStyle val="lineMarker"/>
        <c:varyColors val="0"/>
        <c:ser>
          <c:idx val="80"/>
          <c:order val="0"/>
          <c:tx>
            <c:v>Elemen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database'!$C$63:$C$67</c:f>
              <c:numCache>
                <c:formatCode>0.00</c:formatCode>
                <c:ptCount val="5"/>
                <c:pt idx="0">
                  <c:v>-15</c:v>
                </c:pt>
                <c:pt idx="1">
                  <c:v>-15</c:v>
                </c:pt>
                <c:pt idx="2">
                  <c:v>15</c:v>
                </c:pt>
                <c:pt idx="3">
                  <c:v>15</c:v>
                </c:pt>
                <c:pt idx="4">
                  <c:v>-15</c:v>
                </c:pt>
              </c:numCache>
            </c:numRef>
          </c:xVal>
          <c:yVal>
            <c:numRef>
              <c:f>'Pic database'!$D$63:$D$67</c:f>
              <c:numCache>
                <c:formatCode>0.00</c:formatCode>
                <c:ptCount val="5"/>
                <c:pt idx="0">
                  <c:v>-1</c:v>
                </c:pt>
                <c:pt idx="1">
                  <c:v>1</c:v>
                </c:pt>
                <c:pt idx="2">
                  <c:v>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C-4AA9-B04A-CB96C33C5ECC}"/>
            </c:ext>
          </c:extLst>
        </c:ser>
        <c:ser>
          <c:idx val="0"/>
          <c:order val="1"/>
          <c:tx>
            <c:v>Tumpuan kiri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database'!$C$71:$C$72</c:f>
              <c:numCache>
                <c:formatCode>0.00</c:formatCode>
                <c:ptCount val="2"/>
                <c:pt idx="0">
                  <c:v>-15</c:v>
                </c:pt>
                <c:pt idx="1">
                  <c:v>-15</c:v>
                </c:pt>
              </c:numCache>
            </c:numRef>
          </c:xVal>
          <c:yVal>
            <c:numRef>
              <c:f>'Pic database'!$D$71:$D$72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C-4AA9-B04A-CB96C33C5ECC}"/>
            </c:ext>
          </c:extLst>
        </c:ser>
        <c:ser>
          <c:idx val="1"/>
          <c:order val="2"/>
          <c:tx>
            <c:v>Tumpuan kanan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database'!$C$73:$C$74</c:f>
              <c:numCache>
                <c:formatCode>0.00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'Pic database'!$D$73:$D$74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CC-4AA9-B04A-CB96C33C5ECC}"/>
            </c:ext>
          </c:extLst>
        </c:ser>
        <c:ser>
          <c:idx val="2"/>
          <c:order val="3"/>
          <c:tx>
            <c:v>arsir kiri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database'!$C$78:$C$79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database'!$D$78:$D$79</c:f>
              <c:numCache>
                <c:formatCode>0.00</c:formatCode>
                <c:ptCount val="2"/>
                <c:pt idx="0">
                  <c:v>2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CC-4AA9-B04A-CB96C33C5ECC}"/>
            </c:ext>
          </c:extLst>
        </c:ser>
        <c:ser>
          <c:idx val="3"/>
          <c:order val="4"/>
          <c:tx>
            <c:v>arsir kiri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database'!$C$80:$C$81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database'!$D$80:$D$81</c:f>
              <c:numCache>
                <c:formatCode>0.00</c:formatCode>
                <c:ptCount val="2"/>
                <c:pt idx="0">
                  <c:v>0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CC-4AA9-B04A-CB96C33C5ECC}"/>
            </c:ext>
          </c:extLst>
        </c:ser>
        <c:ser>
          <c:idx val="4"/>
          <c:order val="5"/>
          <c:tx>
            <c:v>arsir kiri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database'!$C$82:$C$83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database'!$D$82:$D$83</c:f>
              <c:numCache>
                <c:formatCode>0.00</c:formatCode>
                <c:ptCount val="2"/>
                <c:pt idx="0">
                  <c:v>-2</c:v>
                </c:pt>
                <c:pt idx="1">
                  <c:v>-3.5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CC-4AA9-B04A-CB96C33C5ECC}"/>
            </c:ext>
          </c:extLst>
        </c:ser>
        <c:ser>
          <c:idx val="5"/>
          <c:order val="6"/>
          <c:tx>
            <c:v>arsir kanan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database'!$C$84:$C$85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database'!$D$84:$D$85</c:f>
              <c:numCache>
                <c:formatCode>0.00</c:formatCode>
                <c:ptCount val="2"/>
                <c:pt idx="0">
                  <c:v>1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6CC-4AA9-B04A-CB96C33C5ECC}"/>
            </c:ext>
          </c:extLst>
        </c:ser>
        <c:ser>
          <c:idx val="6"/>
          <c:order val="7"/>
          <c:tx>
            <c:v>arsir kanan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database'!$C$86:$C$87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database'!$D$86:$D$87</c:f>
              <c:numCache>
                <c:formatCode>0.00</c:formatCode>
                <c:ptCount val="2"/>
                <c:pt idx="0">
                  <c:v>-1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6CC-4AA9-B04A-CB96C33C5ECC}"/>
            </c:ext>
          </c:extLst>
        </c:ser>
        <c:ser>
          <c:idx val="7"/>
          <c:order val="8"/>
          <c:tx>
            <c:v>arsir kanan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database'!$C$88:$C$89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database'!$D$88:$D$89</c:f>
              <c:numCache>
                <c:formatCode>0.00</c:formatCode>
                <c:ptCount val="2"/>
                <c:pt idx="0">
                  <c:v>-3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6CC-4AA9-B04A-CB96C33C5ECC}"/>
            </c:ext>
          </c:extLst>
        </c:ser>
        <c:ser>
          <c:idx val="8"/>
          <c:order val="9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database'!$G$70:$G$71</c:f>
              <c:numCache>
                <c:formatCode>0.00</c:formatCode>
                <c:ptCount val="2"/>
                <c:pt idx="0">
                  <c:v>-11.25</c:v>
                </c:pt>
                <c:pt idx="1">
                  <c:v>-11.25</c:v>
                </c:pt>
              </c:numCache>
            </c:numRef>
          </c:xVal>
          <c:yVal>
            <c:numRef>
              <c:f>'Pic database'!$H$70:$H$71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6CC-4AA9-B04A-CB96C33C5ECC}"/>
            </c:ext>
          </c:extLst>
        </c:ser>
        <c:ser>
          <c:idx val="9"/>
          <c:order val="10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  <a:tailEnd type="triangle" w="sm" len="sm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3812781880675543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6CC-4AA9-B04A-CB96C33C5E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database'!$G$72:$G$73</c:f>
              <c:numCache>
                <c:formatCode>0.00</c:formatCode>
                <c:ptCount val="2"/>
                <c:pt idx="0">
                  <c:v>-11.25</c:v>
                </c:pt>
                <c:pt idx="1">
                  <c:v>-10.25</c:v>
                </c:pt>
              </c:numCache>
            </c:numRef>
          </c:xVal>
          <c:yVal>
            <c:numRef>
              <c:f>'Pic database'!$H$72:$H$73</c:f>
              <c:numCache>
                <c:formatCode>0.00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6CC-4AA9-B04A-CB96C33C5ECC}"/>
            </c:ext>
          </c:extLst>
        </c:ser>
        <c:ser>
          <c:idx val="10"/>
          <c:order val="11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  <a:tailEnd type="triangle" w="sm" len="sm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381278188067554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6CC-4AA9-B04A-CB96C33C5E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database'!$G$74:$G$75</c:f>
              <c:numCache>
                <c:formatCode>0.00</c:formatCode>
                <c:ptCount val="2"/>
                <c:pt idx="0">
                  <c:v>-11.25</c:v>
                </c:pt>
                <c:pt idx="1">
                  <c:v>-10.25</c:v>
                </c:pt>
              </c:numCache>
            </c:numRef>
          </c:xVal>
          <c:yVal>
            <c:numRef>
              <c:f>'Pic database'!$H$74:$H$75</c:f>
              <c:numCache>
                <c:formatCode>0.00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6CC-4AA9-B04A-CB96C33C5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</c:scatterChart>
      <c:valAx>
        <c:axId val="671018880"/>
        <c:scaling>
          <c:orientation val="minMax"/>
          <c:max val="20"/>
          <c:min val="-20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Tampak samping bentang balok</a:t>
                </a:r>
                <a:endParaRPr lang="id-ID" b="1"/>
              </a:p>
            </c:rich>
          </c:tx>
          <c:layout>
            <c:manualLayout>
              <c:xMode val="edge"/>
              <c:yMode val="edge"/>
              <c:x val="0.26826216986295703"/>
              <c:y val="0.15035326709949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5"/>
          <c:min val="-15"/>
        </c:scaling>
        <c:delete val="1"/>
        <c:axPos val="l"/>
        <c:numFmt formatCode="0.00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007926557915296E-2"/>
          <c:y val="0.10031565570202439"/>
          <c:w val="0.97477524971902263"/>
          <c:h val="0.8973789691916414"/>
        </c:manualLayout>
      </c:layout>
      <c:scatterChart>
        <c:scatterStyle val="lineMarker"/>
        <c:varyColors val="0"/>
        <c:ser>
          <c:idx val="60"/>
          <c:order val="0"/>
          <c:tx>
            <c:v>ket tump kanan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bg1"/>
              </a:solidFill>
              <a:ln w="9525">
                <a:solidFill>
                  <a:schemeClr val="bg1"/>
                </a:solidFill>
              </a:ln>
              <a:effectLst/>
            </c:spPr>
          </c:marker>
          <c:dPt>
            <c:idx val="0"/>
            <c:marker>
              <c:symbol val="circle"/>
              <c:size val="2"/>
              <c:spPr>
                <a:solidFill>
                  <a:schemeClr val="bg1">
                    <a:alpha val="0"/>
                  </a:schemeClr>
                </a:solidFill>
                <a:ln w="9525">
                  <a:solidFill>
                    <a:schemeClr val="bg1">
                      <a:alpha val="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938-48CE-A424-4D4080BD854A}"/>
              </c:ext>
            </c:extLst>
          </c:dPt>
          <c:dLbls>
            <c:dLbl>
              <c:idx val="0"/>
              <c:layout>
                <c:manualLayout>
                  <c:x val="-7.5767009149769568E-2"/>
                  <c:y val="-0.217100616856773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tul. transversal tumpuan</a:t>
                    </a:r>
                  </a:p>
                  <a:p>
                    <a:pPr>
                      <a:defRPr b="1"/>
                    </a:pPr>
                    <a:fld id="{CC210E0E-AF75-4F29-80E1-F34055896D75}" type="CELLREF">
                      <a:rPr lang="en-US" b="1"/>
                      <a:pPr>
                        <a:defRPr b="1"/>
                      </a:pPr>
                      <a:t>[CELLREF]</a:t>
                    </a:fld>
                    <a:r>
                      <a:rPr lang="en-US" b="1"/>
                      <a:t> </a:t>
                    </a:r>
                    <a:fld id="{C4494017-4A18-4B9F-9500-6B0348B76773}" type="CELLREF">
                      <a:rPr lang="en-US" b="1"/>
                      <a:pPr>
                        <a:defRPr b="1"/>
                      </a:pPr>
                      <a:t>[CELLREF]</a:t>
                    </a:fld>
                    <a:r>
                      <a:rPr lang="en-US" b="1"/>
                      <a:t> - </a:t>
                    </a:r>
                    <a:fld id="{5A73089D-2957-4CA7-B1E7-D72DC52F7E4D}" type="CELLREF">
                      <a:rPr lang="en-US" b="1"/>
                      <a:pPr>
                        <a:defRPr b="1"/>
                      </a:pPr>
                      <a:t>[CELLREF]</a:t>
                    </a:fld>
                    <a:endParaRPr lang="en-US" b="1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{CC210E0E-AF75-4F29-80E1-F34055896D75}</c15:txfldGUID>
                      <c15:f>Process!$F$445</c15:f>
                      <c15:dlblFieldTableCache>
                        <c:ptCount val="1"/>
                        <c:pt idx="0">
                          <c:v>2</c:v>
                        </c:pt>
                      </c15:dlblFieldTableCache>
                    </c15:dlblFTEntry>
                    <c15:dlblFTEntry>
                      <c15:txfldGUID>{C4494017-4A18-4B9F-9500-6B0348B76773}</c15:txfldGUID>
                      <c15:f>Process!$G$445</c15:f>
                      <c15:dlblFieldTableCache>
                        <c:ptCount val="1"/>
                        <c:pt idx="0">
                          <c:v>D12</c:v>
                        </c:pt>
                      </c15:dlblFieldTableCache>
                    </c15:dlblFTEntry>
                    <c15:dlblFTEntry>
                      <c15:txfldGUID>{5A73089D-2957-4CA7-B1E7-D72DC52F7E4D}</c15:txfldGUID>
                      <c15:f>Process!$H$445</c15:f>
                      <c15:dlblFieldTableCache>
                        <c:ptCount val="1"/>
                        <c:pt idx="0">
                          <c:v>150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938-48CE-A424-4D4080BD8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database'!$U$65</c:f>
              <c:numCache>
                <c:formatCode>0.00</c:formatCode>
                <c:ptCount val="1"/>
                <c:pt idx="0">
                  <c:v>12</c:v>
                </c:pt>
              </c:numCache>
            </c:numRef>
          </c:xVal>
          <c:yVal>
            <c:numRef>
              <c:f>'Pic database'!$V$65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38-48CE-A424-4D4080BD854A}"/>
            </c:ext>
          </c:extLst>
        </c:ser>
        <c:ser>
          <c:idx val="59"/>
          <c:order val="1"/>
          <c:tx>
            <c:v>ket lap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bg1">
                  <a:alpha val="0"/>
                </a:schemeClr>
              </a:solidFill>
              <a:ln w="9525">
                <a:solidFill>
                  <a:schemeClr val="bg1">
                    <a:alpha val="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0299660228302361"/>
                  <c:y val="-0.214479934747608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tul. transversal lapangan</a:t>
                    </a:r>
                  </a:p>
                  <a:p>
                    <a:fld id="{A10315BE-F3E3-4969-AE2C-73D2AE62FDA0}" type="CELLREF">
                      <a:rPr lang="en-US"/>
                      <a:pPr/>
                      <a:t>[CELLREF]</a:t>
                    </a:fld>
                    <a:r>
                      <a:rPr lang="en-US"/>
                      <a:t> </a:t>
                    </a:r>
                    <a:fld id="{0F0D10E6-D350-468D-97CC-82B986B5AEB6}" type="CELLREF">
                      <a:rPr lang="en-US"/>
                      <a:pPr/>
                      <a:t>[CELLREF]</a:t>
                    </a:fld>
                    <a:r>
                      <a:rPr lang="en-US"/>
                      <a:t> - </a:t>
                    </a:r>
                    <a:fld id="{B6E32858-858C-4BE3-A5BE-CBCDEB3343C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{A10315BE-F3E3-4969-AE2C-73D2AE62FDA0}</c15:txfldGUID>
                      <c15:f>Process!$F$456</c15:f>
                      <c15:dlblFieldTableCache>
                        <c:ptCount val="1"/>
                        <c:pt idx="0">
                          <c:v>2</c:v>
                        </c:pt>
                      </c15:dlblFieldTableCache>
                    </c15:dlblFTEntry>
                    <c15:dlblFTEntry>
                      <c15:txfldGUID>{0F0D10E6-D350-468D-97CC-82B986B5AEB6}</c15:txfldGUID>
                      <c15:f>Process!$G$456</c15:f>
                      <c15:dlblFieldTableCache>
                        <c:ptCount val="1"/>
                        <c:pt idx="0">
                          <c:v>D12</c:v>
                        </c:pt>
                      </c15:dlblFieldTableCache>
                    </c15:dlblFTEntry>
                    <c15:dlblFTEntry>
                      <c15:txfldGUID>{B6E32858-858C-4BE3-A5BE-CBCDEB3343CC}</c15:txfldGUID>
                      <c15:f>Process!$H$456</c15:f>
                      <c15:dlblFieldTableCache>
                        <c:ptCount val="1"/>
                        <c:pt idx="0">
                          <c:v>150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938-48CE-A424-4D4080BD8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database'!$U$64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'Pic database'!$V$64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938-48CE-A424-4D4080BD854A}"/>
            </c:ext>
          </c:extLst>
        </c:ser>
        <c:ser>
          <c:idx val="58"/>
          <c:order val="2"/>
          <c:tx>
            <c:v>ket tump kiri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bg1">
                  <a:alpha val="0"/>
                </a:schemeClr>
              </a:solidFill>
              <a:ln w="9525">
                <a:solidFill>
                  <a:schemeClr val="bg1">
                    <a:alpha val="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5070851771653604"/>
                  <c:y val="-0.2281567194189809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tul. transversal tumpuan</a:t>
                    </a:r>
                  </a:p>
                  <a:p>
                    <a:pPr>
                      <a:defRPr/>
                    </a:pPr>
                    <a:fld id="{978D2004-BB08-455F-95BD-A2C5C7A29EB9}" type="CELLREF">
                      <a:rPr lang="en-US" b="1"/>
                      <a:pPr>
                        <a:defRPr/>
                      </a:pPr>
                      <a:t>[CELLREF]</a:t>
                    </a:fld>
                    <a:r>
                      <a:rPr lang="en-US" b="1"/>
                      <a:t> </a:t>
                    </a:r>
                    <a:fld id="{2939BBC2-7280-42F5-83C2-E72DCEF20B00}" type="CELLREF">
                      <a:rPr lang="en-US" b="1"/>
                      <a:pPr>
                        <a:defRPr/>
                      </a:pPr>
                      <a:t>[CELLREF]</a:t>
                    </a:fld>
                    <a:r>
                      <a:rPr lang="en-US" b="1" baseline="0"/>
                      <a:t> - </a:t>
                    </a:r>
                    <a:fld id="{7CC1437A-518B-4820-B694-263D4C817531}" type="CELLREF">
                      <a:rPr lang="en-US" b="1"/>
                      <a:pPr>
                        <a:defRPr/>
                      </a:pPr>
                      <a:t>[CELLREF]</a:t>
                    </a:fld>
                    <a:endParaRPr lang="en-US" b="1"/>
                  </a:p>
                  <a:p>
                    <a:pPr>
                      <a:defRPr/>
                    </a:pPr>
                    <a:endParaRPr lang="en-ID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283390267747191"/>
                      <c:h val="0.13528290009364399"/>
                    </c:manualLayout>
                  </c15:layout>
                  <c15:dlblFieldTable>
                    <c15:dlblFTEntry>
                      <c15:txfldGUID>{978D2004-BB08-455F-95BD-A2C5C7A29EB9}</c15:txfldGUID>
                      <c15:f>Process!$F$445</c15:f>
                      <c15:dlblFieldTableCache>
                        <c:ptCount val="1"/>
                        <c:pt idx="0">
                          <c:v>2</c:v>
                        </c:pt>
                      </c15:dlblFieldTableCache>
                    </c15:dlblFTEntry>
                    <c15:dlblFTEntry>
                      <c15:txfldGUID>{2939BBC2-7280-42F5-83C2-E72DCEF20B00}</c15:txfldGUID>
                      <c15:f>Process!$G$445</c15:f>
                      <c15:dlblFieldTableCache>
                        <c:ptCount val="1"/>
                        <c:pt idx="0">
                          <c:v>D12</c:v>
                        </c:pt>
                      </c15:dlblFieldTableCache>
                    </c15:dlblFTEntry>
                    <c15:dlblFTEntry>
                      <c15:txfldGUID>{7CC1437A-518B-4820-B694-263D4C817531}</c15:txfldGUID>
                      <c15:f>Process!$H$445</c15:f>
                      <c15:dlblFieldTableCache>
                        <c:ptCount val="1"/>
                        <c:pt idx="0">
                          <c:v>150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6938-48CE-A424-4D4080BD8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database'!$U$63</c:f>
              <c:numCache>
                <c:formatCode>0.00</c:formatCode>
                <c:ptCount val="1"/>
                <c:pt idx="0">
                  <c:v>-12</c:v>
                </c:pt>
              </c:numCache>
            </c:numRef>
          </c:xVal>
          <c:yVal>
            <c:numRef>
              <c:f>'Pic database'!$V$63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938-48CE-A424-4D4080BD854A}"/>
            </c:ext>
          </c:extLst>
        </c:ser>
        <c:ser>
          <c:idx val="80"/>
          <c:order val="3"/>
          <c:tx>
            <c:v>Elemen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database'!$C$63:$C$67</c:f>
              <c:numCache>
                <c:formatCode>0.00</c:formatCode>
                <c:ptCount val="5"/>
                <c:pt idx="0">
                  <c:v>-15</c:v>
                </c:pt>
                <c:pt idx="1">
                  <c:v>-15</c:v>
                </c:pt>
                <c:pt idx="2">
                  <c:v>15</c:v>
                </c:pt>
                <c:pt idx="3">
                  <c:v>15</c:v>
                </c:pt>
                <c:pt idx="4">
                  <c:v>-15</c:v>
                </c:pt>
              </c:numCache>
            </c:numRef>
          </c:xVal>
          <c:yVal>
            <c:numRef>
              <c:f>'Pic database'!$D$63:$D$67</c:f>
              <c:numCache>
                <c:formatCode>0.00</c:formatCode>
                <c:ptCount val="5"/>
                <c:pt idx="0">
                  <c:v>-1</c:v>
                </c:pt>
                <c:pt idx="1">
                  <c:v>1</c:v>
                </c:pt>
                <c:pt idx="2">
                  <c:v>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938-48CE-A424-4D4080BD854A}"/>
            </c:ext>
          </c:extLst>
        </c:ser>
        <c:ser>
          <c:idx val="0"/>
          <c:order val="4"/>
          <c:tx>
            <c:v>Tumpuan kiri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database'!$C$71:$C$72</c:f>
              <c:numCache>
                <c:formatCode>0.00</c:formatCode>
                <c:ptCount val="2"/>
                <c:pt idx="0">
                  <c:v>-15</c:v>
                </c:pt>
                <c:pt idx="1">
                  <c:v>-15</c:v>
                </c:pt>
              </c:numCache>
            </c:numRef>
          </c:xVal>
          <c:yVal>
            <c:numRef>
              <c:f>'Pic database'!$D$71:$D$72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938-48CE-A424-4D4080BD854A}"/>
            </c:ext>
          </c:extLst>
        </c:ser>
        <c:ser>
          <c:idx val="1"/>
          <c:order val="5"/>
          <c:tx>
            <c:v>Tumpuan kanan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database'!$C$73:$C$74</c:f>
              <c:numCache>
                <c:formatCode>0.00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'Pic database'!$D$73:$D$74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938-48CE-A424-4D4080BD854A}"/>
            </c:ext>
          </c:extLst>
        </c:ser>
        <c:ser>
          <c:idx val="2"/>
          <c:order val="6"/>
          <c:tx>
            <c:v>arsir kiri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database'!$C$78:$C$79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database'!$D$78:$D$79</c:f>
              <c:numCache>
                <c:formatCode>0.00</c:formatCode>
                <c:ptCount val="2"/>
                <c:pt idx="0">
                  <c:v>2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938-48CE-A424-4D4080BD854A}"/>
            </c:ext>
          </c:extLst>
        </c:ser>
        <c:ser>
          <c:idx val="3"/>
          <c:order val="7"/>
          <c:tx>
            <c:v>arsir kiri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database'!$C$80:$C$81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database'!$D$80:$D$81</c:f>
              <c:numCache>
                <c:formatCode>0.00</c:formatCode>
                <c:ptCount val="2"/>
                <c:pt idx="0">
                  <c:v>0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938-48CE-A424-4D4080BD854A}"/>
            </c:ext>
          </c:extLst>
        </c:ser>
        <c:ser>
          <c:idx val="4"/>
          <c:order val="8"/>
          <c:tx>
            <c:v>arsir kiri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database'!$C$82:$C$83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database'!$D$82:$D$83</c:f>
              <c:numCache>
                <c:formatCode>0.00</c:formatCode>
                <c:ptCount val="2"/>
                <c:pt idx="0">
                  <c:v>-2</c:v>
                </c:pt>
                <c:pt idx="1">
                  <c:v>-3.5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938-48CE-A424-4D4080BD854A}"/>
            </c:ext>
          </c:extLst>
        </c:ser>
        <c:ser>
          <c:idx val="5"/>
          <c:order val="9"/>
          <c:tx>
            <c:v>arsir kanan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database'!$C$84:$C$85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database'!$D$84:$D$85</c:f>
              <c:numCache>
                <c:formatCode>0.00</c:formatCode>
                <c:ptCount val="2"/>
                <c:pt idx="0">
                  <c:v>1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938-48CE-A424-4D4080BD854A}"/>
            </c:ext>
          </c:extLst>
        </c:ser>
        <c:ser>
          <c:idx val="6"/>
          <c:order val="10"/>
          <c:tx>
            <c:v>arsir kanan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database'!$C$86:$C$87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database'!$D$86:$D$87</c:f>
              <c:numCache>
                <c:formatCode>0.00</c:formatCode>
                <c:ptCount val="2"/>
                <c:pt idx="0">
                  <c:v>-1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938-48CE-A424-4D4080BD854A}"/>
            </c:ext>
          </c:extLst>
        </c:ser>
        <c:ser>
          <c:idx val="7"/>
          <c:order val="11"/>
          <c:tx>
            <c:v>arsir kanan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database'!$C$88:$C$89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database'!$D$88:$D$89</c:f>
              <c:numCache>
                <c:formatCode>0.00</c:formatCode>
                <c:ptCount val="2"/>
                <c:pt idx="0">
                  <c:v>-3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938-48CE-A424-4D4080BD854A}"/>
            </c:ext>
          </c:extLst>
        </c:ser>
        <c:ser>
          <c:idx val="39"/>
          <c:order val="12"/>
          <c:tx>
            <c:v>torsi badan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database'!$G$87:$G$88</c:f>
              <c:numCache>
                <c:formatCode>0.00</c:formatCode>
                <c:ptCount val="2"/>
                <c:pt idx="0">
                  <c:v>-15</c:v>
                </c:pt>
                <c:pt idx="1">
                  <c:v>15</c:v>
                </c:pt>
              </c:numCache>
            </c:numRef>
          </c:xVal>
          <c:yVal>
            <c:numRef>
              <c:f>'Pic database'!$H$87:$H$88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938-48CE-A424-4D4080BD854A}"/>
            </c:ext>
          </c:extLst>
        </c:ser>
        <c:ser>
          <c:idx val="8"/>
          <c:order val="13"/>
          <c:tx>
            <c:v>t1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database'!$K$63:$K$64</c:f>
              <c:numCache>
                <c:formatCode>0.00</c:formatCode>
                <c:ptCount val="2"/>
                <c:pt idx="0">
                  <c:v>-14</c:v>
                </c:pt>
                <c:pt idx="1">
                  <c:v>-14</c:v>
                </c:pt>
              </c:numCache>
            </c:numRef>
          </c:xVal>
          <c:yVal>
            <c:numRef>
              <c:f>'Pic database'!$L$63:$L$64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938-48CE-A424-4D4080BD854A}"/>
            </c:ext>
          </c:extLst>
        </c:ser>
        <c:ser>
          <c:idx val="9"/>
          <c:order val="14"/>
          <c:tx>
            <c:v>t2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database'!$K$65:$K$66</c:f>
              <c:numCache>
                <c:formatCode>0.00</c:formatCode>
                <c:ptCount val="2"/>
                <c:pt idx="0">
                  <c:v>-13</c:v>
                </c:pt>
                <c:pt idx="1">
                  <c:v>-13</c:v>
                </c:pt>
              </c:numCache>
            </c:numRef>
          </c:xVal>
          <c:yVal>
            <c:numRef>
              <c:f>'Pic database'!$L$65:$L$66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938-48CE-A424-4D4080BD854A}"/>
            </c:ext>
          </c:extLst>
        </c:ser>
        <c:ser>
          <c:idx val="10"/>
          <c:order val="15"/>
          <c:tx>
            <c:v>t3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database'!$K$67:$K$68</c:f>
              <c:numCache>
                <c:formatCode>0.00</c:formatCode>
                <c:ptCount val="2"/>
                <c:pt idx="0">
                  <c:v>-12</c:v>
                </c:pt>
                <c:pt idx="1">
                  <c:v>-12</c:v>
                </c:pt>
              </c:numCache>
            </c:numRef>
          </c:xVal>
          <c:yVal>
            <c:numRef>
              <c:f>'Pic database'!$L$67:$L$68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938-48CE-A424-4D4080BD854A}"/>
            </c:ext>
          </c:extLst>
        </c:ser>
        <c:ser>
          <c:idx val="11"/>
          <c:order val="16"/>
          <c:tx>
            <c:v>t4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database'!$K$69:$K$70</c:f>
              <c:numCache>
                <c:formatCode>0.00</c:formatCode>
                <c:ptCount val="2"/>
                <c:pt idx="0">
                  <c:v>-11</c:v>
                </c:pt>
                <c:pt idx="1">
                  <c:v>-11</c:v>
                </c:pt>
              </c:numCache>
            </c:numRef>
          </c:xVal>
          <c:yVal>
            <c:numRef>
              <c:f>'Pic database'!$L$69:$L$70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938-48CE-A424-4D4080BD854A}"/>
            </c:ext>
          </c:extLst>
        </c:ser>
        <c:ser>
          <c:idx val="12"/>
          <c:order val="17"/>
          <c:tx>
            <c:v>t5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database'!$K$71:$K$72</c:f>
              <c:numCache>
                <c:formatCode>0.00</c:formatCode>
                <c:ptCount val="2"/>
                <c:pt idx="0">
                  <c:v>-10</c:v>
                </c:pt>
                <c:pt idx="1">
                  <c:v>-10</c:v>
                </c:pt>
              </c:numCache>
            </c:numRef>
          </c:xVal>
          <c:yVal>
            <c:numRef>
              <c:f>'Pic database'!$L$71:$L$72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938-48CE-A424-4D4080BD854A}"/>
            </c:ext>
          </c:extLst>
        </c:ser>
        <c:ser>
          <c:idx val="13"/>
          <c:order val="18"/>
          <c:tx>
            <c:v>t6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database'!$K$73:$K$74</c:f>
              <c:numCache>
                <c:formatCode>0.00</c:formatCode>
                <c:ptCount val="2"/>
                <c:pt idx="0">
                  <c:v>-9</c:v>
                </c:pt>
                <c:pt idx="1">
                  <c:v>-9</c:v>
                </c:pt>
              </c:numCache>
            </c:numRef>
          </c:xVal>
          <c:yVal>
            <c:numRef>
              <c:f>'Pic database'!$L$73:$L$74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938-48CE-A424-4D4080BD854A}"/>
            </c:ext>
          </c:extLst>
        </c:ser>
        <c:ser>
          <c:idx val="14"/>
          <c:order val="19"/>
          <c:tx>
            <c:v>t7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database'!$K$75:$K$76</c:f>
              <c:numCache>
                <c:formatCode>0.00</c:formatCode>
                <c:ptCount val="2"/>
                <c:pt idx="0">
                  <c:v>-8</c:v>
                </c:pt>
                <c:pt idx="1">
                  <c:v>-8</c:v>
                </c:pt>
              </c:numCache>
            </c:numRef>
          </c:xVal>
          <c:yVal>
            <c:numRef>
              <c:f>'Pic database'!$L$75:$L$76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938-48CE-A424-4D4080BD854A}"/>
            </c:ext>
          </c:extLst>
        </c:ser>
        <c:ser>
          <c:idx val="15"/>
          <c:order val="20"/>
          <c:tx>
            <c:v>t8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database'!$K$77:$K$78</c:f>
              <c:numCache>
                <c:formatCode>0.00</c:formatCode>
                <c:ptCount val="2"/>
                <c:pt idx="0">
                  <c:v>-7</c:v>
                </c:pt>
                <c:pt idx="1">
                  <c:v>-7</c:v>
                </c:pt>
              </c:numCache>
            </c:numRef>
          </c:xVal>
          <c:yVal>
            <c:numRef>
              <c:f>'Pic database'!$L$77:$L$78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938-48CE-A424-4D4080BD854A}"/>
            </c:ext>
          </c:extLst>
        </c:ser>
        <c:ser>
          <c:idx val="16"/>
          <c:order val="21"/>
          <c:tx>
            <c:v>t9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database'!$K$79:$K$80</c:f>
              <c:numCache>
                <c:formatCode>0.00</c:formatCode>
                <c:ptCount val="2"/>
                <c:pt idx="0">
                  <c:v>-6</c:v>
                </c:pt>
                <c:pt idx="1">
                  <c:v>-6</c:v>
                </c:pt>
              </c:numCache>
            </c:numRef>
          </c:xVal>
          <c:yVal>
            <c:numRef>
              <c:f>'Pic database'!$L$79:$L$80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6938-48CE-A424-4D4080BD854A}"/>
            </c:ext>
          </c:extLst>
        </c:ser>
        <c:ser>
          <c:idx val="17"/>
          <c:order val="22"/>
          <c:tx>
            <c:v>t10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database'!$K$81:$K$82</c:f>
              <c:numCache>
                <c:formatCode>0.00</c:formatCode>
                <c:ptCount val="2"/>
                <c:pt idx="0">
                  <c:v>-5</c:v>
                </c:pt>
                <c:pt idx="1">
                  <c:v>-5</c:v>
                </c:pt>
              </c:numCache>
            </c:numRef>
          </c:xVal>
          <c:yVal>
            <c:numRef>
              <c:f>'Pic database'!$L$81:$L$82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6938-48CE-A424-4D4080BD854A}"/>
            </c:ext>
          </c:extLst>
        </c:ser>
        <c:ser>
          <c:idx val="18"/>
          <c:order val="23"/>
          <c:tx>
            <c:v>t11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database'!$K$83:$K$84</c:f>
              <c:numCache>
                <c:formatCode>0.00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'Pic database'!$L$83:$L$84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938-48CE-A424-4D4080BD854A}"/>
            </c:ext>
          </c:extLst>
        </c:ser>
        <c:ser>
          <c:idx val="19"/>
          <c:order val="24"/>
          <c:tx>
            <c:v>t12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database'!$K$85:$K$86</c:f>
              <c:numCache>
                <c:formatCode>0.00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xVal>
          <c:yVal>
            <c:numRef>
              <c:f>'Pic database'!$L$85:$L$86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938-48CE-A424-4D4080BD854A}"/>
            </c:ext>
          </c:extLst>
        </c:ser>
        <c:ser>
          <c:idx val="20"/>
          <c:order val="25"/>
          <c:tx>
            <c:v>t13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database'!$K$87:$K$88</c:f>
              <c:numCache>
                <c:formatCode>0.00</c:formatCode>
                <c:ptCount val="2"/>
                <c:pt idx="0">
                  <c:v>-2</c:v>
                </c:pt>
                <c:pt idx="1">
                  <c:v>-2</c:v>
                </c:pt>
              </c:numCache>
            </c:numRef>
          </c:xVal>
          <c:yVal>
            <c:numRef>
              <c:f>'Pic database'!$L$87:$L$88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6938-48CE-A424-4D4080BD854A}"/>
            </c:ext>
          </c:extLst>
        </c:ser>
        <c:ser>
          <c:idx val="21"/>
          <c:order val="26"/>
          <c:tx>
            <c:v>t14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database'!$K$89:$K$90</c:f>
              <c:numCache>
                <c:formatCode>0.00</c:formatCode>
                <c:ptCount val="2"/>
                <c:pt idx="0">
                  <c:v>-1</c:v>
                </c:pt>
                <c:pt idx="1">
                  <c:v>-1</c:v>
                </c:pt>
              </c:numCache>
            </c:numRef>
          </c:xVal>
          <c:yVal>
            <c:numRef>
              <c:f>'Pic database'!$L$89:$L$90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6938-48CE-A424-4D4080BD854A}"/>
            </c:ext>
          </c:extLst>
        </c:ser>
        <c:ser>
          <c:idx val="22"/>
          <c:order val="27"/>
          <c:tx>
            <c:v>t15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database'!$K$91:$K$92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'Pic database'!$L$91:$L$92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6938-48CE-A424-4D4080BD854A}"/>
            </c:ext>
          </c:extLst>
        </c:ser>
        <c:ser>
          <c:idx val="23"/>
          <c:order val="28"/>
          <c:tx>
            <c:v>t16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database'!$K$93:$K$94</c:f>
              <c:numCache>
                <c:formatCode>0.00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'Pic database'!$L$93:$L$94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6938-48CE-A424-4D4080BD854A}"/>
            </c:ext>
          </c:extLst>
        </c:ser>
        <c:ser>
          <c:idx val="24"/>
          <c:order val="29"/>
          <c:tx>
            <c:v>t17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database'!$K$95:$K$96</c:f>
              <c:numCache>
                <c:formatCode>0.00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'Pic database'!$L$95:$L$96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6938-48CE-A424-4D4080BD854A}"/>
            </c:ext>
          </c:extLst>
        </c:ser>
        <c:ser>
          <c:idx val="25"/>
          <c:order val="30"/>
          <c:tx>
            <c:v>t18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database'!$K$97:$K$98</c:f>
              <c:numCache>
                <c:formatCode>0.00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'Pic database'!$L$97:$L$98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6938-48CE-A424-4D4080BD854A}"/>
            </c:ext>
          </c:extLst>
        </c:ser>
        <c:ser>
          <c:idx val="26"/>
          <c:order val="31"/>
          <c:tx>
            <c:v>t19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database'!$K$99:$K$100</c:f>
              <c:numCache>
                <c:formatCode>0.00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'Pic database'!$L$99:$L$100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6938-48CE-A424-4D4080BD854A}"/>
            </c:ext>
          </c:extLst>
        </c:ser>
        <c:ser>
          <c:idx val="27"/>
          <c:order val="32"/>
          <c:tx>
            <c:v>t20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database'!$K$101:$K$102</c:f>
              <c:numCache>
                <c:formatCode>0.00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'Pic database'!$L$101:$L$102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6938-48CE-A424-4D4080BD854A}"/>
            </c:ext>
          </c:extLst>
        </c:ser>
        <c:ser>
          <c:idx val="28"/>
          <c:order val="33"/>
          <c:tx>
            <c:v>t21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database'!$K$103:$K$104</c:f>
              <c:numCache>
                <c:formatCode>0.00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'Pic database'!$L$103:$L$104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6938-48CE-A424-4D4080BD854A}"/>
            </c:ext>
          </c:extLst>
        </c:ser>
        <c:ser>
          <c:idx val="29"/>
          <c:order val="34"/>
          <c:tx>
            <c:v>t22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database'!$K$105:$K$106</c:f>
              <c:numCache>
                <c:formatCode>0.00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'Pic database'!$L$105:$L$106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6938-48CE-A424-4D4080BD854A}"/>
            </c:ext>
          </c:extLst>
        </c:ser>
        <c:ser>
          <c:idx val="30"/>
          <c:order val="35"/>
          <c:tx>
            <c:v>t23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database'!$K$107:$K$108</c:f>
              <c:numCache>
                <c:formatCode>0.00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'Pic database'!$L$107:$L$108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6938-48CE-A424-4D4080BD854A}"/>
            </c:ext>
          </c:extLst>
        </c:ser>
        <c:ser>
          <c:idx val="31"/>
          <c:order val="36"/>
          <c:tx>
            <c:v>t24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database'!$K$109:$K$110</c:f>
              <c:numCache>
                <c:formatCode>0.00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'Pic database'!$L$109:$L$110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6938-48CE-A424-4D4080BD854A}"/>
            </c:ext>
          </c:extLst>
        </c:ser>
        <c:ser>
          <c:idx val="32"/>
          <c:order val="37"/>
          <c:tx>
            <c:v>t25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database'!$K$111:$K$112</c:f>
              <c:numCache>
                <c:formatCode>0.00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'Pic database'!$L$111:$L$112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6938-48CE-A424-4D4080BD854A}"/>
            </c:ext>
          </c:extLst>
        </c:ser>
        <c:ser>
          <c:idx val="33"/>
          <c:order val="38"/>
          <c:tx>
            <c:v>t26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database'!$K$113:$K$114</c:f>
              <c:numCache>
                <c:formatCode>0.00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'Pic database'!$L$113:$L$114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6938-48CE-A424-4D4080BD854A}"/>
            </c:ext>
          </c:extLst>
        </c:ser>
        <c:ser>
          <c:idx val="34"/>
          <c:order val="39"/>
          <c:tx>
            <c:v>t27</c:v>
          </c:tx>
          <c:spPr>
            <a:ln w="127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database'!$K$115:$K$116</c:f>
              <c:numCache>
                <c:formatCode>0.00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'Pic database'!$L$115:$L$116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6938-48CE-A424-4D4080BD854A}"/>
            </c:ext>
          </c:extLst>
        </c:ser>
        <c:ser>
          <c:idx val="35"/>
          <c:order val="40"/>
          <c:tx>
            <c:v>t28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database'!$K$117:$K$118</c:f>
              <c:numCache>
                <c:formatCode>0.00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'Pic database'!$L$117:$L$118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6938-48CE-A424-4D4080BD854A}"/>
            </c:ext>
          </c:extLst>
        </c:ser>
        <c:ser>
          <c:idx val="36"/>
          <c:order val="41"/>
          <c:tx>
            <c:v>t29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database'!$K$119:$K$120</c:f>
              <c:numCache>
                <c:formatCode>0.00</c:formatCode>
                <c:ptCount val="2"/>
                <c:pt idx="0">
                  <c:v>14</c:v>
                </c:pt>
                <c:pt idx="1">
                  <c:v>14</c:v>
                </c:pt>
              </c:numCache>
            </c:numRef>
          </c:xVal>
          <c:yVal>
            <c:numRef>
              <c:f>'Pic database'!$L$119:$L$120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6938-48CE-A424-4D4080BD854A}"/>
            </c:ext>
          </c:extLst>
        </c:ser>
        <c:ser>
          <c:idx val="37"/>
          <c:order val="42"/>
          <c:tx>
            <c:v>balok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database'!$G$80:$G$81</c:f>
              <c:numCache>
                <c:formatCode>0.00</c:formatCode>
                <c:ptCount val="2"/>
                <c:pt idx="0">
                  <c:v>-15</c:v>
                </c:pt>
                <c:pt idx="1">
                  <c:v>15</c:v>
                </c:pt>
              </c:numCache>
            </c:numRef>
          </c:xVal>
          <c:yVal>
            <c:numRef>
              <c:f>'Pic database'!$H$80:$H$81</c:f>
              <c:numCache>
                <c:formatCode>0.00</c:formatCode>
                <c:ptCount val="2"/>
                <c:pt idx="0">
                  <c:v>-2</c:v>
                </c:pt>
                <c:pt idx="1">
                  <c:v>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6938-48CE-A424-4D4080BD854A}"/>
            </c:ext>
          </c:extLst>
        </c:ser>
        <c:ser>
          <c:idx val="38"/>
          <c:order val="43"/>
          <c:tx>
            <c:v>balok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database'!$G$82:$G$83</c:f>
              <c:numCache>
                <c:formatCode>0.00</c:formatCode>
                <c:ptCount val="2"/>
                <c:pt idx="0">
                  <c:v>-15</c:v>
                </c:pt>
                <c:pt idx="1">
                  <c:v>15</c:v>
                </c:pt>
              </c:numCache>
            </c:numRef>
          </c:xVal>
          <c:yVal>
            <c:numRef>
              <c:f>'Pic database'!$H$82:$H$83</c:f>
              <c:numCache>
                <c:formatCode>0.00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6938-48CE-A424-4D4080BD854A}"/>
            </c:ext>
          </c:extLst>
        </c:ser>
        <c:ser>
          <c:idx val="40"/>
          <c:order val="44"/>
          <c:tx>
            <c:v>t1.1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database'!$O$63:$O$64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database'!$P$63:$P$64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6938-48CE-A424-4D4080BD854A}"/>
            </c:ext>
          </c:extLst>
        </c:ser>
        <c:ser>
          <c:idx val="41"/>
          <c:order val="45"/>
          <c:tx>
            <c:v>t2.1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database'!$O$65:$O$66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database'!$P$65:$P$66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6938-48CE-A424-4D4080BD854A}"/>
            </c:ext>
          </c:extLst>
        </c:ser>
        <c:ser>
          <c:idx val="42"/>
          <c:order val="46"/>
          <c:tx>
            <c:v>t3.1</c:v>
          </c:tx>
          <c:spPr>
            <a:ln w="127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database'!$O$67:$O$68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database'!$P$67:$P$68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6938-48CE-A424-4D4080BD854A}"/>
            </c:ext>
          </c:extLst>
        </c:ser>
        <c:ser>
          <c:idx val="43"/>
          <c:order val="47"/>
          <c:tx>
            <c:v>t4.1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database'!$O$69:$O$70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database'!$P$69:$P$70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6938-48CE-A424-4D4080BD854A}"/>
            </c:ext>
          </c:extLst>
        </c:ser>
        <c:ser>
          <c:idx val="44"/>
          <c:order val="48"/>
          <c:tx>
            <c:v>t5.1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database'!$O$71:$O$72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database'!$P$71:$P$72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6938-48CE-A424-4D4080BD854A}"/>
            </c:ext>
          </c:extLst>
        </c:ser>
        <c:ser>
          <c:idx val="45"/>
          <c:order val="49"/>
          <c:tx>
            <c:v>t6.1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database'!$O$73:$O$74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database'!$P$73:$P$74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6938-48CE-A424-4D4080BD854A}"/>
            </c:ext>
          </c:extLst>
        </c:ser>
        <c:ser>
          <c:idx val="46"/>
          <c:order val="50"/>
          <c:tx>
            <c:v>t7.1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database'!$O$75:$O$76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database'!$P$75:$P$76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6938-48CE-A424-4D4080BD854A}"/>
            </c:ext>
          </c:extLst>
        </c:ser>
        <c:ser>
          <c:idx val="47"/>
          <c:order val="51"/>
          <c:tx>
            <c:v>t8.1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database'!$O$77:$O$78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database'!$P$77:$P$78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6938-48CE-A424-4D4080BD854A}"/>
            </c:ext>
          </c:extLst>
        </c:ser>
        <c:ser>
          <c:idx val="48"/>
          <c:order val="52"/>
          <c:tx>
            <c:v>t9.1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database'!$O$79:$O$80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database'!$P$79:$P$80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6938-48CE-A424-4D4080BD854A}"/>
            </c:ext>
          </c:extLst>
        </c:ser>
        <c:ser>
          <c:idx val="49"/>
          <c:order val="53"/>
          <c:tx>
            <c:v>t10.1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database'!$O$81:$O$82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database'!$P$81:$P$82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6938-48CE-A424-4D4080BD854A}"/>
            </c:ext>
          </c:extLst>
        </c:ser>
        <c:ser>
          <c:idx val="50"/>
          <c:order val="54"/>
          <c:tx>
            <c:v>t11.1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database'!$O$83:$O$84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database'!$P$83:$P$84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6938-48CE-A424-4D4080BD854A}"/>
            </c:ext>
          </c:extLst>
        </c:ser>
        <c:ser>
          <c:idx val="51"/>
          <c:order val="55"/>
          <c:tx>
            <c:v>t12.1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database'!$O$85:$O$86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database'!$P$85:$P$86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6938-48CE-A424-4D4080BD854A}"/>
            </c:ext>
          </c:extLst>
        </c:ser>
        <c:ser>
          <c:idx val="52"/>
          <c:order val="56"/>
          <c:tx>
            <c:v>t13.1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database'!$O$87:$O$88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database'!$P$87:$P$88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6938-48CE-A424-4D4080BD854A}"/>
            </c:ext>
          </c:extLst>
        </c:ser>
        <c:ser>
          <c:idx val="53"/>
          <c:order val="57"/>
          <c:tx>
            <c:v>t14.1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database'!$O$89:$O$90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database'!$P$89:$P$90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6938-48CE-A424-4D4080BD854A}"/>
            </c:ext>
          </c:extLst>
        </c:ser>
        <c:ser>
          <c:idx val="54"/>
          <c:order val="58"/>
          <c:tx>
            <c:v>t15.1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database'!$O$91:$O$92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database'!$P$91:$P$92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6938-48CE-A424-4D4080BD854A}"/>
            </c:ext>
          </c:extLst>
        </c:ser>
        <c:ser>
          <c:idx val="55"/>
          <c:order val="59"/>
          <c:tx>
            <c:v>t16.1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database'!$O$93:$O$94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database'!$P$93:$P$94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6938-48CE-A424-4D4080BD854A}"/>
            </c:ext>
          </c:extLst>
        </c:ser>
        <c:ser>
          <c:idx val="56"/>
          <c:order val="60"/>
          <c:tx>
            <c:v>t17.1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database'!$O$95:$O$96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database'!$P$95:$P$96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6938-48CE-A424-4D4080BD854A}"/>
            </c:ext>
          </c:extLst>
        </c:ser>
        <c:ser>
          <c:idx val="57"/>
          <c:order val="61"/>
          <c:tx>
            <c:v>t18.1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database'!$O$97:$O$98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database'!$P$97:$P$98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6938-48CE-A424-4D4080BD854A}"/>
            </c:ext>
          </c:extLst>
        </c:ser>
        <c:ser>
          <c:idx val="61"/>
          <c:order val="62"/>
          <c:tx>
            <c:v>ket tul long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alpha val="1000"/>
                </a:schemeClr>
              </a:solidFill>
              <a:ln w="9525">
                <a:solidFill>
                  <a:schemeClr val="accent1">
                    <a:lumMod val="50000"/>
                    <a:alpha val="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754307889413841E-2"/>
                  <c:y val="0.147324846541012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tulangan</a:t>
                    </a:r>
                  </a:p>
                  <a:p>
                    <a:r>
                      <a:rPr lang="en-US"/>
                      <a:t>longitudinal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6938-48CE-A424-4D4080BD8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database'!$U$66</c:f>
              <c:numCache>
                <c:formatCode>0.00</c:formatCode>
                <c:ptCount val="1"/>
                <c:pt idx="0">
                  <c:v>-9.5</c:v>
                </c:pt>
              </c:numCache>
            </c:numRef>
          </c:xVal>
          <c:yVal>
            <c:numRef>
              <c:f>'Pic database'!$V$66</c:f>
              <c:numCache>
                <c:formatCode>0.00</c:formatCode>
                <c:ptCount val="1"/>
                <c:pt idx="0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6938-48CE-A424-4D4080BD854A}"/>
            </c:ext>
          </c:extLst>
        </c:ser>
        <c:ser>
          <c:idx val="62"/>
          <c:order val="63"/>
          <c:tx>
            <c:v>ket tul torsi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alpha val="0"/>
                </a:schemeClr>
              </a:solidFill>
              <a:ln w="9525">
                <a:solidFill>
                  <a:schemeClr val="accent1">
                    <a:lumMod val="50000"/>
                    <a:alpha val="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87592101791612E-2"/>
                  <c:y val="0.187504350143106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tulangan</a:t>
                    </a:r>
                  </a:p>
                  <a:p>
                    <a:r>
                      <a:rPr lang="en-US"/>
                      <a:t>torsi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6938-48CE-A424-4D4080BD8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database'!$U$67</c:f>
              <c:numCache>
                <c:formatCode>0.00</c:formatCode>
                <c:ptCount val="1"/>
                <c:pt idx="0">
                  <c:v>9.5</c:v>
                </c:pt>
              </c:numCache>
            </c:numRef>
          </c:xVal>
          <c:yVal>
            <c:numRef>
              <c:f>'Pic database'!$V$67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6938-48CE-A424-4D4080BD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</c:scatterChart>
      <c:valAx>
        <c:axId val="671018880"/>
        <c:scaling>
          <c:orientation val="minMax"/>
          <c:max val="20"/>
          <c:min val="-20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sng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u="sng">
                    <a:solidFill>
                      <a:schemeClr val="accent2"/>
                    </a:solidFill>
                  </a:rPr>
                  <a:t>Potongan Memanjang</a:t>
                </a:r>
                <a:r>
                  <a:rPr lang="en-US" b="1" u="sng" baseline="0">
                    <a:solidFill>
                      <a:schemeClr val="accent2"/>
                    </a:solidFill>
                  </a:rPr>
                  <a:t> Bentang Balok</a:t>
                </a:r>
              </a:p>
            </c:rich>
          </c:tx>
          <c:layout>
            <c:manualLayout>
              <c:xMode val="edge"/>
              <c:yMode val="edge"/>
              <c:x val="0.38115226962543486"/>
              <c:y val="0.123041700944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sng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5"/>
          <c:min val="-15"/>
        </c:scaling>
        <c:delete val="1"/>
        <c:axPos val="l"/>
        <c:numFmt formatCode="0.00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783777018390902E-2"/>
          <c:y val="1.4208750173073307E-2"/>
          <c:w val="0.97477524971902263"/>
          <c:h val="0.98417768997249422"/>
        </c:manualLayout>
      </c:layout>
      <c:scatterChart>
        <c:scatterStyle val="lineMarker"/>
        <c:varyColors val="0"/>
        <c:ser>
          <c:idx val="80"/>
          <c:order val="0"/>
          <c:tx>
            <c:v>Elemen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database'!$C$63:$C$67</c:f>
              <c:numCache>
                <c:formatCode>0.00</c:formatCode>
                <c:ptCount val="5"/>
                <c:pt idx="0">
                  <c:v>-15</c:v>
                </c:pt>
                <c:pt idx="1">
                  <c:v>-15</c:v>
                </c:pt>
                <c:pt idx="2">
                  <c:v>15</c:v>
                </c:pt>
                <c:pt idx="3">
                  <c:v>15</c:v>
                </c:pt>
                <c:pt idx="4">
                  <c:v>-15</c:v>
                </c:pt>
              </c:numCache>
            </c:numRef>
          </c:xVal>
          <c:yVal>
            <c:numRef>
              <c:f>'Pic database'!$D$63:$D$67</c:f>
              <c:numCache>
                <c:formatCode>0.00</c:formatCode>
                <c:ptCount val="5"/>
                <c:pt idx="0">
                  <c:v>-1</c:v>
                </c:pt>
                <c:pt idx="1">
                  <c:v>1</c:v>
                </c:pt>
                <c:pt idx="2">
                  <c:v>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F4-4F81-9DB0-34AC8A3AAD5D}"/>
            </c:ext>
          </c:extLst>
        </c:ser>
        <c:ser>
          <c:idx val="0"/>
          <c:order val="1"/>
          <c:tx>
            <c:v>Tumpuan kiri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database'!$C$71:$C$72</c:f>
              <c:numCache>
                <c:formatCode>0.00</c:formatCode>
                <c:ptCount val="2"/>
                <c:pt idx="0">
                  <c:v>-15</c:v>
                </c:pt>
                <c:pt idx="1">
                  <c:v>-15</c:v>
                </c:pt>
              </c:numCache>
            </c:numRef>
          </c:xVal>
          <c:yVal>
            <c:numRef>
              <c:f>'Pic database'!$D$71:$D$72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F4-4F81-9DB0-34AC8A3AAD5D}"/>
            </c:ext>
          </c:extLst>
        </c:ser>
        <c:ser>
          <c:idx val="1"/>
          <c:order val="2"/>
          <c:tx>
            <c:v>Tumpuan kanan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database'!$C$73:$C$74</c:f>
              <c:numCache>
                <c:formatCode>0.00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'Pic database'!$D$73:$D$74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F4-4F81-9DB0-34AC8A3AAD5D}"/>
            </c:ext>
          </c:extLst>
        </c:ser>
        <c:ser>
          <c:idx val="2"/>
          <c:order val="3"/>
          <c:tx>
            <c:v>arsir kiri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database'!$C$78:$C$79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database'!$D$78:$D$79</c:f>
              <c:numCache>
                <c:formatCode>0.00</c:formatCode>
                <c:ptCount val="2"/>
                <c:pt idx="0">
                  <c:v>2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F4-4F81-9DB0-34AC8A3AAD5D}"/>
            </c:ext>
          </c:extLst>
        </c:ser>
        <c:ser>
          <c:idx val="3"/>
          <c:order val="4"/>
          <c:tx>
            <c:v>arsir kiri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database'!$C$80:$C$81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database'!$D$80:$D$81</c:f>
              <c:numCache>
                <c:formatCode>0.00</c:formatCode>
                <c:ptCount val="2"/>
                <c:pt idx="0">
                  <c:v>0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DF4-4F81-9DB0-34AC8A3AAD5D}"/>
            </c:ext>
          </c:extLst>
        </c:ser>
        <c:ser>
          <c:idx val="4"/>
          <c:order val="5"/>
          <c:tx>
            <c:v>arsir kiri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database'!$C$82:$C$83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database'!$D$82:$D$83</c:f>
              <c:numCache>
                <c:formatCode>0.00</c:formatCode>
                <c:ptCount val="2"/>
                <c:pt idx="0">
                  <c:v>-2</c:v>
                </c:pt>
                <c:pt idx="1">
                  <c:v>-3.5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DF4-4F81-9DB0-34AC8A3AAD5D}"/>
            </c:ext>
          </c:extLst>
        </c:ser>
        <c:ser>
          <c:idx val="5"/>
          <c:order val="6"/>
          <c:tx>
            <c:v>arsir kanan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database'!$C$84:$C$85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database'!$D$84:$D$85</c:f>
              <c:numCache>
                <c:formatCode>0.00</c:formatCode>
                <c:ptCount val="2"/>
                <c:pt idx="0">
                  <c:v>1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DF4-4F81-9DB0-34AC8A3AAD5D}"/>
            </c:ext>
          </c:extLst>
        </c:ser>
        <c:ser>
          <c:idx val="6"/>
          <c:order val="7"/>
          <c:tx>
            <c:v>arsir kanan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database'!$C$86:$C$87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database'!$D$86:$D$87</c:f>
              <c:numCache>
                <c:formatCode>0.00</c:formatCode>
                <c:ptCount val="2"/>
                <c:pt idx="0">
                  <c:v>-1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DF4-4F81-9DB0-34AC8A3AAD5D}"/>
            </c:ext>
          </c:extLst>
        </c:ser>
        <c:ser>
          <c:idx val="7"/>
          <c:order val="8"/>
          <c:tx>
            <c:v>arsir kanan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database'!$C$88:$C$89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database'!$D$88:$D$89</c:f>
              <c:numCache>
                <c:formatCode>0.00</c:formatCode>
                <c:ptCount val="2"/>
                <c:pt idx="0">
                  <c:v>-3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DF4-4F81-9DB0-34AC8A3AAD5D}"/>
            </c:ext>
          </c:extLst>
        </c:ser>
        <c:ser>
          <c:idx val="8"/>
          <c:order val="9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database'!$G$63:$G$64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'Pic database'!$H$63:$H$64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DF4-4F81-9DB0-34AC8A3AAD5D}"/>
            </c:ext>
          </c:extLst>
        </c:ser>
        <c:ser>
          <c:idx val="9"/>
          <c:order val="10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65000"/>
                  </a:schemeClr>
                </a:solidFill>
                <a:round/>
                <a:tailEnd type="triangle" w="sm" len="sm"/>
              </a:ln>
              <a:effectLst/>
            </c:spPr>
            <c:extLst>
              <c:ext xmlns:c16="http://schemas.microsoft.com/office/drawing/2014/chart" uri="{C3380CC4-5D6E-409C-BE32-E72D297353CC}">
                <c16:uniqueId val="{0000000A-1DF4-4F81-9DB0-34AC8A3AAD5D}"/>
              </c:ext>
            </c:extLst>
          </c:dPt>
          <c:dLbls>
            <c:dLbl>
              <c:idx val="1"/>
              <c:layout>
                <c:manualLayout>
                  <c:x val="-1.726597735084445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DF4-4F81-9DB0-34AC8A3AA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database'!$G$65:$G$66</c:f>
              <c:numCache>
                <c:formatCode>0.00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'Pic database'!$H$65:$H$66</c:f>
              <c:numCache>
                <c:formatCode>0.00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DF4-4F81-9DB0-34AC8A3AAD5D}"/>
            </c:ext>
          </c:extLst>
        </c:ser>
        <c:ser>
          <c:idx val="10"/>
          <c:order val="11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  <a:tailEnd type="triangle" w="sm" len="sm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7265977350844453E-2"/>
                  <c:y val="-5.303495671804703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DF4-4F81-9DB0-34AC8A3AA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database'!$G$67:$G$68</c:f>
              <c:numCache>
                <c:formatCode>0.00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'Pic database'!$H$67:$H$68</c:f>
              <c:numCache>
                <c:formatCode>0.00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DF4-4F81-9DB0-34AC8A3AA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</c:scatterChart>
      <c:valAx>
        <c:axId val="671018880"/>
        <c:scaling>
          <c:orientation val="minMax"/>
          <c:max val="20"/>
          <c:min val="-20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Tampak samping bentang balok</a:t>
                </a:r>
                <a:endParaRPr lang="id-ID" b="1"/>
              </a:p>
            </c:rich>
          </c:tx>
          <c:layout>
            <c:manualLayout>
              <c:xMode val="edge"/>
              <c:yMode val="edge"/>
              <c:x val="0.2810389931025819"/>
              <c:y val="0.11853229306866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5"/>
          <c:min val="-15"/>
        </c:scaling>
        <c:delete val="1"/>
        <c:axPos val="l"/>
        <c:numFmt formatCode="0.00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sng" strike="noStrike" kern="1200" spc="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r>
              <a:rPr lang="en-US" sz="1000" b="1" u="sng">
                <a:solidFill>
                  <a:schemeClr val="accent2"/>
                </a:solidFill>
              </a:rPr>
              <a:t>Tulangan</a:t>
            </a:r>
            <a:r>
              <a:rPr lang="en-US" sz="1000" b="1" u="sng" baseline="0">
                <a:solidFill>
                  <a:schemeClr val="accent2"/>
                </a:solidFill>
              </a:rPr>
              <a:t> pada daerah tumpuan</a:t>
            </a:r>
          </a:p>
          <a:p>
            <a:pPr>
              <a:defRPr sz="1000" b="1" u="sng">
                <a:solidFill>
                  <a:schemeClr val="accent2"/>
                </a:solidFill>
              </a:defRPr>
            </a:pPr>
            <a:r>
              <a:rPr lang="en-US" sz="800" b="0" u="none" baseline="0">
                <a:solidFill>
                  <a:schemeClr val="accent2"/>
                </a:solidFill>
              </a:rPr>
              <a:t>(potongan A - A)</a:t>
            </a:r>
            <a:endParaRPr lang="id-ID" sz="800" b="0" u="none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0.240179237479511"/>
          <c:y val="3.2086943634122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sng" strike="noStrike" kern="1200" spc="0" baseline="0">
              <a:solidFill>
                <a:schemeClr val="accent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722132404680746E-3"/>
          <c:y val="0.19005230774735402"/>
          <c:w val="0.63153454055655012"/>
          <c:h val="0.71912349775204665"/>
        </c:manualLayout>
      </c:layout>
      <c:scatterChart>
        <c:scatterStyle val="lineMarker"/>
        <c:varyColors val="0"/>
        <c:ser>
          <c:idx val="0"/>
          <c:order val="0"/>
          <c:tx>
            <c:v>Sisi kiri Balok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database'!$B$7:$B$8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'Pic database'!$C$7:$C$8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C9-4BA1-8E82-641C24C03A04}"/>
            </c:ext>
          </c:extLst>
        </c:ser>
        <c:ser>
          <c:idx val="1"/>
          <c:order val="1"/>
          <c:tx>
            <c:v>Sisi Kanan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database'!$B$9:$B$10</c:f>
              <c:numCache>
                <c:formatCode>General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xVal>
          <c:yVal>
            <c:numRef>
              <c:f>'Pic database'!$C$9:$C$10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C9-4BA1-8E82-641C24C03A04}"/>
            </c:ext>
          </c:extLst>
        </c:ser>
        <c:ser>
          <c:idx val="2"/>
          <c:order val="2"/>
          <c:tx>
            <c:v>Sisi Atas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database'!$B$11:$B$12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database'!$C$11:$C$12</c:f>
              <c:numCache>
                <c:formatCode>0</c:formatCode>
                <c:ptCount val="2"/>
                <c:pt idx="0">
                  <c:v>110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C9-4BA1-8E82-641C24C03A04}"/>
            </c:ext>
          </c:extLst>
        </c:ser>
        <c:ser>
          <c:idx val="3"/>
          <c:order val="3"/>
          <c:tx>
            <c:v>Sisi Bawah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database'!$B$13:$B$14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database'!$C$13:$C$14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C9-4BA1-8E82-641C24C03A04}"/>
            </c:ext>
          </c:extLst>
        </c:ser>
        <c:ser>
          <c:idx val="4"/>
          <c:order val="4"/>
          <c:tx>
            <c:v>n1-1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database'!$D$18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C9-4BA1-8E82-641C24C03A04}"/>
            </c:ext>
          </c:extLst>
        </c:ser>
        <c:ser>
          <c:idx val="5"/>
          <c:order val="5"/>
          <c:tx>
            <c:v>n1-2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database'!$C$19</c:f>
              <c:numCache>
                <c:formatCode>0.00</c:formatCode>
                <c:ptCount val="1"/>
                <c:pt idx="0">
                  <c:v>52.666666666666664</c:v>
                </c:pt>
              </c:numCache>
            </c:numRef>
          </c:xVal>
          <c:yVal>
            <c:numRef>
              <c:f>'Pic database'!$D$19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7C9-4BA1-8E82-641C24C03A04}"/>
            </c:ext>
          </c:extLst>
        </c:ser>
        <c:ser>
          <c:idx val="6"/>
          <c:order val="6"/>
          <c:tx>
            <c:v>n1-3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33082345980765004"/>
                  <c:y val="-0.109760669380473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1"/>
                      <a:t>d</a:t>
                    </a:r>
                    <a:r>
                      <a:rPr lang="en-US" sz="900" b="1" baseline="-25000"/>
                      <a:t>b-longitudinal</a:t>
                    </a:r>
                    <a:r>
                      <a:rPr lang="en-US" sz="900" b="1"/>
                      <a:t> = </a:t>
                    </a:r>
                    <a:fld id="{F217D85B-28AE-4E99-8F0B-A1A8280FE3EC}" type="CELLREF">
                      <a:rPr lang="en-US" sz="900" b="1"/>
                      <a:pPr algn="l">
                        <a:defRPr b="1"/>
                      </a:pPr>
                      <a:t>[CELLREF]</a:t>
                    </a:fld>
                    <a:r>
                      <a:rPr lang="en-US" sz="900" b="1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14018877422371"/>
                      <c:h val="5.3378012862895945E-2"/>
                    </c:manualLayout>
                  </c15:layout>
                  <c15:dlblFieldTable>
                    <c15:dlblFTEntry>
                      <c15:txfldGUID>{F217D85B-28AE-4E99-8F0B-A1A8280FE3EC}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7C9-4BA1-8E82-641C24C03A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database'!$C$20</c:f>
              <c:numCache>
                <c:formatCode>0.00</c:formatCode>
                <c:ptCount val="1"/>
                <c:pt idx="0">
                  <c:v>67.333333333333329</c:v>
                </c:pt>
              </c:numCache>
            </c:numRef>
          </c:xVal>
          <c:yVal>
            <c:numRef>
              <c:f>'Pic database'!$D$20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C9-4BA1-8E82-641C24C03A04}"/>
            </c:ext>
          </c:extLst>
        </c:ser>
        <c:ser>
          <c:idx val="7"/>
          <c:order val="7"/>
          <c:tx>
            <c:v>n1-4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1624802686942516E-2"/>
                  <c:y val="-1.46453832656192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rgbClr val="002060"/>
                        </a:solidFill>
                      </a:rPr>
                      <a:t>Tulangan tarik</a:t>
                    </a:r>
                  </a:p>
                  <a:p>
                    <a:pPr algn="l">
                      <a:defRPr b="1">
                        <a:solidFill>
                          <a:srgbClr val="002060"/>
                        </a:solidFill>
                      </a:defRPr>
                    </a:pPr>
                    <a:fld id="{A36A51AE-D3B3-4DC3-AC20-4C044081541D}" type="CELLREF">
                      <a:rPr lang="en-US" b="1">
                        <a:solidFill>
                          <a:srgbClr val="002060"/>
                        </a:solidFill>
                      </a:rPr>
                      <a:pPr algn="l">
                        <a:defRPr b="1">
                          <a:solidFill>
                            <a:srgbClr val="002060"/>
                          </a:solidFill>
                        </a:defRPr>
                      </a:pPr>
                      <a:t>[CELLREF]</a:t>
                    </a:fld>
                    <a:r>
                      <a:rPr lang="en-US" b="1" baseline="0">
                        <a:solidFill>
                          <a:srgbClr val="002060"/>
                        </a:solidFill>
                      </a:rPr>
                      <a:t> D </a:t>
                    </a:r>
                    <a:fld id="{0EBF1A8E-C846-4D09-8DA4-B586144A7700}" type="CELLREF">
                      <a:rPr lang="en-US" b="1" baseline="0">
                        <a:solidFill>
                          <a:srgbClr val="002060"/>
                        </a:solidFill>
                      </a:rPr>
                      <a:pPr algn="l">
                        <a:defRPr b="1">
                          <a:solidFill>
                            <a:srgbClr val="002060"/>
                          </a:solidFill>
                        </a:defRPr>
                      </a:pPr>
                      <a:t>[CELLREF]</a:t>
                    </a:fld>
                    <a:endParaRPr lang="en-US" b="1" baseline="0">
                      <a:solidFill>
                        <a:srgbClr val="002060"/>
                      </a:solidFill>
                    </a:endParaRPr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506786769356105"/>
                      <c:h val="0.14954174228972314"/>
                    </c:manualLayout>
                  </c15:layout>
                  <c15:dlblFieldTable>
                    <c15:dlblFTEntry>
                      <c15:txfldGUID>{A36A51AE-D3B3-4DC3-AC20-4C044081541D}</c15:txfldGUID>
                      <c15:f>Process!$G$383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  <c15:dlblFTEntry>
                      <c15:txfldGUID>{0EBF1A8E-C846-4D09-8DA4-B586144A7700}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7C9-4BA1-8E82-641C24C03A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'Pic database'!$C$21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database'!$D$21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7C9-4BA1-8E82-641C24C03A04}"/>
            </c:ext>
          </c:extLst>
        </c:ser>
        <c:ser>
          <c:idx val="8"/>
          <c:order val="8"/>
          <c:tx>
            <c:v>n1-5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7C9-4BA1-8E82-641C24C03A04}"/>
            </c:ext>
          </c:extLst>
        </c:ser>
        <c:ser>
          <c:idx val="9"/>
          <c:order val="9"/>
          <c:tx>
            <c:v>n1-6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7C9-4BA1-8E82-641C24C03A04}"/>
            </c:ext>
          </c:extLst>
        </c:ser>
        <c:ser>
          <c:idx val="10"/>
          <c:order val="10"/>
          <c:tx>
            <c:v>n1-7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7C9-4BA1-8E82-641C24C03A04}"/>
            </c:ext>
          </c:extLst>
        </c:ser>
        <c:ser>
          <c:idx val="11"/>
          <c:order val="11"/>
          <c:tx>
            <c:v>n1-8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7C9-4BA1-8E82-641C24C03A04}"/>
            </c:ext>
          </c:extLst>
        </c:ser>
        <c:ser>
          <c:idx val="12"/>
          <c:order val="12"/>
          <c:tx>
            <c:v>n1-9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7C9-4BA1-8E82-641C24C03A04}"/>
            </c:ext>
          </c:extLst>
        </c:ser>
        <c:ser>
          <c:idx val="13"/>
          <c:order val="13"/>
          <c:tx>
            <c:v>n1-10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7C9-4BA1-8E82-641C24C03A04}"/>
            </c:ext>
          </c:extLst>
        </c:ser>
        <c:ser>
          <c:idx val="14"/>
          <c:order val="14"/>
          <c:tx>
            <c:v>n2-1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database'!$G$18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7C9-4BA1-8E82-641C24C03A04}"/>
            </c:ext>
          </c:extLst>
        </c:ser>
        <c:ser>
          <c:idx val="15"/>
          <c:order val="15"/>
          <c:tx>
            <c:v>n2-2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7C9-4BA1-8E82-641C24C03A04}"/>
            </c:ext>
          </c:extLst>
        </c:ser>
        <c:ser>
          <c:idx val="16"/>
          <c:order val="16"/>
          <c:tx>
            <c:v>n2-3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7C9-4BA1-8E82-641C24C03A04}"/>
            </c:ext>
          </c:extLst>
        </c:ser>
        <c:ser>
          <c:idx val="17"/>
          <c:order val="17"/>
          <c:tx>
            <c:v>n2-4</c:v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7C9-4BA1-8E82-641C24C03A04}"/>
            </c:ext>
          </c:extLst>
        </c:ser>
        <c:ser>
          <c:idx val="18"/>
          <c:order val="18"/>
          <c:tx>
            <c:v>n2-5</c:v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7C9-4BA1-8E82-641C24C03A04}"/>
            </c:ext>
          </c:extLst>
        </c:ser>
        <c:ser>
          <c:idx val="19"/>
          <c:order val="19"/>
          <c:tx>
            <c:v>n2-6</c:v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7C9-4BA1-8E82-641C24C03A04}"/>
            </c:ext>
          </c:extLst>
        </c:ser>
        <c:ser>
          <c:idx val="20"/>
          <c:order val="20"/>
          <c:tx>
            <c:v>n2-7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B7C9-4BA1-8E82-641C24C03A04}"/>
            </c:ext>
          </c:extLst>
        </c:ser>
        <c:ser>
          <c:idx val="21"/>
          <c:order val="21"/>
          <c:tx>
            <c:v>n2-8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7C9-4BA1-8E82-641C24C03A04}"/>
            </c:ext>
          </c:extLst>
        </c:ser>
        <c:ser>
          <c:idx val="22"/>
          <c:order val="22"/>
          <c:tx>
            <c:v>n2-9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7C9-4BA1-8E82-641C24C03A04}"/>
            </c:ext>
          </c:extLst>
        </c:ser>
        <c:ser>
          <c:idx val="23"/>
          <c:order val="23"/>
          <c:tx>
            <c:v>n2-10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7C9-4BA1-8E82-641C24C03A04}"/>
            </c:ext>
          </c:extLst>
        </c:ser>
        <c:ser>
          <c:idx val="25"/>
          <c:order val="24"/>
          <c:tx>
            <c:v>n3-1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database'!$J$18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7C9-4BA1-8E82-641C24C03A04}"/>
            </c:ext>
          </c:extLst>
        </c:ser>
        <c:ser>
          <c:idx val="26"/>
          <c:order val="25"/>
          <c:tx>
            <c:v>n3-2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7C9-4BA1-8E82-641C24C03A04}"/>
            </c:ext>
          </c:extLst>
        </c:ser>
        <c:ser>
          <c:idx val="27"/>
          <c:order val="26"/>
          <c:tx>
            <c:v>n3-3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B7C9-4BA1-8E82-641C24C03A04}"/>
            </c:ext>
          </c:extLst>
        </c:ser>
        <c:ser>
          <c:idx val="28"/>
          <c:order val="27"/>
          <c:tx>
            <c:v>n3-4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B7C9-4BA1-8E82-641C24C03A04}"/>
            </c:ext>
          </c:extLst>
        </c:ser>
        <c:ser>
          <c:idx val="29"/>
          <c:order val="28"/>
          <c:tx>
            <c:v>n3-5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B7C9-4BA1-8E82-641C24C03A04}"/>
            </c:ext>
          </c:extLst>
        </c:ser>
        <c:ser>
          <c:idx val="30"/>
          <c:order val="29"/>
          <c:tx>
            <c:v>n3-6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B7C9-4BA1-8E82-641C24C03A04}"/>
            </c:ext>
          </c:extLst>
        </c:ser>
        <c:ser>
          <c:idx val="31"/>
          <c:order val="30"/>
          <c:tx>
            <c:v>n3-7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B7C9-4BA1-8E82-641C24C03A04}"/>
            </c:ext>
          </c:extLst>
        </c:ser>
        <c:ser>
          <c:idx val="32"/>
          <c:order val="31"/>
          <c:tx>
            <c:v>n3-8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B7C9-4BA1-8E82-641C24C03A04}"/>
            </c:ext>
          </c:extLst>
        </c:ser>
        <c:ser>
          <c:idx val="33"/>
          <c:order val="32"/>
          <c:tx>
            <c:v>n3-9</c:v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B7C9-4BA1-8E82-641C24C03A04}"/>
            </c:ext>
          </c:extLst>
        </c:ser>
        <c:ser>
          <c:idx val="34"/>
          <c:order val="33"/>
          <c:tx>
            <c:v>n3-10</c:v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B7C9-4BA1-8E82-641C24C03A04}"/>
            </c:ext>
          </c:extLst>
        </c:ser>
        <c:ser>
          <c:idx val="35"/>
          <c:order val="34"/>
          <c:tx>
            <c:v>n4-1</c:v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database'!$D$29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B7C9-4BA1-8E82-641C24C03A04}"/>
            </c:ext>
          </c:extLst>
        </c:ser>
        <c:ser>
          <c:idx val="36"/>
          <c:order val="35"/>
          <c:tx>
            <c:v>n4-2</c:v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31072913151541381"/>
                  <c:y val="0.1204666675973244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d</a:t>
                    </a:r>
                    <a:r>
                      <a:rPr lang="en-US" b="1" baseline="-25000"/>
                      <a:t>b-longitudinal</a:t>
                    </a:r>
                    <a:r>
                      <a:rPr lang="en-US" b="1"/>
                      <a:t> = </a:t>
                    </a:r>
                    <a:fld id="{E1A84D30-9901-4215-A11B-20260851BD49}" type="CELLREF">
                      <a:rPr lang="en-US" b="1"/>
                      <a:pPr>
                        <a:defRPr b="1"/>
                      </a:pPr>
                      <a:t>[CELLREF]</a:t>
                    </a:fld>
                    <a:r>
                      <a:rPr lang="en-US" b="1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604630146858361"/>
                      <c:h val="9.5259623090764523E-2"/>
                    </c:manualLayout>
                  </c15:layout>
                  <c15:dlblFieldTable>
                    <c15:dlblFTEntry>
                      <c15:txfldGUID>{E1A84D30-9901-4215-A11B-20260851BD49}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B7C9-4BA1-8E82-641C24C03A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database'!$C$30</c:f>
              <c:numCache>
                <c:formatCode>0.00</c:formatCode>
                <c:ptCount val="1"/>
                <c:pt idx="0">
                  <c:v>60</c:v>
                </c:pt>
              </c:numCache>
            </c:numRef>
          </c:xVal>
          <c:yVal>
            <c:numRef>
              <c:f>'Pic database'!$D$30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B7C9-4BA1-8E82-641C24C03A04}"/>
            </c:ext>
          </c:extLst>
        </c:ser>
        <c:ser>
          <c:idx val="37"/>
          <c:order val="36"/>
          <c:tx>
            <c:v>n4-3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8462304054156845E-2"/>
                  <c:y val="1.04865908277573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rgbClr val="002060"/>
                        </a:solidFill>
                      </a:rPr>
                      <a:t>Tulangan tekan</a:t>
                    </a:r>
                  </a:p>
                  <a:p>
                    <a:pPr algn="l">
                      <a:defRPr b="1">
                        <a:solidFill>
                          <a:srgbClr val="002060"/>
                        </a:solidFill>
                      </a:defRPr>
                    </a:pPr>
                    <a:fld id="{BF33BBF1-8FFB-4EB2-AA66-E36CF0FE5623}" type="CELLREF">
                      <a:rPr lang="en-US" b="1">
                        <a:solidFill>
                          <a:srgbClr val="002060"/>
                        </a:solidFill>
                      </a:rPr>
                      <a:pPr algn="l">
                        <a:defRPr b="1">
                          <a:solidFill>
                            <a:srgbClr val="002060"/>
                          </a:solidFill>
                        </a:defRPr>
                      </a:pPr>
                      <a:t>[CELLREF]</a:t>
                    </a:fld>
                    <a:r>
                      <a:rPr lang="en-US" b="1" baseline="0">
                        <a:solidFill>
                          <a:srgbClr val="002060"/>
                        </a:solidFill>
                      </a:rPr>
                      <a:t> D </a:t>
                    </a:r>
                    <a:fld id="{3877720B-337D-46D5-8E63-E71B6BC784D2}" type="CELLREF">
                      <a:rPr lang="en-US" b="1" baseline="0">
                        <a:solidFill>
                          <a:srgbClr val="002060"/>
                        </a:solidFill>
                      </a:rPr>
                      <a:pPr algn="l">
                        <a:defRPr b="1">
                          <a:solidFill>
                            <a:srgbClr val="002060"/>
                          </a:solidFill>
                        </a:defRPr>
                      </a:pPr>
                      <a:t>[CELLREF]</a:t>
                    </a:fld>
                    <a:endParaRPr lang="en-US" b="1" baseline="0">
                      <a:solidFill>
                        <a:srgbClr val="002060"/>
                      </a:solidFill>
                    </a:endParaRPr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534823680457933"/>
                      <c:h val="0.14954182165204472"/>
                    </c:manualLayout>
                  </c15:layout>
                  <c15:dlblFieldTable>
                    <c15:dlblFTEntry>
                      <c15:txfldGUID>{BF33BBF1-8FFB-4EB2-AA66-E36CF0FE5623}</c15:txfldGUID>
                      <c15:f>Process!$G$384</c15:f>
                      <c15:dlblFieldTableCache>
                        <c:ptCount val="1"/>
                        <c:pt idx="0">
                          <c:v>3</c:v>
                        </c:pt>
                      </c15:dlblFieldTableCache>
                    </c15:dlblFTEntry>
                    <c15:dlblFTEntry>
                      <c15:txfldGUID>{3877720B-337D-46D5-8E63-E71B6BC784D2}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B7C9-4BA1-8E82-641C24C03A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'Pic database'!$C$31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database'!$D$31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B7C9-4BA1-8E82-641C24C03A04}"/>
            </c:ext>
          </c:extLst>
        </c:ser>
        <c:ser>
          <c:idx val="38"/>
          <c:order val="37"/>
          <c:tx>
            <c:v>n4-4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B7C9-4BA1-8E82-641C24C03A04}"/>
            </c:ext>
          </c:extLst>
        </c:ser>
        <c:ser>
          <c:idx val="39"/>
          <c:order val="38"/>
          <c:tx>
            <c:v>n4-5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B7C9-4BA1-8E82-641C24C03A04}"/>
            </c:ext>
          </c:extLst>
        </c:ser>
        <c:ser>
          <c:idx val="40"/>
          <c:order val="39"/>
          <c:tx>
            <c:v>n4-6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B7C9-4BA1-8E82-641C24C03A04}"/>
            </c:ext>
          </c:extLst>
        </c:ser>
        <c:ser>
          <c:idx val="41"/>
          <c:order val="40"/>
          <c:tx>
            <c:v>n4-7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B7C9-4BA1-8E82-641C24C03A04}"/>
            </c:ext>
          </c:extLst>
        </c:ser>
        <c:ser>
          <c:idx val="42"/>
          <c:order val="41"/>
          <c:tx>
            <c:v>n4-8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B7C9-4BA1-8E82-641C24C03A04}"/>
            </c:ext>
          </c:extLst>
        </c:ser>
        <c:ser>
          <c:idx val="43"/>
          <c:order val="42"/>
          <c:tx>
            <c:v>n4-9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B7C9-4BA1-8E82-641C24C03A04}"/>
            </c:ext>
          </c:extLst>
        </c:ser>
        <c:ser>
          <c:idx val="44"/>
          <c:order val="43"/>
          <c:tx>
            <c:v>n4-10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B7C9-4BA1-8E82-641C24C03A04}"/>
            </c:ext>
          </c:extLst>
        </c:ser>
        <c:ser>
          <c:idx val="45"/>
          <c:order val="44"/>
          <c:tx>
            <c:v>n5-1</c:v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database'!$G$29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B7C9-4BA1-8E82-641C24C03A04}"/>
            </c:ext>
          </c:extLst>
        </c:ser>
        <c:ser>
          <c:idx val="46"/>
          <c:order val="45"/>
          <c:tx>
            <c:v>n5-2</c:v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B7C9-4BA1-8E82-641C24C03A04}"/>
            </c:ext>
          </c:extLst>
        </c:ser>
        <c:ser>
          <c:idx val="47"/>
          <c:order val="46"/>
          <c:tx>
            <c:v>n5-3</c:v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B7C9-4BA1-8E82-641C24C03A04}"/>
            </c:ext>
          </c:extLst>
        </c:ser>
        <c:ser>
          <c:idx val="48"/>
          <c:order val="47"/>
          <c:tx>
            <c:v>n5-4</c:v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B7C9-4BA1-8E82-641C24C03A04}"/>
            </c:ext>
          </c:extLst>
        </c:ser>
        <c:ser>
          <c:idx val="49"/>
          <c:order val="48"/>
          <c:tx>
            <c:v>n5-5</c:v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B7C9-4BA1-8E82-641C24C03A04}"/>
            </c:ext>
          </c:extLst>
        </c:ser>
        <c:ser>
          <c:idx val="50"/>
          <c:order val="49"/>
          <c:tx>
            <c:v>n5-6</c:v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B7C9-4BA1-8E82-641C24C03A04}"/>
            </c:ext>
          </c:extLst>
        </c:ser>
        <c:ser>
          <c:idx val="51"/>
          <c:order val="50"/>
          <c:tx>
            <c:v>n5-7</c:v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B7C9-4BA1-8E82-641C24C03A04}"/>
            </c:ext>
          </c:extLst>
        </c:ser>
        <c:ser>
          <c:idx val="52"/>
          <c:order val="51"/>
          <c:tx>
            <c:v>n5-8</c:v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B7C9-4BA1-8E82-641C24C03A04}"/>
            </c:ext>
          </c:extLst>
        </c:ser>
        <c:ser>
          <c:idx val="53"/>
          <c:order val="52"/>
          <c:tx>
            <c:v>n5-9</c:v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B7C9-4BA1-8E82-641C24C03A04}"/>
            </c:ext>
          </c:extLst>
        </c:ser>
        <c:ser>
          <c:idx val="54"/>
          <c:order val="53"/>
          <c:tx>
            <c:v>n5-10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B7C9-4BA1-8E82-641C24C03A04}"/>
            </c:ext>
          </c:extLst>
        </c:ser>
        <c:ser>
          <c:idx val="55"/>
          <c:order val="54"/>
          <c:tx>
            <c:v>n6-1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database'!$J$29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B7C9-4BA1-8E82-641C24C03A04}"/>
            </c:ext>
          </c:extLst>
        </c:ser>
        <c:ser>
          <c:idx val="56"/>
          <c:order val="55"/>
          <c:tx>
            <c:v>n6-2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B7C9-4BA1-8E82-641C24C03A04}"/>
            </c:ext>
          </c:extLst>
        </c:ser>
        <c:ser>
          <c:idx val="57"/>
          <c:order val="56"/>
          <c:tx>
            <c:v>n6-3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B7C9-4BA1-8E82-641C24C03A04}"/>
            </c:ext>
          </c:extLst>
        </c:ser>
        <c:ser>
          <c:idx val="58"/>
          <c:order val="57"/>
          <c:tx>
            <c:v>n6-4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B7C9-4BA1-8E82-641C24C03A04}"/>
            </c:ext>
          </c:extLst>
        </c:ser>
        <c:ser>
          <c:idx val="59"/>
          <c:order val="58"/>
          <c:tx>
            <c:v>n6-5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B7C9-4BA1-8E82-641C24C03A04}"/>
            </c:ext>
          </c:extLst>
        </c:ser>
        <c:ser>
          <c:idx val="60"/>
          <c:order val="59"/>
          <c:tx>
            <c:v>n6-6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B7C9-4BA1-8E82-641C24C03A04}"/>
            </c:ext>
          </c:extLst>
        </c:ser>
        <c:ser>
          <c:idx val="61"/>
          <c:order val="60"/>
          <c:tx>
            <c:v>n6-7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B7C9-4BA1-8E82-641C24C03A04}"/>
            </c:ext>
          </c:extLst>
        </c:ser>
        <c:ser>
          <c:idx val="62"/>
          <c:order val="61"/>
          <c:tx>
            <c:v>n6-8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B7C9-4BA1-8E82-641C24C03A04}"/>
            </c:ext>
          </c:extLst>
        </c:ser>
        <c:ser>
          <c:idx val="63"/>
          <c:order val="62"/>
          <c:tx>
            <c:v>n6-9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B7C9-4BA1-8E82-641C24C03A04}"/>
            </c:ext>
          </c:extLst>
        </c:ser>
        <c:ser>
          <c:idx val="64"/>
          <c:order val="63"/>
          <c:tx>
            <c:v>n6-10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B7C9-4BA1-8E82-641C24C03A04}"/>
            </c:ext>
          </c:extLst>
        </c:ser>
        <c:ser>
          <c:idx val="24"/>
          <c:order val="64"/>
          <c:tx>
            <c:v>t1-x1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8776745932940467"/>
                      <c:h val="8.6235822234344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4-B7C9-4BA1-8E82-641C24C03A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database'!$C$42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database'!$D$42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B7C9-4BA1-8E82-641C24C03A04}"/>
            </c:ext>
          </c:extLst>
        </c:ser>
        <c:ser>
          <c:idx val="65"/>
          <c:order val="65"/>
          <c:tx>
            <c:v>t1-x2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602535529376993E-2"/>
                  <c:y val="-7.72802099563915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d</a:t>
                    </a:r>
                    <a:r>
                      <a:rPr lang="en-US" b="1" baseline="-25000"/>
                      <a:t>b-badan</a:t>
                    </a:r>
                    <a:r>
                      <a:rPr lang="en-US" b="1"/>
                      <a:t> = </a:t>
                    </a:r>
                    <a:fld id="{D722A59E-7E4A-4459-A594-5F230440DBE2}" type="CELLREF">
                      <a:rPr lang="en-US" b="1"/>
                      <a:pPr algn="l">
                        <a:defRPr b="1"/>
                      </a:pPr>
                      <a:t>[CELLREF]</a:t>
                    </a:fld>
                    <a:r>
                      <a:rPr lang="en-US" b="1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14249817451805"/>
                      <c:h val="6.357466362985878E-2"/>
                    </c:manualLayout>
                  </c15:layout>
                  <c15:dlblFieldTable>
                    <c15:dlblFTEntry>
                      <c15:txfldGUID>{D722A59E-7E4A-4459-A594-5F230440DBE2}</c15:txfldGUID>
                      <c15:f>Input!$H$24</c15:f>
                      <c15:dlblFieldTableCache>
                        <c:ptCount val="1"/>
                        <c:pt idx="0">
                          <c:v>13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B7C9-4BA1-8E82-641C24C03A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database'!$E$42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database'!$D$42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B7C9-4BA1-8E82-641C24C03A04}"/>
            </c:ext>
          </c:extLst>
        </c:ser>
        <c:ser>
          <c:idx val="67"/>
          <c:order val="66"/>
          <c:tx>
            <c:v>t2a-x1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database'!$C$43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database'!$D$43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B7C9-4BA1-8E82-641C24C03A04}"/>
            </c:ext>
          </c:extLst>
        </c:ser>
        <c:ser>
          <c:idx val="68"/>
          <c:order val="67"/>
          <c:tx>
            <c:v>t2a-x2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9-B7C9-4BA1-8E82-641C24C03A04}"/>
              </c:ext>
            </c:extLst>
          </c:dPt>
          <c:xVal>
            <c:numRef>
              <c:f>'Pic database'!$E$43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database'!$D$43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B7C9-4BA1-8E82-641C24C03A04}"/>
            </c:ext>
          </c:extLst>
        </c:ser>
        <c:ser>
          <c:idx val="69"/>
          <c:order val="68"/>
          <c:tx>
            <c:v>t3-x1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database'!$C$44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database'!$D$44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B7C9-4BA1-8E82-641C24C03A04}"/>
            </c:ext>
          </c:extLst>
        </c:ser>
        <c:ser>
          <c:idx val="70"/>
          <c:order val="69"/>
          <c:tx>
            <c:v>t3-x2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database'!$E$44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database'!$D$44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B7C9-4BA1-8E82-641C24C03A04}"/>
            </c:ext>
          </c:extLst>
        </c:ser>
        <c:ser>
          <c:idx val="66"/>
          <c:order val="70"/>
          <c:tx>
            <c:v>Sengkang Atas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database'!$H$42:$I$42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database'!$H$43:$I$43</c:f>
              <c:numCache>
                <c:formatCode>General</c:formatCode>
                <c:ptCount val="2"/>
                <c:pt idx="0">
                  <c:v>104.04</c:v>
                </c:pt>
                <c:pt idx="1">
                  <c:v>104.04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B7C9-4BA1-8E82-641C24C03A04}"/>
            </c:ext>
          </c:extLst>
        </c:ser>
        <c:ser>
          <c:idx val="71"/>
          <c:order val="71"/>
          <c:tx>
            <c:v>Sengkang bawah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database'!$H$45:$I$45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database'!$H$46:$I$46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B7C9-4BA1-8E82-641C24C03A04}"/>
            </c:ext>
          </c:extLst>
        </c:ser>
        <c:ser>
          <c:idx val="72"/>
          <c:order val="72"/>
          <c:tx>
            <c:v>Sengkang Kanan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487535632737543E-2"/>
                  <c:y val="-1.14501828505100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1"/>
                      <a:t>d</a:t>
                    </a:r>
                    <a:r>
                      <a:rPr lang="en-US" sz="900" b="1" baseline="-25000"/>
                      <a:t>b-sengkang</a:t>
                    </a:r>
                    <a:r>
                      <a:rPr lang="en-US" sz="900" b="1"/>
                      <a:t> = </a:t>
                    </a:r>
                    <a:fld id="{177ECC68-861F-4F77-A334-A4A426A045A1}" type="CELLREF">
                      <a:rPr lang="en-US" sz="900" b="1"/>
                      <a:pPr algn="l">
                        <a:defRPr b="1"/>
                      </a:pPr>
                      <a:t>[CELLREF]</a:t>
                    </a:fld>
                    <a:r>
                      <a:rPr lang="en-US" sz="900" b="1"/>
                      <a:t> mm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99992628493993"/>
                      <c:h val="5.337801458608657E-2"/>
                    </c:manualLayout>
                  </c15:layout>
                  <c15:dlblFieldTable>
                    <c15:dlblFTEntry>
                      <c15:txfldGUID>{177ECC68-861F-4F77-A334-A4A426A045A1}</c15:txfldGUID>
                      <c15:f>Input!$H$23</c15:f>
                      <c15:dlblFieldTableCache>
                        <c:ptCount val="1"/>
                        <c:pt idx="0">
                          <c:v>12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B7C9-4BA1-8E82-641C24C03A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database'!$J$42:$L$42</c:f>
              <c:numCache>
                <c:formatCode>0.00</c:formatCode>
                <c:ptCount val="3"/>
                <c:pt idx="0">
                  <c:v>84.6</c:v>
                </c:pt>
                <c:pt idx="1">
                  <c:v>84.6</c:v>
                </c:pt>
                <c:pt idx="2">
                  <c:v>84.6</c:v>
                </c:pt>
              </c:numCache>
            </c:numRef>
          </c:xVal>
          <c:yVal>
            <c:numRef>
              <c:f>'Pic database'!$J$43:$L$43</c:f>
              <c:numCache>
                <c:formatCode>0.00</c:formatCode>
                <c:ptCount val="3"/>
                <c:pt idx="0">
                  <c:v>102</c:v>
                </c:pt>
                <c:pt idx="1">
                  <c:v>52</c:v>
                </c:pt>
                <c:pt idx="2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B7C9-4BA1-8E82-641C24C03A04}"/>
            </c:ext>
          </c:extLst>
        </c:ser>
        <c:ser>
          <c:idx val="73"/>
          <c:order val="73"/>
          <c:tx>
            <c:v>Sengkang kiri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database'!$J$45:$K$45</c:f>
              <c:numCache>
                <c:formatCode>0.00</c:formatCode>
                <c:ptCount val="2"/>
                <c:pt idx="0">
                  <c:v>35.4</c:v>
                </c:pt>
                <c:pt idx="1">
                  <c:v>35.4</c:v>
                </c:pt>
              </c:numCache>
            </c:numRef>
          </c:xVal>
          <c:yVal>
            <c:numRef>
              <c:f>'Pic database'!$J$46:$K$46</c:f>
              <c:numCache>
                <c:formatCode>0.00</c:formatCode>
                <c:ptCount val="2"/>
                <c:pt idx="0">
                  <c:v>102</c:v>
                </c:pt>
                <c:pt idx="1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B7C9-4BA1-8E82-641C24C03A04}"/>
            </c:ext>
          </c:extLst>
        </c:ser>
        <c:ser>
          <c:idx val="75"/>
          <c:order val="74"/>
          <c:tx>
            <c:v>s2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2-B7C9-4BA1-8E82-641C24C03A04}"/>
            </c:ext>
          </c:extLst>
        </c:ser>
        <c:ser>
          <c:idx val="76"/>
          <c:order val="75"/>
          <c:tx>
            <c:v>s3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3-B7C9-4BA1-8E82-641C24C0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  <c:extLst>
          <c:ext xmlns:c15="http://schemas.microsoft.com/office/drawing/2012/chart" uri="{02D57815-91ED-43cb-92C2-25804820EDAC}">
            <c15:filteredScatterSeries>
              <c15:ser>
                <c:idx val="77"/>
                <c:order val="76"/>
                <c:tx>
                  <c:v>dimensi h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54-B7C9-4BA1-8E82-641C24C03A04}"/>
                    </c:ext>
                  </c:extLst>
                </c:dPt>
                <c:xVal>
                  <c:numRef>
                    <c:extLst>
                      <c:ext uri="{02D57815-91ED-43cb-92C2-25804820EDAC}">
                        <c15:formulaRef>
                          <c15:sqref>'Pic database'!$D$56:$D$57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'Pic database'!$E$56:$E$57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60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55-B7C9-4BA1-8E82-641C24C03A04}"/>
                  </c:ext>
                </c:extLst>
              </c15:ser>
            </c15:filteredScatterSeries>
            <c15:filteredScatterSeries>
              <c15:ser>
                <c:idx val="78"/>
                <c:order val="77"/>
                <c:tx>
                  <c:v>dimensi b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B7C9-4BA1-8E82-641C24C03A04}"/>
                    </c:ext>
                  </c:extLst>
                </c:dPt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database'!$B$56:$B$57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30</c:v>
                      </c:pt>
                      <c:pt idx="1">
                        <c:v>60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database'!$C$56:$C$57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-5</c:v>
                      </c:pt>
                      <c:pt idx="1">
                        <c:v>-5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7-B7C9-4BA1-8E82-641C24C03A04}"/>
                  </c:ext>
                </c:extLst>
              </c15:ser>
            </c15:filteredScatterSeries>
            <c15:filteredScatterSeries>
              <c15:ser>
                <c:idx val="74"/>
                <c:order val="78"/>
                <c:tx>
                  <c:v>dimensi b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B7C9-4BA1-8E82-641C24C03A04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0.18385632569471416"/>
                        <c:y val="3.7735663348685188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b</a:t>
                          </a:r>
                          <a:r>
                            <a:rPr lang="en-US" sz="1000" b="1" baseline="-25000"/>
                            <a:t>w</a:t>
                          </a:r>
                          <a:endParaRPr lang="en-US" sz="1000" b="1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32766816143497751"/>
                            <c:h val="6.596716683999404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59-B7C9-4BA1-8E82-641C24C03A0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database'!$B$57:$B$58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60</c:v>
                      </c:pt>
                      <c:pt idx="1">
                        <c:v>90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database'!$C$57:$C$58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-5</c:v>
                      </c:pt>
                      <c:pt idx="1">
                        <c:v>-5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A-B7C9-4BA1-8E82-641C24C03A04}"/>
                  </c:ext>
                </c:extLst>
              </c15:ser>
            </c15:filteredScatterSeries>
            <c15:filteredScatterSeries>
              <c15:ser>
                <c:idx val="79"/>
                <c:order val="79"/>
                <c:tx>
                  <c:v>dimensi h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B7C9-4BA1-8E82-641C24C03A04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0.16426481675661764"/>
                        <c:y val="-9.4630712956732897E-3"/>
                      </c:manualLayout>
                    </c:layout>
                    <c:tx>
                      <c:rich>
                        <a:bodyPr rot="-5400000" spcFirstLastPara="1" vertOverflow="ellipsis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h</a:t>
                          </a: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-5400000" spcFirstLastPara="1" vertOverflow="ellipsis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21315505532247889"/>
                            <c:h val="6.4469967415739543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5C-B7C9-4BA1-8E82-641C24C03A0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database'!$D$57:$D$58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database'!$E$57:$E$58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60</c:v>
                      </c:pt>
                      <c:pt idx="1">
                        <c:v>110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D-B7C9-4BA1-8E82-641C24C03A04}"/>
                  </c:ext>
                </c:extLst>
              </c15:ser>
            </c15:filteredScatterSeries>
            <c15:filteredScatterSeries>
              <c15:ser>
                <c:idx val="80"/>
                <c:order val="80"/>
                <c:tx>
                  <c:v>dimensi cc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rgbClr val="C00000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B7C9-4BA1-8E82-641C24C03A04}"/>
                    </c:ext>
                  </c:extLst>
                </c:dPt>
                <c:dPt>
                  <c:idx val="1"/>
                  <c:marker>
                    <c:symbol val="none"/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B7C9-4BA1-8E82-641C24C03A04}"/>
                    </c:ext>
                  </c:extLst>
                </c:dPt>
                <c:dPt>
                  <c:idx val="2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B7C9-4BA1-8E82-641C24C03A04}"/>
                    </c:ext>
                  </c:extLst>
                </c:dPt>
                <c:dLbls>
                  <c:dLbl>
                    <c:idx val="2"/>
                    <c:layout>
                      <c:manualLayout>
                        <c:x val="-8.4742734868062056E-3"/>
                        <c:y val="1.382339135587755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l"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c</a:t>
                          </a:r>
                          <a:r>
                            <a:rPr lang="en-US" sz="1000" b="1" baseline="-25000"/>
                            <a:t>c</a:t>
                          </a:r>
                          <a:endParaRPr lang="en-US" sz="1000" b="1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l"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347018749188112"/>
                            <c:h val="5.4064026663026801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60-B7C9-4BA1-8E82-641C24C03A0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database'!$F$56:$F$58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99.000000000000014</c:v>
                      </c:pt>
                      <c:pt idx="1">
                        <c:v>99.000000000000014</c:v>
                      </c:pt>
                      <c:pt idx="2">
                        <c:v>99.000000000000014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database'!$G$56:$G$58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10</c:v>
                      </c:pt>
                      <c:pt idx="1">
                        <c:v>13</c:v>
                      </c:pt>
                      <c:pt idx="2">
                        <c:v>16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1-B7C9-4BA1-8E82-641C24C03A04}"/>
                  </c:ext>
                </c:extLst>
              </c15:ser>
            </c15:filteredScatterSeries>
          </c:ext>
        </c:extLst>
      </c:scatterChart>
      <c:valAx>
        <c:axId val="671018880"/>
        <c:scaling>
          <c:orientation val="minMax"/>
          <c:max val="120"/>
          <c:min val="-10"/>
        </c:scaling>
        <c:delete val="1"/>
        <c:axPos val="b"/>
        <c:numFmt formatCode="General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20"/>
          <c:min val="-10"/>
        </c:scaling>
        <c:delete val="1"/>
        <c:axPos val="l"/>
        <c:numFmt formatCode="General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sng" strike="noStrike" kern="1200" spc="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r>
              <a:rPr lang="en-US" sz="1000" b="1" u="sng">
                <a:solidFill>
                  <a:schemeClr val="accent2"/>
                </a:solidFill>
              </a:rPr>
              <a:t>Tulangan pada daerah</a:t>
            </a:r>
            <a:r>
              <a:rPr lang="en-US" sz="1000" b="1" u="sng" baseline="0">
                <a:solidFill>
                  <a:schemeClr val="accent2"/>
                </a:solidFill>
              </a:rPr>
              <a:t> lapangan</a:t>
            </a:r>
          </a:p>
          <a:p>
            <a:pPr>
              <a:defRPr sz="1100" b="1" u="sng">
                <a:solidFill>
                  <a:schemeClr val="accent2"/>
                </a:solidFill>
              </a:defRPr>
            </a:pPr>
            <a:r>
              <a:rPr lang="en-US" sz="800" b="0" u="none" baseline="0">
                <a:solidFill>
                  <a:schemeClr val="accent2"/>
                </a:solidFill>
              </a:rPr>
              <a:t>(potongan B - B)</a:t>
            </a:r>
            <a:endParaRPr lang="en-US" sz="800" b="0" u="none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0.23615136520279226"/>
          <c:y val="2.3522755260775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sng" strike="noStrike" kern="1200" spc="0" baseline="0">
              <a:solidFill>
                <a:schemeClr val="accent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722132404680746E-3"/>
          <c:y val="0.19005230774735402"/>
          <c:w val="0.63153454055655012"/>
          <c:h val="0.71912349775204665"/>
        </c:manualLayout>
      </c:layout>
      <c:scatterChart>
        <c:scatterStyle val="lineMarker"/>
        <c:varyColors val="0"/>
        <c:ser>
          <c:idx val="0"/>
          <c:order val="0"/>
          <c:tx>
            <c:v>Sisi kiri Balok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database'!$B$7:$B$8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'Pic database'!$C$7:$C$8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8B-4561-81E7-9F78363563A0}"/>
            </c:ext>
          </c:extLst>
        </c:ser>
        <c:ser>
          <c:idx val="1"/>
          <c:order val="1"/>
          <c:tx>
            <c:v>Sisi Kanan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database'!$B$9:$B$10</c:f>
              <c:numCache>
                <c:formatCode>General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xVal>
          <c:yVal>
            <c:numRef>
              <c:f>'Pic database'!$C$9:$C$10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8B-4561-81E7-9F78363563A0}"/>
            </c:ext>
          </c:extLst>
        </c:ser>
        <c:ser>
          <c:idx val="2"/>
          <c:order val="2"/>
          <c:tx>
            <c:v>Sisi Atas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database'!$B$11:$B$12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database'!$C$11:$C$12</c:f>
              <c:numCache>
                <c:formatCode>0</c:formatCode>
                <c:ptCount val="2"/>
                <c:pt idx="0">
                  <c:v>110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8B-4561-81E7-9F78363563A0}"/>
            </c:ext>
          </c:extLst>
        </c:ser>
        <c:ser>
          <c:idx val="3"/>
          <c:order val="3"/>
          <c:tx>
            <c:v>Sisi Bawah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database'!$B$13:$B$14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database'!$C$13:$C$14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8B-4561-81E7-9F78363563A0}"/>
            </c:ext>
          </c:extLst>
        </c:ser>
        <c:ser>
          <c:idx val="4"/>
          <c:order val="4"/>
          <c:tx>
            <c:v>n1-1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82828756036318E-17"/>
                  <c:y val="-0.1071909866580763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d</a:t>
                    </a:r>
                    <a:r>
                      <a:rPr lang="en-US" baseline="-25000"/>
                      <a:t>b-longitudinal</a:t>
                    </a:r>
                    <a:r>
                      <a:rPr lang="en-US"/>
                      <a:t> = </a:t>
                    </a:r>
                    <a:fld id="{90F303BE-CA70-476F-8848-D74D7AC26934}" type="CELLREF">
                      <a:rPr lang="en-US"/>
                      <a:pPr algn="l">
                        <a:defRPr b="1"/>
                      </a:pPr>
                      <a:t>[CELLREF]</a:t>
                    </a:fld>
                    <a:r>
                      <a:rPr lang="en-US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425873844917637"/>
                      <c:h val="8.9125161156004634E-2"/>
                    </c:manualLayout>
                  </c15:layout>
                  <c15:dlblFieldTable>
                    <c15:dlblFTEntry>
                      <c15:txfldGUID>{90F303BE-CA70-476F-8848-D74D7AC26934}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E8B-4561-81E7-9F78363563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database'!$N$18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database'!$O$18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8B-4561-81E7-9F78363563A0}"/>
            </c:ext>
          </c:extLst>
        </c:ser>
        <c:ser>
          <c:idx val="5"/>
          <c:order val="5"/>
          <c:tx>
            <c:v>n1-2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E8B-4561-81E7-9F78363563A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34801124949779028"/>
                      <c:h val="0.160585936153736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E8B-4561-81E7-9F78363563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database'!$N$19</c:f>
              <c:numCache>
                <c:formatCode>0.00</c:formatCode>
                <c:ptCount val="1"/>
                <c:pt idx="0">
                  <c:v>60</c:v>
                </c:pt>
              </c:numCache>
            </c:numRef>
          </c:xVal>
          <c:yVal>
            <c:numRef>
              <c:f>'Pic database'!$O$19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E8B-4561-81E7-9F78363563A0}"/>
            </c:ext>
          </c:extLst>
        </c:ser>
        <c:ser>
          <c:idx val="6"/>
          <c:order val="6"/>
          <c:tx>
            <c:v>n1-3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2362394535958214E-2"/>
                  <c:y val="-6.699271817516230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accent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Tulangan tekan</a:t>
                    </a:r>
                  </a:p>
                  <a:p>
                    <a:pPr algn="l"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42054C54-C713-47DB-9A0B-62D804D3B701}" type="CELLREF"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 algn="l"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[CELLREF]</a:t>
                    </a:fld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 D</a:t>
                    </a:r>
                    <a:r>
                      <a:rPr lang="en-US" b="1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 </a:t>
                    </a:r>
                    <a:fld id="{1A6BBD65-38CD-4CF8-86DE-34A6266ADD5A}" type="CELLREF">
                      <a:rPr lang="en-US" b="1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 algn="l"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[CELLREF]</a:t>
                    </a:fld>
                    <a:endParaRPr lang="en-US" b="1" baseline="0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453595821615108"/>
                      <c:h val="0.12932184709222869"/>
                    </c:manualLayout>
                  </c15:layout>
                  <c15:dlblFieldTable>
                    <c15:dlblFTEntry>
                      <c15:txfldGUID>{42054C54-C713-47DB-9A0B-62D804D3B701}</c15:txfldGUID>
                      <c15:f>Process!$G$415</c15:f>
                      <c15:dlblFieldTableCache>
                        <c:ptCount val="1"/>
                        <c:pt idx="0">
                          <c:v>3</c:v>
                        </c:pt>
                      </c15:dlblFieldTableCache>
                    </c15:dlblFTEntry>
                    <c15:dlblFTEntry>
                      <c15:txfldGUID>{1A6BBD65-38CD-4CF8-86DE-34A6266ADD5A}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E8B-4561-81E7-9F78363563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'Pic database'!$N$20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database'!$O$20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E8B-4561-81E7-9F78363563A0}"/>
            </c:ext>
          </c:extLst>
        </c:ser>
        <c:ser>
          <c:idx val="7"/>
          <c:order val="7"/>
          <c:tx>
            <c:v>n1-4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E8B-4561-81E7-9F78363563A0}"/>
            </c:ext>
          </c:extLst>
        </c:ser>
        <c:ser>
          <c:idx val="8"/>
          <c:order val="8"/>
          <c:tx>
            <c:v>n1-5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E8B-4561-81E7-9F78363563A0}"/>
            </c:ext>
          </c:extLst>
        </c:ser>
        <c:ser>
          <c:idx val="9"/>
          <c:order val="9"/>
          <c:tx>
            <c:v>n1-6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E8B-4561-81E7-9F78363563A0}"/>
            </c:ext>
          </c:extLst>
        </c:ser>
        <c:ser>
          <c:idx val="10"/>
          <c:order val="10"/>
          <c:tx>
            <c:v>n1-7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E8B-4561-81E7-9F78363563A0}"/>
            </c:ext>
          </c:extLst>
        </c:ser>
        <c:ser>
          <c:idx val="11"/>
          <c:order val="11"/>
          <c:tx>
            <c:v>n1-8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E8B-4561-81E7-9F78363563A0}"/>
            </c:ext>
          </c:extLst>
        </c:ser>
        <c:ser>
          <c:idx val="12"/>
          <c:order val="12"/>
          <c:tx>
            <c:v>n1-9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E8B-4561-81E7-9F78363563A0}"/>
            </c:ext>
          </c:extLst>
        </c:ser>
        <c:ser>
          <c:idx val="13"/>
          <c:order val="13"/>
          <c:tx>
            <c:v>n1-10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database'!$N$27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E8B-4561-81E7-9F78363563A0}"/>
            </c:ext>
          </c:extLst>
        </c:ser>
        <c:ser>
          <c:idx val="14"/>
          <c:order val="14"/>
          <c:tx>
            <c:v>n2-1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database'!$Q$18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database'!$R$18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E8B-4561-81E7-9F78363563A0}"/>
            </c:ext>
          </c:extLst>
        </c:ser>
        <c:ser>
          <c:idx val="15"/>
          <c:order val="15"/>
          <c:tx>
            <c:v>n2-2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database'!$Q$19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E8B-4561-81E7-9F78363563A0}"/>
            </c:ext>
          </c:extLst>
        </c:ser>
        <c:ser>
          <c:idx val="16"/>
          <c:order val="16"/>
          <c:tx>
            <c:v>n2-3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database'!$Q$20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E8B-4561-81E7-9F78363563A0}"/>
            </c:ext>
          </c:extLst>
        </c:ser>
        <c:ser>
          <c:idx val="17"/>
          <c:order val="17"/>
          <c:tx>
            <c:v>n2-4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database'!$Q$21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E8B-4561-81E7-9F78363563A0}"/>
            </c:ext>
          </c:extLst>
        </c:ser>
        <c:ser>
          <c:idx val="18"/>
          <c:order val="18"/>
          <c:tx>
            <c:v>n2-5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E8B-4561-81E7-9F78363563A0}"/>
            </c:ext>
          </c:extLst>
        </c:ser>
        <c:ser>
          <c:idx val="19"/>
          <c:order val="19"/>
          <c:tx>
            <c:v>n2-6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E8B-4561-81E7-9F78363563A0}"/>
            </c:ext>
          </c:extLst>
        </c:ser>
        <c:ser>
          <c:idx val="20"/>
          <c:order val="20"/>
          <c:tx>
            <c:v>n2-7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E8B-4561-81E7-9F78363563A0}"/>
            </c:ext>
          </c:extLst>
        </c:ser>
        <c:ser>
          <c:idx val="21"/>
          <c:order val="21"/>
          <c:tx>
            <c:v>n2-8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E8B-4561-81E7-9F78363563A0}"/>
            </c:ext>
          </c:extLst>
        </c:ser>
        <c:ser>
          <c:idx val="22"/>
          <c:order val="22"/>
          <c:tx>
            <c:v>n2-9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E8B-4561-81E7-9F78363563A0}"/>
            </c:ext>
          </c:extLst>
        </c:ser>
        <c:ser>
          <c:idx val="23"/>
          <c:order val="23"/>
          <c:tx>
            <c:v>n2-10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'Pic database'!$Q$27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E8B-4561-81E7-9F78363563A0}"/>
            </c:ext>
          </c:extLst>
        </c:ser>
        <c:ser>
          <c:idx val="25"/>
          <c:order val="24"/>
          <c:tx>
            <c:v>n3-1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database'!$T$18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database'!$U$18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E8B-4561-81E7-9F78363563A0}"/>
            </c:ext>
          </c:extLst>
        </c:ser>
        <c:ser>
          <c:idx val="26"/>
          <c:order val="25"/>
          <c:tx>
            <c:v>n3-2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database'!$T$19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E8B-4561-81E7-9F78363563A0}"/>
            </c:ext>
          </c:extLst>
        </c:ser>
        <c:ser>
          <c:idx val="27"/>
          <c:order val="26"/>
          <c:tx>
            <c:v>n3-3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database'!$T$20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9E8B-4561-81E7-9F78363563A0}"/>
            </c:ext>
          </c:extLst>
        </c:ser>
        <c:ser>
          <c:idx val="28"/>
          <c:order val="27"/>
          <c:tx>
            <c:v>n3-4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database'!$T$21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E8B-4561-81E7-9F78363563A0}"/>
            </c:ext>
          </c:extLst>
        </c:ser>
        <c:ser>
          <c:idx val="29"/>
          <c:order val="28"/>
          <c:tx>
            <c:v>n3-5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database'!$T$22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9E8B-4561-81E7-9F78363563A0}"/>
            </c:ext>
          </c:extLst>
        </c:ser>
        <c:ser>
          <c:idx val="30"/>
          <c:order val="29"/>
          <c:tx>
            <c:v>n3-6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database'!$T$23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9E8B-4561-81E7-9F78363563A0}"/>
            </c:ext>
          </c:extLst>
        </c:ser>
        <c:ser>
          <c:idx val="31"/>
          <c:order val="30"/>
          <c:tx>
            <c:v>n3-7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database'!$T$24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9E8B-4561-81E7-9F78363563A0}"/>
            </c:ext>
          </c:extLst>
        </c:ser>
        <c:ser>
          <c:idx val="32"/>
          <c:order val="31"/>
          <c:tx>
            <c:v>n3-8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database'!$T$25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9E8B-4561-81E7-9F78363563A0}"/>
            </c:ext>
          </c:extLst>
        </c:ser>
        <c:ser>
          <c:idx val="33"/>
          <c:order val="32"/>
          <c:tx>
            <c:v>n3-9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database'!$T$26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9E8B-4561-81E7-9F78363563A0}"/>
            </c:ext>
          </c:extLst>
        </c:ser>
        <c:ser>
          <c:idx val="34"/>
          <c:order val="33"/>
          <c:tx>
            <c:v>n3-10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database'!$T$27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9E8B-4561-81E7-9F78363563A0}"/>
            </c:ext>
          </c:extLst>
        </c:ser>
        <c:ser>
          <c:idx val="35"/>
          <c:order val="34"/>
          <c:tx>
            <c:v>n4-1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039790827673258E-2"/>
                  <c:y val="0.1161241110483562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d</a:t>
                    </a:r>
                    <a:r>
                      <a:rPr lang="en-US" baseline="-25000"/>
                      <a:t>b-longitudinal</a:t>
                    </a:r>
                    <a:r>
                      <a:rPr lang="en-US"/>
                      <a:t> = </a:t>
                    </a:r>
                    <a:fld id="{6D790EA6-5416-4FB3-B22B-4D05A6D4B4E7}" type="CELLREF">
                      <a:rPr lang="en-US"/>
                      <a:pPr algn="ctr">
                        <a:defRPr b="1"/>
                      </a:pPr>
                      <a:t>[CELLREF]</a:t>
                    </a:fld>
                    <a:r>
                      <a:rPr lang="en-US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613499397348327"/>
                      <c:h val="8.0192564281288181E-2"/>
                    </c:manualLayout>
                  </c15:layout>
                  <c15:dlblFieldTable>
                    <c15:dlblFTEntry>
                      <c15:txfldGUID>{6D790EA6-5416-4FB3-B22B-4D05A6D4B4E7}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9E8B-4561-81E7-9F78363563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database'!$N$29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database'!$O$29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9E8B-4561-81E7-9F78363563A0}"/>
            </c:ext>
          </c:extLst>
        </c:ser>
        <c:ser>
          <c:idx val="36"/>
          <c:order val="35"/>
          <c:tx>
            <c:v>n4-2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database'!$N$30</c:f>
              <c:numCache>
                <c:formatCode>0.00</c:formatCode>
                <c:ptCount val="1"/>
                <c:pt idx="0">
                  <c:v>52.666666666666664</c:v>
                </c:pt>
              </c:numCache>
            </c:numRef>
          </c:xVal>
          <c:yVal>
            <c:numRef>
              <c:f>'Pic database'!$O$30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9E8B-4561-81E7-9F78363563A0}"/>
            </c:ext>
          </c:extLst>
        </c:ser>
        <c:ser>
          <c:idx val="37"/>
          <c:order val="36"/>
          <c:tx>
            <c:v>n4-3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database'!$N$31</c:f>
              <c:numCache>
                <c:formatCode>0.00</c:formatCode>
                <c:ptCount val="1"/>
                <c:pt idx="0">
                  <c:v>67.333333333333329</c:v>
                </c:pt>
              </c:numCache>
            </c:numRef>
          </c:xVal>
          <c:yVal>
            <c:numRef>
              <c:f>'Pic database'!$O$31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9E8B-4561-81E7-9F78363563A0}"/>
            </c:ext>
          </c:extLst>
        </c:ser>
        <c:ser>
          <c:idx val="38"/>
          <c:order val="37"/>
          <c:tx>
            <c:v>n4-4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  <a:alpha val="97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7.4327038971474566E-2"/>
                  <c:y val="-4.466298437358318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accent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Tulangan tarik</a:t>
                    </a:r>
                  </a:p>
                  <a:p>
                    <a:pPr algn="l"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51163E63-B1DA-4356-BDA6-5DECA423BCFD}" type="CELLREF">
                      <a:rPr lang="en-US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 algn="l"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[CELLREF]</a:t>
                    </a:fld>
                    <a:r>
                      <a:rPr lang="en-US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 D</a:t>
                    </a:r>
                    <a:r>
                      <a:rPr lang="en-US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 </a:t>
                    </a:r>
                    <a:fld id="{54F4229B-1B2C-4811-A806-F28B8C96B1DC}" type="CELLREF">
                      <a:rPr lang="en-US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 algn="l"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[CELLREF]</a:t>
                    </a:fld>
                    <a:endParaRPr lang="en-US" baseline="0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257131378063484"/>
                      <c:h val="0.12485554865487047"/>
                    </c:manualLayout>
                  </c15:layout>
                  <c15:dlblFieldTable>
                    <c15:dlblFTEntry>
                      <c15:txfldGUID>{51163E63-B1DA-4356-BDA6-5DECA423BCFD}</c15:txfldGUID>
                      <c15:f>Process!$G$416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  <c15:dlblFTEntry>
                      <c15:txfldGUID>{54F4229B-1B2C-4811-A806-F28B8C96B1DC}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9E8B-4561-81E7-9F78363563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'Pic database'!$N$32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database'!$O$32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9E8B-4561-81E7-9F78363563A0}"/>
            </c:ext>
          </c:extLst>
        </c:ser>
        <c:ser>
          <c:idx val="39"/>
          <c:order val="38"/>
          <c:tx>
            <c:v>n4-5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9E8B-4561-81E7-9F78363563A0}"/>
            </c:ext>
          </c:extLst>
        </c:ser>
        <c:ser>
          <c:idx val="40"/>
          <c:order val="39"/>
          <c:tx>
            <c:v>n4-6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9E8B-4561-81E7-9F78363563A0}"/>
            </c:ext>
          </c:extLst>
        </c:ser>
        <c:ser>
          <c:idx val="41"/>
          <c:order val="40"/>
          <c:tx>
            <c:v>n4-7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9E8B-4561-81E7-9F78363563A0}"/>
            </c:ext>
          </c:extLst>
        </c:ser>
        <c:ser>
          <c:idx val="42"/>
          <c:order val="41"/>
          <c:tx>
            <c:v>n4-8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9E8B-4561-81E7-9F78363563A0}"/>
            </c:ext>
          </c:extLst>
        </c:ser>
        <c:ser>
          <c:idx val="43"/>
          <c:order val="42"/>
          <c:tx>
            <c:v>n4-9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'Pic database'!$N$37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9E8B-4561-81E7-9F78363563A0}"/>
            </c:ext>
          </c:extLst>
        </c:ser>
        <c:ser>
          <c:idx val="44"/>
          <c:order val="43"/>
          <c:tx>
            <c:v>n4-10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'Pic database'!$N$38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database'!$O$38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9E8B-4561-81E7-9F78363563A0}"/>
            </c:ext>
          </c:extLst>
        </c:ser>
        <c:ser>
          <c:idx val="45"/>
          <c:order val="44"/>
          <c:tx>
            <c:v>n5-1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9E8B-4561-81E7-9F78363563A0}"/>
              </c:ext>
            </c:extLst>
          </c:dPt>
          <c:xVal>
            <c:numRef>
              <c:f>'Pic database'!$Q$29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database'!$R$29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9E8B-4561-81E7-9F78363563A0}"/>
            </c:ext>
          </c:extLst>
        </c:ser>
        <c:ser>
          <c:idx val="46"/>
          <c:order val="45"/>
          <c:tx>
            <c:v>n5-2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'Pic database'!$Q$30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9E8B-4561-81E7-9F78363563A0}"/>
            </c:ext>
          </c:extLst>
        </c:ser>
        <c:ser>
          <c:idx val="47"/>
          <c:order val="46"/>
          <c:tx>
            <c:v>n5-3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'Pic database'!$Q$31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9E8B-4561-81E7-9F78363563A0}"/>
            </c:ext>
          </c:extLst>
        </c:ser>
        <c:ser>
          <c:idx val="48"/>
          <c:order val="47"/>
          <c:tx>
            <c:v>n5-4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9E8B-4561-81E7-9F78363563A0}"/>
            </c:ext>
          </c:extLst>
        </c:ser>
        <c:ser>
          <c:idx val="49"/>
          <c:order val="48"/>
          <c:tx>
            <c:v>n5-5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9E8B-4561-81E7-9F78363563A0}"/>
            </c:ext>
          </c:extLst>
        </c:ser>
        <c:ser>
          <c:idx val="50"/>
          <c:order val="49"/>
          <c:tx>
            <c:v>n5-6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9E8B-4561-81E7-9F78363563A0}"/>
            </c:ext>
          </c:extLst>
        </c:ser>
        <c:ser>
          <c:idx val="51"/>
          <c:order val="50"/>
          <c:tx>
            <c:v>n5-7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9E8B-4561-81E7-9F78363563A0}"/>
            </c:ext>
          </c:extLst>
        </c:ser>
        <c:ser>
          <c:idx val="52"/>
          <c:order val="51"/>
          <c:tx>
            <c:v>n5-8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9E8B-4561-81E7-9F78363563A0}"/>
            </c:ext>
          </c:extLst>
        </c:ser>
        <c:ser>
          <c:idx val="53"/>
          <c:order val="52"/>
          <c:tx>
            <c:v>n5-9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'Pic database'!$Q$37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9E8B-4561-81E7-9F78363563A0}"/>
            </c:ext>
          </c:extLst>
        </c:ser>
        <c:ser>
          <c:idx val="54"/>
          <c:order val="53"/>
          <c:tx>
            <c:v>n5-10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'Pic database'!$Q$38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database'!$R$38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9E8B-4561-81E7-9F78363563A0}"/>
            </c:ext>
          </c:extLst>
        </c:ser>
        <c:ser>
          <c:idx val="55"/>
          <c:order val="54"/>
          <c:tx>
            <c:v>n6-1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'Pic database'!$T$29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database'!$U$29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9E8B-4561-81E7-9F78363563A0}"/>
            </c:ext>
          </c:extLst>
        </c:ser>
        <c:ser>
          <c:idx val="56"/>
          <c:order val="55"/>
          <c:tx>
            <c:v>n6-2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'Pic database'!$T$30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9E8B-4561-81E7-9F78363563A0}"/>
            </c:ext>
          </c:extLst>
        </c:ser>
        <c:ser>
          <c:idx val="57"/>
          <c:order val="56"/>
          <c:tx>
            <c:v>n6-3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'Pic database'!$T$31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9E8B-4561-81E7-9F78363563A0}"/>
            </c:ext>
          </c:extLst>
        </c:ser>
        <c:ser>
          <c:idx val="58"/>
          <c:order val="57"/>
          <c:tx>
            <c:v>n6-4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F-9E8B-4561-81E7-9F78363563A0}"/>
              </c:ext>
            </c:extLst>
          </c:dPt>
          <c:xVal>
            <c:numRef>
              <c:f>'Pic database'!$T$32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9E8B-4561-81E7-9F78363563A0}"/>
            </c:ext>
          </c:extLst>
        </c:ser>
        <c:ser>
          <c:idx val="59"/>
          <c:order val="58"/>
          <c:tx>
            <c:v>n6-5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'Pic database'!$T$33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9E8B-4561-81E7-9F78363563A0}"/>
            </c:ext>
          </c:extLst>
        </c:ser>
        <c:ser>
          <c:idx val="60"/>
          <c:order val="59"/>
          <c:tx>
            <c:v>n6-6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'Pic database'!$T$34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9E8B-4561-81E7-9F78363563A0}"/>
            </c:ext>
          </c:extLst>
        </c:ser>
        <c:ser>
          <c:idx val="61"/>
          <c:order val="60"/>
          <c:tx>
            <c:v>n6-7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'Pic database'!$T$35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9E8B-4561-81E7-9F78363563A0}"/>
            </c:ext>
          </c:extLst>
        </c:ser>
        <c:ser>
          <c:idx val="62"/>
          <c:order val="61"/>
          <c:tx>
            <c:v>n6-8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'Pic database'!$T$36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9E8B-4561-81E7-9F78363563A0}"/>
            </c:ext>
          </c:extLst>
        </c:ser>
        <c:ser>
          <c:idx val="63"/>
          <c:order val="62"/>
          <c:tx>
            <c:v>n6-9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'Pic database'!$T$37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9E8B-4561-81E7-9F78363563A0}"/>
            </c:ext>
          </c:extLst>
        </c:ser>
        <c:ser>
          <c:idx val="64"/>
          <c:order val="63"/>
          <c:tx>
            <c:v>n6-10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'Pic database'!$T$38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database'!$U$38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9E8B-4561-81E7-9F78363563A0}"/>
            </c:ext>
          </c:extLst>
        </c:ser>
        <c:ser>
          <c:idx val="24"/>
          <c:order val="64"/>
          <c:tx>
            <c:v>t1-x1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database'!$C$49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database'!$D$49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9E8B-4561-81E7-9F78363563A0}"/>
            </c:ext>
          </c:extLst>
        </c:ser>
        <c:ser>
          <c:idx val="65"/>
          <c:order val="65"/>
          <c:tx>
            <c:v>t1-x2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7.030936118923263E-2"/>
                  <c:y val="-8.03933718724481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d</a:t>
                    </a:r>
                    <a:r>
                      <a:rPr lang="en-US" b="1" baseline="-25000"/>
                      <a:t>b-badan</a:t>
                    </a:r>
                    <a:r>
                      <a:rPr lang="en-US" b="1" baseline="0"/>
                      <a:t> = </a:t>
                    </a:r>
                    <a:fld id="{F55741C5-7E8E-4299-9351-4552A4CAC3E7}" type="CELLREF">
                      <a:rPr lang="en-US" b="1"/>
                      <a:pPr algn="l">
                        <a:defRPr b="1"/>
                      </a:pPr>
                      <a:t>[CELLREF]</a:t>
                    </a:fld>
                    <a:r>
                      <a:rPr lang="en-US" b="1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50060265166732"/>
                      <c:h val="9.365827823140209E-2"/>
                    </c:manualLayout>
                  </c15:layout>
                  <c15:dlblFieldTable>
                    <c15:dlblFTEntry>
                      <c15:txfldGUID>{F55741C5-7E8E-4299-9351-4552A4CAC3E7}</c15:txfldGUID>
                      <c15:f>Input!$H$24</c15:f>
                      <c15:dlblFieldTableCache>
                        <c:ptCount val="1"/>
                        <c:pt idx="0">
                          <c:v>13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9E8B-4561-81E7-9F78363563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database'!$E$49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database'!$D$49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9E8B-4561-81E7-9F78363563A0}"/>
            </c:ext>
          </c:extLst>
        </c:ser>
        <c:ser>
          <c:idx val="67"/>
          <c:order val="66"/>
          <c:tx>
            <c:v>t2a-x1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database'!$C$50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database'!$D$50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9E8B-4561-81E7-9F78363563A0}"/>
            </c:ext>
          </c:extLst>
        </c:ser>
        <c:ser>
          <c:idx val="68"/>
          <c:order val="67"/>
          <c:tx>
            <c:v>t2a-x2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'Pic database'!$E$50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database'!$D$50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9E8B-4561-81E7-9F78363563A0}"/>
            </c:ext>
          </c:extLst>
        </c:ser>
        <c:ser>
          <c:idx val="69"/>
          <c:order val="68"/>
          <c:tx>
            <c:v>t3-x1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database'!$C$51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database'!$D$51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9E8B-4561-81E7-9F78363563A0}"/>
            </c:ext>
          </c:extLst>
        </c:ser>
        <c:ser>
          <c:idx val="70"/>
          <c:order val="69"/>
          <c:tx>
            <c:v>t3-x2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'Pic database'!$E$51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database'!$D$51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9E8B-4561-81E7-9F78363563A0}"/>
            </c:ext>
          </c:extLst>
        </c:ser>
        <c:ser>
          <c:idx val="66"/>
          <c:order val="70"/>
          <c:tx>
            <c:v>Sengkang Atas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database'!$H$42:$I$42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database'!$H$43:$I$43</c:f>
              <c:numCache>
                <c:formatCode>General</c:formatCode>
                <c:ptCount val="2"/>
                <c:pt idx="0">
                  <c:v>104.04</c:v>
                </c:pt>
                <c:pt idx="1">
                  <c:v>104.04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9E8B-4561-81E7-9F78363563A0}"/>
            </c:ext>
          </c:extLst>
        </c:ser>
        <c:ser>
          <c:idx val="71"/>
          <c:order val="71"/>
          <c:tx>
            <c:v>Sengkang bawah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database'!$H$45:$I$45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database'!$H$46:$I$46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9E8B-4561-81E7-9F78363563A0}"/>
            </c:ext>
          </c:extLst>
        </c:ser>
        <c:ser>
          <c:idx val="72"/>
          <c:order val="72"/>
          <c:tx>
            <c:v>Sengkang Kanan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487535632737543E-2"/>
                  <c:y val="-1.14501828505100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1"/>
                      <a:t>d</a:t>
                    </a:r>
                    <a:r>
                      <a:rPr lang="en-US" sz="900" b="1" baseline="-25000"/>
                      <a:t>b-sengkang</a:t>
                    </a:r>
                    <a:r>
                      <a:rPr lang="en-US" sz="900" b="1"/>
                      <a:t> = </a:t>
                    </a:r>
                    <a:fld id="{E3891ED9-24FB-424B-8B68-97CDBC70FCF0}" type="CELLREF">
                      <a:rPr lang="en-US" sz="900" b="1"/>
                      <a:pPr algn="l">
                        <a:defRPr b="1"/>
                      </a:pPr>
                      <a:t>[CELLREF]</a:t>
                    </a:fld>
                    <a:r>
                      <a:rPr lang="en-US" sz="900" b="1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99992628493993"/>
                      <c:h val="5.337801458608657E-2"/>
                    </c:manualLayout>
                  </c15:layout>
                  <c15:dlblFieldTable>
                    <c15:dlblFTEntry>
                      <c15:txfldGUID>{E3891ED9-24FB-424B-8B68-97CDBC70FCF0}</c15:txfldGUID>
                      <c15:f>Input!$H$23</c15:f>
                      <c15:dlblFieldTableCache>
                        <c:ptCount val="1"/>
                        <c:pt idx="0">
                          <c:v>12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9E8B-4561-81E7-9F78363563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database'!$J$42:$L$42</c:f>
              <c:numCache>
                <c:formatCode>0.00</c:formatCode>
                <c:ptCount val="3"/>
                <c:pt idx="0">
                  <c:v>84.6</c:v>
                </c:pt>
                <c:pt idx="1">
                  <c:v>84.6</c:v>
                </c:pt>
                <c:pt idx="2">
                  <c:v>84.6</c:v>
                </c:pt>
              </c:numCache>
            </c:numRef>
          </c:xVal>
          <c:yVal>
            <c:numRef>
              <c:f>'Pic database'!$J$43:$L$43</c:f>
              <c:numCache>
                <c:formatCode>0.00</c:formatCode>
                <c:ptCount val="3"/>
                <c:pt idx="0">
                  <c:v>102</c:v>
                </c:pt>
                <c:pt idx="1">
                  <c:v>52</c:v>
                </c:pt>
                <c:pt idx="2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9E8B-4561-81E7-9F78363563A0}"/>
            </c:ext>
          </c:extLst>
        </c:ser>
        <c:ser>
          <c:idx val="73"/>
          <c:order val="73"/>
          <c:tx>
            <c:v>Sengkang kiri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database'!$J$45:$K$45</c:f>
              <c:numCache>
                <c:formatCode>0.00</c:formatCode>
                <c:ptCount val="2"/>
                <c:pt idx="0">
                  <c:v>35.4</c:v>
                </c:pt>
                <c:pt idx="1">
                  <c:v>35.4</c:v>
                </c:pt>
              </c:numCache>
            </c:numRef>
          </c:xVal>
          <c:yVal>
            <c:numRef>
              <c:f>'Pic database'!$J$46:$K$46</c:f>
              <c:numCache>
                <c:formatCode>0.00</c:formatCode>
                <c:ptCount val="2"/>
                <c:pt idx="0">
                  <c:v>102</c:v>
                </c:pt>
                <c:pt idx="1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2-9E8B-4561-81E7-9F78363563A0}"/>
            </c:ext>
          </c:extLst>
        </c:ser>
        <c:ser>
          <c:idx val="75"/>
          <c:order val="74"/>
          <c:tx>
            <c:v>s2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3-9E8B-4561-81E7-9F78363563A0}"/>
            </c:ext>
          </c:extLst>
        </c:ser>
        <c:ser>
          <c:idx val="76"/>
          <c:order val="75"/>
          <c:tx>
            <c:v>s3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4-9E8B-4561-81E7-9F7836356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  <c:extLst>
          <c:ext xmlns:c15="http://schemas.microsoft.com/office/drawing/2012/chart" uri="{02D57815-91ED-43cb-92C2-25804820EDAC}">
            <c15:filteredScatterSeries>
              <c15:ser>
                <c:idx val="77"/>
                <c:order val="76"/>
                <c:tx>
                  <c:v>dimensi h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55-9E8B-4561-81E7-9F78363563A0}"/>
                    </c:ext>
                  </c:extLst>
                </c:dPt>
                <c:xVal>
                  <c:numRef>
                    <c:extLst>
                      <c:ext uri="{02D57815-91ED-43cb-92C2-25804820EDAC}">
                        <c15:formulaRef>
                          <c15:sqref>'Pic database'!$D$56:$D$57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'Pic database'!$E$56:$E$57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60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56-9E8B-4561-81E7-9F78363563A0}"/>
                  </c:ext>
                </c:extLst>
              </c15:ser>
            </c15:filteredScatterSeries>
            <c15:filteredScatterSeries>
              <c15:ser>
                <c:idx val="78"/>
                <c:order val="77"/>
                <c:tx>
                  <c:v>dimensi b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9E8B-4561-81E7-9F78363563A0}"/>
                    </c:ext>
                  </c:extLst>
                </c:dPt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database'!$B$56:$B$57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30</c:v>
                      </c:pt>
                      <c:pt idx="1">
                        <c:v>60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database'!$C$56:$C$57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-5</c:v>
                      </c:pt>
                      <c:pt idx="1">
                        <c:v>-5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8-9E8B-4561-81E7-9F78363563A0}"/>
                  </c:ext>
                </c:extLst>
              </c15:ser>
            </c15:filteredScatterSeries>
            <c15:filteredScatterSeries>
              <c15:ser>
                <c:idx val="74"/>
                <c:order val="78"/>
                <c:tx>
                  <c:v>dimensi b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9E8B-4561-81E7-9F78363563A0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0.18385632569471416"/>
                        <c:y val="3.7735663348685188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b</a:t>
                          </a:r>
                          <a:r>
                            <a:rPr lang="en-US" sz="1000" b="1" baseline="-25000"/>
                            <a:t>w</a:t>
                          </a:r>
                          <a:endParaRPr lang="en-US" sz="1000" b="1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32766816143497751"/>
                            <c:h val="6.596716683999404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5A-9E8B-4561-81E7-9F78363563A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database'!$B$57:$B$58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60</c:v>
                      </c:pt>
                      <c:pt idx="1">
                        <c:v>90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database'!$C$57:$C$58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-5</c:v>
                      </c:pt>
                      <c:pt idx="1">
                        <c:v>-5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B-9E8B-4561-81E7-9F78363563A0}"/>
                  </c:ext>
                </c:extLst>
              </c15:ser>
            </c15:filteredScatterSeries>
            <c15:filteredScatterSeries>
              <c15:ser>
                <c:idx val="79"/>
                <c:order val="79"/>
                <c:tx>
                  <c:v>dimensi h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C-9E8B-4561-81E7-9F78363563A0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0.16426481675661764"/>
                        <c:y val="-9.4630712956732897E-3"/>
                      </c:manualLayout>
                    </c:layout>
                    <c:tx>
                      <c:rich>
                        <a:bodyPr rot="-5400000" spcFirstLastPara="1" vertOverflow="ellipsis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h</a:t>
                          </a: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-5400000" spcFirstLastPara="1" vertOverflow="ellipsis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21315505532247889"/>
                            <c:h val="6.4469967415739543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5D-9E8B-4561-81E7-9F78363563A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database'!$D$57:$D$58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database'!$E$57:$E$58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60</c:v>
                      </c:pt>
                      <c:pt idx="1">
                        <c:v>110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E-9E8B-4561-81E7-9F78363563A0}"/>
                  </c:ext>
                </c:extLst>
              </c15:ser>
            </c15:filteredScatterSeries>
            <c15:filteredScatterSeries>
              <c15:ser>
                <c:idx val="80"/>
                <c:order val="80"/>
                <c:tx>
                  <c:v>dimensi cc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rgbClr val="C00000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E8B-4561-81E7-9F78363563A0}"/>
                    </c:ext>
                  </c:extLst>
                </c:dPt>
                <c:dPt>
                  <c:idx val="1"/>
                  <c:marker>
                    <c:symbol val="none"/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9E8B-4561-81E7-9F78363563A0}"/>
                    </c:ext>
                  </c:extLst>
                </c:dPt>
                <c:dPt>
                  <c:idx val="2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E8B-4561-81E7-9F78363563A0}"/>
                    </c:ext>
                  </c:extLst>
                </c:dPt>
                <c:dLbls>
                  <c:dLbl>
                    <c:idx val="2"/>
                    <c:layout>
                      <c:manualLayout>
                        <c:x val="-8.4742734868062056E-3"/>
                        <c:y val="1.382339135587755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l"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c</a:t>
                          </a:r>
                          <a:r>
                            <a:rPr lang="en-US" sz="1000" b="1" baseline="-25000"/>
                            <a:t>c</a:t>
                          </a:r>
                          <a:endParaRPr lang="en-US" sz="1000" b="1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l"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347018749188112"/>
                            <c:h val="5.4064026663026801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61-9E8B-4561-81E7-9F78363563A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database'!$F$56:$F$58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99.000000000000014</c:v>
                      </c:pt>
                      <c:pt idx="1">
                        <c:v>99.000000000000014</c:v>
                      </c:pt>
                      <c:pt idx="2">
                        <c:v>99.000000000000014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database'!$G$56:$G$58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10</c:v>
                      </c:pt>
                      <c:pt idx="1">
                        <c:v>13</c:v>
                      </c:pt>
                      <c:pt idx="2">
                        <c:v>16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2-9E8B-4561-81E7-9F78363563A0}"/>
                  </c:ext>
                </c:extLst>
              </c15:ser>
            </c15:filteredScatterSeries>
          </c:ext>
        </c:extLst>
      </c:scatterChart>
      <c:valAx>
        <c:axId val="671018880"/>
        <c:scaling>
          <c:orientation val="minMax"/>
          <c:max val="120"/>
          <c:min val="-10"/>
        </c:scaling>
        <c:delete val="1"/>
        <c:axPos val="b"/>
        <c:numFmt formatCode="General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20"/>
          <c:min val="-10"/>
        </c:scaling>
        <c:delete val="1"/>
        <c:axPos val="l"/>
        <c:numFmt formatCode="General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783777018390902E-2"/>
          <c:y val="1.4208750173073307E-2"/>
          <c:w val="0.97477524971902263"/>
          <c:h val="0.98417768997249422"/>
        </c:manualLayout>
      </c:layout>
      <c:scatterChart>
        <c:scatterStyle val="lineMarker"/>
        <c:varyColors val="0"/>
        <c:ser>
          <c:idx val="80"/>
          <c:order val="0"/>
          <c:tx>
            <c:v>Elemen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database'!$C$63:$C$67</c:f>
              <c:numCache>
                <c:formatCode>0.00</c:formatCode>
                <c:ptCount val="5"/>
                <c:pt idx="0">
                  <c:v>-15</c:v>
                </c:pt>
                <c:pt idx="1">
                  <c:v>-15</c:v>
                </c:pt>
                <c:pt idx="2">
                  <c:v>15</c:v>
                </c:pt>
                <c:pt idx="3">
                  <c:v>15</c:v>
                </c:pt>
                <c:pt idx="4">
                  <c:v>-15</c:v>
                </c:pt>
              </c:numCache>
            </c:numRef>
          </c:xVal>
          <c:yVal>
            <c:numRef>
              <c:f>'Pic database'!$D$63:$D$67</c:f>
              <c:numCache>
                <c:formatCode>0.00</c:formatCode>
                <c:ptCount val="5"/>
                <c:pt idx="0">
                  <c:v>-1</c:v>
                </c:pt>
                <c:pt idx="1">
                  <c:v>1</c:v>
                </c:pt>
                <c:pt idx="2">
                  <c:v>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CD-4991-8E46-AE497549AB33}"/>
            </c:ext>
          </c:extLst>
        </c:ser>
        <c:ser>
          <c:idx val="0"/>
          <c:order val="1"/>
          <c:tx>
            <c:v>Tumpuan kiri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database'!$C$71:$C$72</c:f>
              <c:numCache>
                <c:formatCode>0.00</c:formatCode>
                <c:ptCount val="2"/>
                <c:pt idx="0">
                  <c:v>-15</c:v>
                </c:pt>
                <c:pt idx="1">
                  <c:v>-15</c:v>
                </c:pt>
              </c:numCache>
            </c:numRef>
          </c:xVal>
          <c:yVal>
            <c:numRef>
              <c:f>'Pic database'!$D$71:$D$72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CD-4991-8E46-AE497549AB33}"/>
            </c:ext>
          </c:extLst>
        </c:ser>
        <c:ser>
          <c:idx val="1"/>
          <c:order val="2"/>
          <c:tx>
            <c:v>Tumpuan kanan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database'!$C$73:$C$74</c:f>
              <c:numCache>
                <c:formatCode>0.00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'Pic database'!$D$73:$D$74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CD-4991-8E46-AE497549AB33}"/>
            </c:ext>
          </c:extLst>
        </c:ser>
        <c:ser>
          <c:idx val="2"/>
          <c:order val="3"/>
          <c:tx>
            <c:v>arsir kiri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database'!$C$78:$C$79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database'!$D$78:$D$79</c:f>
              <c:numCache>
                <c:formatCode>0.00</c:formatCode>
                <c:ptCount val="2"/>
                <c:pt idx="0">
                  <c:v>2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CD-4991-8E46-AE497549AB33}"/>
            </c:ext>
          </c:extLst>
        </c:ser>
        <c:ser>
          <c:idx val="3"/>
          <c:order val="4"/>
          <c:tx>
            <c:v>arsir kiri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database'!$C$80:$C$81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database'!$D$80:$D$81</c:f>
              <c:numCache>
                <c:formatCode>0.00</c:formatCode>
                <c:ptCount val="2"/>
                <c:pt idx="0">
                  <c:v>0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ECD-4991-8E46-AE497549AB33}"/>
            </c:ext>
          </c:extLst>
        </c:ser>
        <c:ser>
          <c:idx val="4"/>
          <c:order val="5"/>
          <c:tx>
            <c:v>arsir kiri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database'!$C$82:$C$83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database'!$D$82:$D$83</c:f>
              <c:numCache>
                <c:formatCode>0.00</c:formatCode>
                <c:ptCount val="2"/>
                <c:pt idx="0">
                  <c:v>-2</c:v>
                </c:pt>
                <c:pt idx="1">
                  <c:v>-3.5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ECD-4991-8E46-AE497549AB33}"/>
            </c:ext>
          </c:extLst>
        </c:ser>
        <c:ser>
          <c:idx val="5"/>
          <c:order val="6"/>
          <c:tx>
            <c:v>arsir kanan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database'!$C$84:$C$85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database'!$D$84:$D$85</c:f>
              <c:numCache>
                <c:formatCode>0.00</c:formatCode>
                <c:ptCount val="2"/>
                <c:pt idx="0">
                  <c:v>1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ECD-4991-8E46-AE497549AB33}"/>
            </c:ext>
          </c:extLst>
        </c:ser>
        <c:ser>
          <c:idx val="6"/>
          <c:order val="7"/>
          <c:tx>
            <c:v>arsir kanan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database'!$C$86:$C$87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database'!$D$86:$D$87</c:f>
              <c:numCache>
                <c:formatCode>0.00</c:formatCode>
                <c:ptCount val="2"/>
                <c:pt idx="0">
                  <c:v>-1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ECD-4991-8E46-AE497549AB33}"/>
            </c:ext>
          </c:extLst>
        </c:ser>
        <c:ser>
          <c:idx val="7"/>
          <c:order val="8"/>
          <c:tx>
            <c:v>arsir kanan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database'!$C$88:$C$89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database'!$D$88:$D$89</c:f>
              <c:numCache>
                <c:formatCode>0.00</c:formatCode>
                <c:ptCount val="2"/>
                <c:pt idx="0">
                  <c:v>-3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ECD-4991-8E46-AE497549AB33}"/>
            </c:ext>
          </c:extLst>
        </c:ser>
        <c:ser>
          <c:idx val="8"/>
          <c:order val="9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database'!$G$70:$G$71</c:f>
              <c:numCache>
                <c:formatCode>0.00</c:formatCode>
                <c:ptCount val="2"/>
                <c:pt idx="0">
                  <c:v>-11.25</c:v>
                </c:pt>
                <c:pt idx="1">
                  <c:v>-11.25</c:v>
                </c:pt>
              </c:numCache>
            </c:numRef>
          </c:xVal>
          <c:yVal>
            <c:numRef>
              <c:f>'Pic database'!$H$70:$H$71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ECD-4991-8E46-AE497549AB33}"/>
            </c:ext>
          </c:extLst>
        </c:ser>
        <c:ser>
          <c:idx val="9"/>
          <c:order val="10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  <a:tailEnd type="triangle" w="sm" len="sm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3812781880675543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ECD-4991-8E46-AE497549AB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database'!$G$72:$G$73</c:f>
              <c:numCache>
                <c:formatCode>0.00</c:formatCode>
                <c:ptCount val="2"/>
                <c:pt idx="0">
                  <c:v>-11.25</c:v>
                </c:pt>
                <c:pt idx="1">
                  <c:v>-10.25</c:v>
                </c:pt>
              </c:numCache>
            </c:numRef>
          </c:xVal>
          <c:yVal>
            <c:numRef>
              <c:f>'Pic database'!$H$72:$H$73</c:f>
              <c:numCache>
                <c:formatCode>0.00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ECD-4991-8E46-AE497549AB33}"/>
            </c:ext>
          </c:extLst>
        </c:ser>
        <c:ser>
          <c:idx val="10"/>
          <c:order val="11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  <a:tailEnd type="triangle" w="sm" len="sm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381278188067554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3ECD-4991-8E46-AE497549AB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database'!$G$74:$G$75</c:f>
              <c:numCache>
                <c:formatCode>0.00</c:formatCode>
                <c:ptCount val="2"/>
                <c:pt idx="0">
                  <c:v>-11.25</c:v>
                </c:pt>
                <c:pt idx="1">
                  <c:v>-10.25</c:v>
                </c:pt>
              </c:numCache>
            </c:numRef>
          </c:xVal>
          <c:yVal>
            <c:numRef>
              <c:f>'Pic database'!$H$74:$H$75</c:f>
              <c:numCache>
                <c:formatCode>0.00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ECD-4991-8E46-AE497549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</c:scatterChart>
      <c:valAx>
        <c:axId val="671018880"/>
        <c:scaling>
          <c:orientation val="minMax"/>
          <c:max val="20"/>
          <c:min val="-20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Tampak samping bentang balok</a:t>
                </a:r>
                <a:endParaRPr lang="id-ID" b="1"/>
              </a:p>
            </c:rich>
          </c:tx>
          <c:layout>
            <c:manualLayout>
              <c:xMode val="edge"/>
              <c:yMode val="edge"/>
              <c:x val="0.26826216986295703"/>
              <c:y val="0.15035326709949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5"/>
          <c:min val="-15"/>
        </c:scaling>
        <c:delete val="1"/>
        <c:axPos val="l"/>
        <c:numFmt formatCode="0.00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007926557915296E-2"/>
          <c:y val="0.10031565570202439"/>
          <c:w val="0.97477524971902263"/>
          <c:h val="0.8973789691916414"/>
        </c:manualLayout>
      </c:layout>
      <c:scatterChart>
        <c:scatterStyle val="lineMarker"/>
        <c:varyColors val="0"/>
        <c:ser>
          <c:idx val="60"/>
          <c:order val="0"/>
          <c:tx>
            <c:v>ket tump kanan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bg1"/>
              </a:solidFill>
              <a:ln w="9525">
                <a:solidFill>
                  <a:schemeClr val="bg1"/>
                </a:solidFill>
              </a:ln>
              <a:effectLst/>
            </c:spPr>
          </c:marker>
          <c:dPt>
            <c:idx val="0"/>
            <c:marker>
              <c:symbol val="circle"/>
              <c:size val="2"/>
              <c:spPr>
                <a:solidFill>
                  <a:schemeClr val="bg1">
                    <a:alpha val="0"/>
                  </a:schemeClr>
                </a:solidFill>
                <a:ln w="9525">
                  <a:solidFill>
                    <a:schemeClr val="bg1">
                      <a:alpha val="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C9B-4107-AE05-649BC265E634}"/>
              </c:ext>
            </c:extLst>
          </c:dPt>
          <c:dLbls>
            <c:dLbl>
              <c:idx val="0"/>
              <c:layout>
                <c:manualLayout>
                  <c:x val="-7.5767009149769568E-2"/>
                  <c:y val="-0.217100616856773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tul. transversal tumpuan</a:t>
                    </a:r>
                  </a:p>
                  <a:p>
                    <a:pPr>
                      <a:defRPr b="1"/>
                    </a:pPr>
                    <a:fld id="{CC210E0E-AF75-4F29-80E1-F34055896D75}" type="CELLREF">
                      <a:rPr lang="en-US" b="1"/>
                      <a:pPr>
                        <a:defRPr b="1"/>
                      </a:pPr>
                      <a:t>[CELLREF]</a:t>
                    </a:fld>
                    <a:r>
                      <a:rPr lang="en-US" b="1"/>
                      <a:t> </a:t>
                    </a:r>
                    <a:fld id="{C4494017-4A18-4B9F-9500-6B0348B76773}" type="CELLREF">
                      <a:rPr lang="en-US" b="1"/>
                      <a:pPr>
                        <a:defRPr b="1"/>
                      </a:pPr>
                      <a:t>[CELLREF]</a:t>
                    </a:fld>
                    <a:r>
                      <a:rPr lang="en-US" b="1"/>
                      <a:t> - </a:t>
                    </a:r>
                    <a:fld id="{5A73089D-2957-4CA7-B1E7-D72DC52F7E4D}" type="CELLREF">
                      <a:rPr lang="en-US" b="1"/>
                      <a:pPr>
                        <a:defRPr b="1"/>
                      </a:pPr>
                      <a:t>[CELLREF]</a:t>
                    </a:fld>
                    <a:endParaRPr lang="en-US" b="1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{CC210E0E-AF75-4F29-80E1-F34055896D75}</c15:txfldGUID>
                      <c15:f>Process!$F$445</c15:f>
                      <c15:dlblFieldTableCache>
                        <c:ptCount val="1"/>
                        <c:pt idx="0">
                          <c:v>2</c:v>
                        </c:pt>
                      </c15:dlblFieldTableCache>
                    </c15:dlblFTEntry>
                    <c15:dlblFTEntry>
                      <c15:txfldGUID>{C4494017-4A18-4B9F-9500-6B0348B76773}</c15:txfldGUID>
                      <c15:f>Process!$G$445</c15:f>
                      <c15:dlblFieldTableCache>
                        <c:ptCount val="1"/>
                        <c:pt idx="0">
                          <c:v>D12</c:v>
                        </c:pt>
                      </c15:dlblFieldTableCache>
                    </c15:dlblFTEntry>
                    <c15:dlblFTEntry>
                      <c15:txfldGUID>{5A73089D-2957-4CA7-B1E7-D72DC52F7E4D}</c15:txfldGUID>
                      <c15:f>Process!$H$445</c15:f>
                      <c15:dlblFieldTableCache>
                        <c:ptCount val="1"/>
                        <c:pt idx="0">
                          <c:v>150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C9B-4107-AE05-649BC265E6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database'!$U$65</c:f>
              <c:numCache>
                <c:formatCode>0.00</c:formatCode>
                <c:ptCount val="1"/>
                <c:pt idx="0">
                  <c:v>12</c:v>
                </c:pt>
              </c:numCache>
            </c:numRef>
          </c:xVal>
          <c:yVal>
            <c:numRef>
              <c:f>'Pic database'!$V$65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9B-4107-AE05-649BC265E634}"/>
            </c:ext>
          </c:extLst>
        </c:ser>
        <c:ser>
          <c:idx val="59"/>
          <c:order val="1"/>
          <c:tx>
            <c:v>ket lap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bg1">
                  <a:alpha val="0"/>
                </a:schemeClr>
              </a:solidFill>
              <a:ln w="9525">
                <a:solidFill>
                  <a:schemeClr val="bg1">
                    <a:alpha val="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0299660228302361"/>
                  <c:y val="-0.214479934747608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tul. transversal lapangan</a:t>
                    </a:r>
                  </a:p>
                  <a:p>
                    <a:fld id="{A10315BE-F3E3-4969-AE2C-73D2AE62FDA0}" type="CELLREF">
                      <a:rPr lang="en-US"/>
                      <a:pPr/>
                      <a:t>[CELLREF]</a:t>
                    </a:fld>
                    <a:r>
                      <a:rPr lang="en-US"/>
                      <a:t> </a:t>
                    </a:r>
                    <a:fld id="{0F0D10E6-D350-468D-97CC-82B986B5AEB6}" type="CELLREF">
                      <a:rPr lang="en-US"/>
                      <a:pPr/>
                      <a:t>[CELLREF]</a:t>
                    </a:fld>
                    <a:r>
                      <a:rPr lang="en-US"/>
                      <a:t> - </a:t>
                    </a:r>
                    <a:fld id="{B6E32858-858C-4BE3-A5BE-CBCDEB3343C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{A10315BE-F3E3-4969-AE2C-73D2AE62FDA0}</c15:txfldGUID>
                      <c15:f>Process!$F$456</c15:f>
                      <c15:dlblFieldTableCache>
                        <c:ptCount val="1"/>
                        <c:pt idx="0">
                          <c:v>2</c:v>
                        </c:pt>
                      </c15:dlblFieldTableCache>
                    </c15:dlblFTEntry>
                    <c15:dlblFTEntry>
                      <c15:txfldGUID>{0F0D10E6-D350-468D-97CC-82B986B5AEB6}</c15:txfldGUID>
                      <c15:f>Process!$G$456</c15:f>
                      <c15:dlblFieldTableCache>
                        <c:ptCount val="1"/>
                        <c:pt idx="0">
                          <c:v>D12</c:v>
                        </c:pt>
                      </c15:dlblFieldTableCache>
                    </c15:dlblFTEntry>
                    <c15:dlblFTEntry>
                      <c15:txfldGUID>{B6E32858-858C-4BE3-A5BE-CBCDEB3343CC}</c15:txfldGUID>
                      <c15:f>Process!$H$456</c15:f>
                      <c15:dlblFieldTableCache>
                        <c:ptCount val="1"/>
                        <c:pt idx="0">
                          <c:v>150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C9B-4107-AE05-649BC265E6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database'!$U$64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'Pic database'!$V$64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9B-4107-AE05-649BC265E634}"/>
            </c:ext>
          </c:extLst>
        </c:ser>
        <c:ser>
          <c:idx val="58"/>
          <c:order val="2"/>
          <c:tx>
            <c:v>ket tump kiri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bg1">
                  <a:alpha val="0"/>
                </a:schemeClr>
              </a:solidFill>
              <a:ln w="9525">
                <a:solidFill>
                  <a:schemeClr val="bg1">
                    <a:alpha val="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5070851771653604"/>
                  <c:y val="-0.2281567194189809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tul. transversal tumpuan</a:t>
                    </a:r>
                  </a:p>
                  <a:p>
                    <a:pPr>
                      <a:defRPr/>
                    </a:pPr>
                    <a:fld id="{978D2004-BB08-455F-95BD-A2C5C7A29EB9}" type="CELLREF">
                      <a:rPr lang="en-US" b="1"/>
                      <a:pPr>
                        <a:defRPr/>
                      </a:pPr>
                      <a:t>[CELLREF]</a:t>
                    </a:fld>
                    <a:r>
                      <a:rPr lang="en-US" b="1"/>
                      <a:t> </a:t>
                    </a:r>
                    <a:fld id="{2939BBC2-7280-42F5-83C2-E72DCEF20B00}" type="CELLREF">
                      <a:rPr lang="en-US" b="1"/>
                      <a:pPr>
                        <a:defRPr/>
                      </a:pPr>
                      <a:t>[CELLREF]</a:t>
                    </a:fld>
                    <a:r>
                      <a:rPr lang="en-US" b="1" baseline="0"/>
                      <a:t> - </a:t>
                    </a:r>
                    <a:fld id="{7CC1437A-518B-4820-B694-263D4C817531}" type="CELLREF">
                      <a:rPr lang="en-US" b="1"/>
                      <a:pPr>
                        <a:defRPr/>
                      </a:pPr>
                      <a:t>[CELLREF]</a:t>
                    </a:fld>
                    <a:endParaRPr lang="en-US" b="1"/>
                  </a:p>
                  <a:p>
                    <a:pPr>
                      <a:defRPr/>
                    </a:pPr>
                    <a:endParaRPr lang="en-ID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283390267747191"/>
                      <c:h val="0.13528290009364399"/>
                    </c:manualLayout>
                  </c15:layout>
                  <c15:dlblFieldTable>
                    <c15:dlblFTEntry>
                      <c15:txfldGUID>{978D2004-BB08-455F-95BD-A2C5C7A29EB9}</c15:txfldGUID>
                      <c15:f>Process!$F$445</c15:f>
                      <c15:dlblFieldTableCache>
                        <c:ptCount val="1"/>
                        <c:pt idx="0">
                          <c:v>2</c:v>
                        </c:pt>
                      </c15:dlblFieldTableCache>
                    </c15:dlblFTEntry>
                    <c15:dlblFTEntry>
                      <c15:txfldGUID>{2939BBC2-7280-42F5-83C2-E72DCEF20B00}</c15:txfldGUID>
                      <c15:f>Process!$G$445</c15:f>
                      <c15:dlblFieldTableCache>
                        <c:ptCount val="1"/>
                        <c:pt idx="0">
                          <c:v>D12</c:v>
                        </c:pt>
                      </c15:dlblFieldTableCache>
                    </c15:dlblFTEntry>
                    <c15:dlblFTEntry>
                      <c15:txfldGUID>{7CC1437A-518B-4820-B694-263D4C817531}</c15:txfldGUID>
                      <c15:f>Process!$H$445</c15:f>
                      <c15:dlblFieldTableCache>
                        <c:ptCount val="1"/>
                        <c:pt idx="0">
                          <c:v>150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C9B-4107-AE05-649BC265E6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database'!$U$63</c:f>
              <c:numCache>
                <c:formatCode>0.00</c:formatCode>
                <c:ptCount val="1"/>
                <c:pt idx="0">
                  <c:v>-12</c:v>
                </c:pt>
              </c:numCache>
            </c:numRef>
          </c:xVal>
          <c:yVal>
            <c:numRef>
              <c:f>'Pic database'!$V$63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C9B-4107-AE05-649BC265E634}"/>
            </c:ext>
          </c:extLst>
        </c:ser>
        <c:ser>
          <c:idx val="80"/>
          <c:order val="3"/>
          <c:tx>
            <c:v>Elemen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database'!$C$63:$C$67</c:f>
              <c:numCache>
                <c:formatCode>0.00</c:formatCode>
                <c:ptCount val="5"/>
                <c:pt idx="0">
                  <c:v>-15</c:v>
                </c:pt>
                <c:pt idx="1">
                  <c:v>-15</c:v>
                </c:pt>
                <c:pt idx="2">
                  <c:v>15</c:v>
                </c:pt>
                <c:pt idx="3">
                  <c:v>15</c:v>
                </c:pt>
                <c:pt idx="4">
                  <c:v>-15</c:v>
                </c:pt>
              </c:numCache>
            </c:numRef>
          </c:xVal>
          <c:yVal>
            <c:numRef>
              <c:f>'Pic database'!$D$63:$D$67</c:f>
              <c:numCache>
                <c:formatCode>0.00</c:formatCode>
                <c:ptCount val="5"/>
                <c:pt idx="0">
                  <c:v>-1</c:v>
                </c:pt>
                <c:pt idx="1">
                  <c:v>1</c:v>
                </c:pt>
                <c:pt idx="2">
                  <c:v>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C9B-4107-AE05-649BC265E634}"/>
            </c:ext>
          </c:extLst>
        </c:ser>
        <c:ser>
          <c:idx val="0"/>
          <c:order val="4"/>
          <c:tx>
            <c:v>Tumpuan kiri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database'!$C$71:$C$72</c:f>
              <c:numCache>
                <c:formatCode>0.00</c:formatCode>
                <c:ptCount val="2"/>
                <c:pt idx="0">
                  <c:v>-15</c:v>
                </c:pt>
                <c:pt idx="1">
                  <c:v>-15</c:v>
                </c:pt>
              </c:numCache>
            </c:numRef>
          </c:xVal>
          <c:yVal>
            <c:numRef>
              <c:f>'Pic database'!$D$71:$D$72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C9B-4107-AE05-649BC265E634}"/>
            </c:ext>
          </c:extLst>
        </c:ser>
        <c:ser>
          <c:idx val="1"/>
          <c:order val="5"/>
          <c:tx>
            <c:v>Tumpuan kanan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database'!$C$73:$C$74</c:f>
              <c:numCache>
                <c:formatCode>0.00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'Pic database'!$D$73:$D$74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C9B-4107-AE05-649BC265E634}"/>
            </c:ext>
          </c:extLst>
        </c:ser>
        <c:ser>
          <c:idx val="2"/>
          <c:order val="6"/>
          <c:tx>
            <c:v>arsir kiri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database'!$C$78:$C$79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database'!$D$78:$D$79</c:f>
              <c:numCache>
                <c:formatCode>0.00</c:formatCode>
                <c:ptCount val="2"/>
                <c:pt idx="0">
                  <c:v>2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C9B-4107-AE05-649BC265E634}"/>
            </c:ext>
          </c:extLst>
        </c:ser>
        <c:ser>
          <c:idx val="3"/>
          <c:order val="7"/>
          <c:tx>
            <c:v>arsir kiri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database'!$C$80:$C$81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database'!$D$80:$D$81</c:f>
              <c:numCache>
                <c:formatCode>0.00</c:formatCode>
                <c:ptCount val="2"/>
                <c:pt idx="0">
                  <c:v>0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C9B-4107-AE05-649BC265E634}"/>
            </c:ext>
          </c:extLst>
        </c:ser>
        <c:ser>
          <c:idx val="4"/>
          <c:order val="8"/>
          <c:tx>
            <c:v>arsir kiri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database'!$C$82:$C$83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database'!$D$82:$D$83</c:f>
              <c:numCache>
                <c:formatCode>0.00</c:formatCode>
                <c:ptCount val="2"/>
                <c:pt idx="0">
                  <c:v>-2</c:v>
                </c:pt>
                <c:pt idx="1">
                  <c:v>-3.5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C9B-4107-AE05-649BC265E634}"/>
            </c:ext>
          </c:extLst>
        </c:ser>
        <c:ser>
          <c:idx val="5"/>
          <c:order val="9"/>
          <c:tx>
            <c:v>arsir kanan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database'!$C$84:$C$85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database'!$D$84:$D$85</c:f>
              <c:numCache>
                <c:formatCode>0.00</c:formatCode>
                <c:ptCount val="2"/>
                <c:pt idx="0">
                  <c:v>1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C9B-4107-AE05-649BC265E634}"/>
            </c:ext>
          </c:extLst>
        </c:ser>
        <c:ser>
          <c:idx val="6"/>
          <c:order val="10"/>
          <c:tx>
            <c:v>arsir kanan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database'!$C$86:$C$87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database'!$D$86:$D$87</c:f>
              <c:numCache>
                <c:formatCode>0.00</c:formatCode>
                <c:ptCount val="2"/>
                <c:pt idx="0">
                  <c:v>-1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C9B-4107-AE05-649BC265E634}"/>
            </c:ext>
          </c:extLst>
        </c:ser>
        <c:ser>
          <c:idx val="7"/>
          <c:order val="11"/>
          <c:tx>
            <c:v>arsir kanan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database'!$C$88:$C$89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database'!$D$88:$D$89</c:f>
              <c:numCache>
                <c:formatCode>0.00</c:formatCode>
                <c:ptCount val="2"/>
                <c:pt idx="0">
                  <c:v>-3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C9B-4107-AE05-649BC265E634}"/>
            </c:ext>
          </c:extLst>
        </c:ser>
        <c:ser>
          <c:idx val="39"/>
          <c:order val="12"/>
          <c:tx>
            <c:v>torsi badan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database'!$G$87:$G$88</c:f>
              <c:numCache>
                <c:formatCode>0.00</c:formatCode>
                <c:ptCount val="2"/>
                <c:pt idx="0">
                  <c:v>-15</c:v>
                </c:pt>
                <c:pt idx="1">
                  <c:v>15</c:v>
                </c:pt>
              </c:numCache>
            </c:numRef>
          </c:xVal>
          <c:yVal>
            <c:numRef>
              <c:f>'Pic database'!$H$87:$H$88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C9B-4107-AE05-649BC265E634}"/>
            </c:ext>
          </c:extLst>
        </c:ser>
        <c:ser>
          <c:idx val="8"/>
          <c:order val="13"/>
          <c:tx>
            <c:v>t1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database'!$K$63:$K$64</c:f>
              <c:numCache>
                <c:formatCode>0.00</c:formatCode>
                <c:ptCount val="2"/>
                <c:pt idx="0">
                  <c:v>-14</c:v>
                </c:pt>
                <c:pt idx="1">
                  <c:v>-14</c:v>
                </c:pt>
              </c:numCache>
            </c:numRef>
          </c:xVal>
          <c:yVal>
            <c:numRef>
              <c:f>'Pic database'!$L$63:$L$64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C9B-4107-AE05-649BC265E634}"/>
            </c:ext>
          </c:extLst>
        </c:ser>
        <c:ser>
          <c:idx val="9"/>
          <c:order val="14"/>
          <c:tx>
            <c:v>t2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database'!$K$65:$K$66</c:f>
              <c:numCache>
                <c:formatCode>0.00</c:formatCode>
                <c:ptCount val="2"/>
                <c:pt idx="0">
                  <c:v>-13</c:v>
                </c:pt>
                <c:pt idx="1">
                  <c:v>-13</c:v>
                </c:pt>
              </c:numCache>
            </c:numRef>
          </c:xVal>
          <c:yVal>
            <c:numRef>
              <c:f>'Pic database'!$L$65:$L$66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C9B-4107-AE05-649BC265E634}"/>
            </c:ext>
          </c:extLst>
        </c:ser>
        <c:ser>
          <c:idx val="10"/>
          <c:order val="15"/>
          <c:tx>
            <c:v>t3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database'!$K$67:$K$68</c:f>
              <c:numCache>
                <c:formatCode>0.00</c:formatCode>
                <c:ptCount val="2"/>
                <c:pt idx="0">
                  <c:v>-12</c:v>
                </c:pt>
                <c:pt idx="1">
                  <c:v>-12</c:v>
                </c:pt>
              </c:numCache>
            </c:numRef>
          </c:xVal>
          <c:yVal>
            <c:numRef>
              <c:f>'Pic database'!$L$67:$L$68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C9B-4107-AE05-649BC265E634}"/>
            </c:ext>
          </c:extLst>
        </c:ser>
        <c:ser>
          <c:idx val="11"/>
          <c:order val="16"/>
          <c:tx>
            <c:v>t4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database'!$K$69:$K$70</c:f>
              <c:numCache>
                <c:formatCode>0.00</c:formatCode>
                <c:ptCount val="2"/>
                <c:pt idx="0">
                  <c:v>-11</c:v>
                </c:pt>
                <c:pt idx="1">
                  <c:v>-11</c:v>
                </c:pt>
              </c:numCache>
            </c:numRef>
          </c:xVal>
          <c:yVal>
            <c:numRef>
              <c:f>'Pic database'!$L$69:$L$70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C9B-4107-AE05-649BC265E634}"/>
            </c:ext>
          </c:extLst>
        </c:ser>
        <c:ser>
          <c:idx val="12"/>
          <c:order val="17"/>
          <c:tx>
            <c:v>t5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database'!$K$71:$K$72</c:f>
              <c:numCache>
                <c:formatCode>0.00</c:formatCode>
                <c:ptCount val="2"/>
                <c:pt idx="0">
                  <c:v>-10</c:v>
                </c:pt>
                <c:pt idx="1">
                  <c:v>-10</c:v>
                </c:pt>
              </c:numCache>
            </c:numRef>
          </c:xVal>
          <c:yVal>
            <c:numRef>
              <c:f>'Pic database'!$L$71:$L$72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C9B-4107-AE05-649BC265E634}"/>
            </c:ext>
          </c:extLst>
        </c:ser>
        <c:ser>
          <c:idx val="13"/>
          <c:order val="18"/>
          <c:tx>
            <c:v>t6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database'!$K$73:$K$74</c:f>
              <c:numCache>
                <c:formatCode>0.00</c:formatCode>
                <c:ptCount val="2"/>
                <c:pt idx="0">
                  <c:v>-9</c:v>
                </c:pt>
                <c:pt idx="1">
                  <c:v>-9</c:v>
                </c:pt>
              </c:numCache>
            </c:numRef>
          </c:xVal>
          <c:yVal>
            <c:numRef>
              <c:f>'Pic database'!$L$73:$L$74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C9B-4107-AE05-649BC265E634}"/>
            </c:ext>
          </c:extLst>
        </c:ser>
        <c:ser>
          <c:idx val="14"/>
          <c:order val="19"/>
          <c:tx>
            <c:v>t7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database'!$K$75:$K$76</c:f>
              <c:numCache>
                <c:formatCode>0.00</c:formatCode>
                <c:ptCount val="2"/>
                <c:pt idx="0">
                  <c:v>-8</c:v>
                </c:pt>
                <c:pt idx="1">
                  <c:v>-8</c:v>
                </c:pt>
              </c:numCache>
            </c:numRef>
          </c:xVal>
          <c:yVal>
            <c:numRef>
              <c:f>'Pic database'!$L$75:$L$76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C9B-4107-AE05-649BC265E634}"/>
            </c:ext>
          </c:extLst>
        </c:ser>
        <c:ser>
          <c:idx val="15"/>
          <c:order val="20"/>
          <c:tx>
            <c:v>t8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database'!$K$77:$K$78</c:f>
              <c:numCache>
                <c:formatCode>0.00</c:formatCode>
                <c:ptCount val="2"/>
                <c:pt idx="0">
                  <c:v>-7</c:v>
                </c:pt>
                <c:pt idx="1">
                  <c:v>-7</c:v>
                </c:pt>
              </c:numCache>
            </c:numRef>
          </c:xVal>
          <c:yVal>
            <c:numRef>
              <c:f>'Pic database'!$L$77:$L$78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C9B-4107-AE05-649BC265E634}"/>
            </c:ext>
          </c:extLst>
        </c:ser>
        <c:ser>
          <c:idx val="16"/>
          <c:order val="21"/>
          <c:tx>
            <c:v>t9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database'!$K$79:$K$80</c:f>
              <c:numCache>
                <c:formatCode>0.00</c:formatCode>
                <c:ptCount val="2"/>
                <c:pt idx="0">
                  <c:v>-6</c:v>
                </c:pt>
                <c:pt idx="1">
                  <c:v>-6</c:v>
                </c:pt>
              </c:numCache>
            </c:numRef>
          </c:xVal>
          <c:yVal>
            <c:numRef>
              <c:f>'Pic database'!$L$79:$L$80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C9B-4107-AE05-649BC265E634}"/>
            </c:ext>
          </c:extLst>
        </c:ser>
        <c:ser>
          <c:idx val="17"/>
          <c:order val="22"/>
          <c:tx>
            <c:v>t10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database'!$K$81:$K$82</c:f>
              <c:numCache>
                <c:formatCode>0.00</c:formatCode>
                <c:ptCount val="2"/>
                <c:pt idx="0">
                  <c:v>-5</c:v>
                </c:pt>
                <c:pt idx="1">
                  <c:v>-5</c:v>
                </c:pt>
              </c:numCache>
            </c:numRef>
          </c:xVal>
          <c:yVal>
            <c:numRef>
              <c:f>'Pic database'!$L$81:$L$82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C9B-4107-AE05-649BC265E634}"/>
            </c:ext>
          </c:extLst>
        </c:ser>
        <c:ser>
          <c:idx val="18"/>
          <c:order val="23"/>
          <c:tx>
            <c:v>t11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database'!$K$83:$K$84</c:f>
              <c:numCache>
                <c:formatCode>0.00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'Pic database'!$L$83:$L$84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C9B-4107-AE05-649BC265E634}"/>
            </c:ext>
          </c:extLst>
        </c:ser>
        <c:ser>
          <c:idx val="19"/>
          <c:order val="24"/>
          <c:tx>
            <c:v>t12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database'!$K$85:$K$86</c:f>
              <c:numCache>
                <c:formatCode>0.00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xVal>
          <c:yVal>
            <c:numRef>
              <c:f>'Pic database'!$L$85:$L$86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C9B-4107-AE05-649BC265E634}"/>
            </c:ext>
          </c:extLst>
        </c:ser>
        <c:ser>
          <c:idx val="20"/>
          <c:order val="25"/>
          <c:tx>
            <c:v>t13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database'!$K$87:$K$88</c:f>
              <c:numCache>
                <c:formatCode>0.00</c:formatCode>
                <c:ptCount val="2"/>
                <c:pt idx="0">
                  <c:v>-2</c:v>
                </c:pt>
                <c:pt idx="1">
                  <c:v>-2</c:v>
                </c:pt>
              </c:numCache>
            </c:numRef>
          </c:xVal>
          <c:yVal>
            <c:numRef>
              <c:f>'Pic database'!$L$87:$L$88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C9B-4107-AE05-649BC265E634}"/>
            </c:ext>
          </c:extLst>
        </c:ser>
        <c:ser>
          <c:idx val="21"/>
          <c:order val="26"/>
          <c:tx>
            <c:v>t14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database'!$K$89:$K$90</c:f>
              <c:numCache>
                <c:formatCode>0.00</c:formatCode>
                <c:ptCount val="2"/>
                <c:pt idx="0">
                  <c:v>-1</c:v>
                </c:pt>
                <c:pt idx="1">
                  <c:v>-1</c:v>
                </c:pt>
              </c:numCache>
            </c:numRef>
          </c:xVal>
          <c:yVal>
            <c:numRef>
              <c:f>'Pic database'!$L$89:$L$90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DC9B-4107-AE05-649BC265E634}"/>
            </c:ext>
          </c:extLst>
        </c:ser>
        <c:ser>
          <c:idx val="22"/>
          <c:order val="27"/>
          <c:tx>
            <c:v>t15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database'!$K$91:$K$92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'Pic database'!$L$91:$L$92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DC9B-4107-AE05-649BC265E634}"/>
            </c:ext>
          </c:extLst>
        </c:ser>
        <c:ser>
          <c:idx val="23"/>
          <c:order val="28"/>
          <c:tx>
            <c:v>t16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database'!$K$93:$K$94</c:f>
              <c:numCache>
                <c:formatCode>0.00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'Pic database'!$L$93:$L$94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DC9B-4107-AE05-649BC265E634}"/>
            </c:ext>
          </c:extLst>
        </c:ser>
        <c:ser>
          <c:idx val="24"/>
          <c:order val="29"/>
          <c:tx>
            <c:v>t17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database'!$K$95:$K$96</c:f>
              <c:numCache>
                <c:formatCode>0.00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'Pic database'!$L$95:$L$96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DC9B-4107-AE05-649BC265E634}"/>
            </c:ext>
          </c:extLst>
        </c:ser>
        <c:ser>
          <c:idx val="25"/>
          <c:order val="30"/>
          <c:tx>
            <c:v>t18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database'!$K$97:$K$98</c:f>
              <c:numCache>
                <c:formatCode>0.00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'Pic database'!$L$97:$L$98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DC9B-4107-AE05-649BC265E634}"/>
            </c:ext>
          </c:extLst>
        </c:ser>
        <c:ser>
          <c:idx val="26"/>
          <c:order val="31"/>
          <c:tx>
            <c:v>t19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database'!$K$99:$K$100</c:f>
              <c:numCache>
                <c:formatCode>0.00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'Pic database'!$L$99:$L$100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DC9B-4107-AE05-649BC265E634}"/>
            </c:ext>
          </c:extLst>
        </c:ser>
        <c:ser>
          <c:idx val="27"/>
          <c:order val="32"/>
          <c:tx>
            <c:v>t20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database'!$K$101:$K$102</c:f>
              <c:numCache>
                <c:formatCode>0.00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'Pic database'!$L$101:$L$102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DC9B-4107-AE05-649BC265E634}"/>
            </c:ext>
          </c:extLst>
        </c:ser>
        <c:ser>
          <c:idx val="28"/>
          <c:order val="33"/>
          <c:tx>
            <c:v>t21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database'!$K$103:$K$104</c:f>
              <c:numCache>
                <c:formatCode>0.00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'Pic database'!$L$103:$L$104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DC9B-4107-AE05-649BC265E634}"/>
            </c:ext>
          </c:extLst>
        </c:ser>
        <c:ser>
          <c:idx val="29"/>
          <c:order val="34"/>
          <c:tx>
            <c:v>t22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database'!$K$105:$K$106</c:f>
              <c:numCache>
                <c:formatCode>0.00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'Pic database'!$L$105:$L$106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DC9B-4107-AE05-649BC265E634}"/>
            </c:ext>
          </c:extLst>
        </c:ser>
        <c:ser>
          <c:idx val="30"/>
          <c:order val="35"/>
          <c:tx>
            <c:v>t23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database'!$K$107:$K$108</c:f>
              <c:numCache>
                <c:formatCode>0.00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'Pic database'!$L$107:$L$108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DC9B-4107-AE05-649BC265E634}"/>
            </c:ext>
          </c:extLst>
        </c:ser>
        <c:ser>
          <c:idx val="31"/>
          <c:order val="36"/>
          <c:tx>
            <c:v>t24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database'!$K$109:$K$110</c:f>
              <c:numCache>
                <c:formatCode>0.00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'Pic database'!$L$109:$L$110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DC9B-4107-AE05-649BC265E634}"/>
            </c:ext>
          </c:extLst>
        </c:ser>
        <c:ser>
          <c:idx val="32"/>
          <c:order val="37"/>
          <c:tx>
            <c:v>t25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database'!$K$111:$K$112</c:f>
              <c:numCache>
                <c:formatCode>0.00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'Pic database'!$L$111:$L$112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DC9B-4107-AE05-649BC265E634}"/>
            </c:ext>
          </c:extLst>
        </c:ser>
        <c:ser>
          <c:idx val="33"/>
          <c:order val="38"/>
          <c:tx>
            <c:v>t26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database'!$K$113:$K$114</c:f>
              <c:numCache>
                <c:formatCode>0.00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'Pic database'!$L$113:$L$114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DC9B-4107-AE05-649BC265E634}"/>
            </c:ext>
          </c:extLst>
        </c:ser>
        <c:ser>
          <c:idx val="34"/>
          <c:order val="39"/>
          <c:tx>
            <c:v>t27</c:v>
          </c:tx>
          <c:spPr>
            <a:ln w="127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database'!$K$115:$K$116</c:f>
              <c:numCache>
                <c:formatCode>0.00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'Pic database'!$L$115:$L$116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DC9B-4107-AE05-649BC265E634}"/>
            </c:ext>
          </c:extLst>
        </c:ser>
        <c:ser>
          <c:idx val="35"/>
          <c:order val="40"/>
          <c:tx>
            <c:v>t28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database'!$K$117:$K$118</c:f>
              <c:numCache>
                <c:formatCode>0.00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'Pic database'!$L$117:$L$118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DC9B-4107-AE05-649BC265E634}"/>
            </c:ext>
          </c:extLst>
        </c:ser>
        <c:ser>
          <c:idx val="36"/>
          <c:order val="41"/>
          <c:tx>
            <c:v>t29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database'!$K$119:$K$120</c:f>
              <c:numCache>
                <c:formatCode>0.00</c:formatCode>
                <c:ptCount val="2"/>
                <c:pt idx="0">
                  <c:v>14</c:v>
                </c:pt>
                <c:pt idx="1">
                  <c:v>14</c:v>
                </c:pt>
              </c:numCache>
            </c:numRef>
          </c:xVal>
          <c:yVal>
            <c:numRef>
              <c:f>'Pic database'!$L$119:$L$120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DC9B-4107-AE05-649BC265E634}"/>
            </c:ext>
          </c:extLst>
        </c:ser>
        <c:ser>
          <c:idx val="37"/>
          <c:order val="42"/>
          <c:tx>
            <c:v>balok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database'!$G$80:$G$81</c:f>
              <c:numCache>
                <c:formatCode>0.00</c:formatCode>
                <c:ptCount val="2"/>
                <c:pt idx="0">
                  <c:v>-15</c:v>
                </c:pt>
                <c:pt idx="1">
                  <c:v>15</c:v>
                </c:pt>
              </c:numCache>
            </c:numRef>
          </c:xVal>
          <c:yVal>
            <c:numRef>
              <c:f>'Pic database'!$H$80:$H$81</c:f>
              <c:numCache>
                <c:formatCode>0.00</c:formatCode>
                <c:ptCount val="2"/>
                <c:pt idx="0">
                  <c:v>-2</c:v>
                </c:pt>
                <c:pt idx="1">
                  <c:v>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DC9B-4107-AE05-649BC265E634}"/>
            </c:ext>
          </c:extLst>
        </c:ser>
        <c:ser>
          <c:idx val="38"/>
          <c:order val="43"/>
          <c:tx>
            <c:v>balok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database'!$G$82:$G$83</c:f>
              <c:numCache>
                <c:formatCode>0.00</c:formatCode>
                <c:ptCount val="2"/>
                <c:pt idx="0">
                  <c:v>-15</c:v>
                </c:pt>
                <c:pt idx="1">
                  <c:v>15</c:v>
                </c:pt>
              </c:numCache>
            </c:numRef>
          </c:xVal>
          <c:yVal>
            <c:numRef>
              <c:f>'Pic database'!$H$82:$H$83</c:f>
              <c:numCache>
                <c:formatCode>0.00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DC9B-4107-AE05-649BC265E634}"/>
            </c:ext>
          </c:extLst>
        </c:ser>
        <c:ser>
          <c:idx val="40"/>
          <c:order val="44"/>
          <c:tx>
            <c:v>t1.1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database'!$O$63:$O$64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database'!$P$63:$P$64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DC9B-4107-AE05-649BC265E634}"/>
            </c:ext>
          </c:extLst>
        </c:ser>
        <c:ser>
          <c:idx val="41"/>
          <c:order val="45"/>
          <c:tx>
            <c:v>t2.1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database'!$O$65:$O$66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database'!$P$65:$P$66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DC9B-4107-AE05-649BC265E634}"/>
            </c:ext>
          </c:extLst>
        </c:ser>
        <c:ser>
          <c:idx val="42"/>
          <c:order val="46"/>
          <c:tx>
            <c:v>t3.1</c:v>
          </c:tx>
          <c:spPr>
            <a:ln w="127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database'!$O$67:$O$68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database'!$P$67:$P$68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DC9B-4107-AE05-649BC265E634}"/>
            </c:ext>
          </c:extLst>
        </c:ser>
        <c:ser>
          <c:idx val="43"/>
          <c:order val="47"/>
          <c:tx>
            <c:v>t4.1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database'!$O$69:$O$70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database'!$P$69:$P$70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DC9B-4107-AE05-649BC265E634}"/>
            </c:ext>
          </c:extLst>
        </c:ser>
        <c:ser>
          <c:idx val="44"/>
          <c:order val="48"/>
          <c:tx>
            <c:v>t5.1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database'!$O$71:$O$72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database'!$P$71:$P$72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DC9B-4107-AE05-649BC265E634}"/>
            </c:ext>
          </c:extLst>
        </c:ser>
        <c:ser>
          <c:idx val="45"/>
          <c:order val="49"/>
          <c:tx>
            <c:v>t6.1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database'!$O$73:$O$74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database'!$P$73:$P$74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DC9B-4107-AE05-649BC265E634}"/>
            </c:ext>
          </c:extLst>
        </c:ser>
        <c:ser>
          <c:idx val="46"/>
          <c:order val="50"/>
          <c:tx>
            <c:v>t7.1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database'!$O$75:$O$76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database'!$P$75:$P$76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DC9B-4107-AE05-649BC265E634}"/>
            </c:ext>
          </c:extLst>
        </c:ser>
        <c:ser>
          <c:idx val="47"/>
          <c:order val="51"/>
          <c:tx>
            <c:v>t8.1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database'!$O$77:$O$78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database'!$P$77:$P$78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DC9B-4107-AE05-649BC265E634}"/>
            </c:ext>
          </c:extLst>
        </c:ser>
        <c:ser>
          <c:idx val="48"/>
          <c:order val="52"/>
          <c:tx>
            <c:v>t9.1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database'!$O$79:$O$80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database'!$P$79:$P$80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DC9B-4107-AE05-649BC265E634}"/>
            </c:ext>
          </c:extLst>
        </c:ser>
        <c:ser>
          <c:idx val="49"/>
          <c:order val="53"/>
          <c:tx>
            <c:v>t10.1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database'!$O$81:$O$82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database'!$P$81:$P$82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DC9B-4107-AE05-649BC265E634}"/>
            </c:ext>
          </c:extLst>
        </c:ser>
        <c:ser>
          <c:idx val="50"/>
          <c:order val="54"/>
          <c:tx>
            <c:v>t11.1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database'!$O$83:$O$84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database'!$P$83:$P$84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DC9B-4107-AE05-649BC265E634}"/>
            </c:ext>
          </c:extLst>
        </c:ser>
        <c:ser>
          <c:idx val="51"/>
          <c:order val="55"/>
          <c:tx>
            <c:v>t12.1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database'!$O$85:$O$86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database'!$P$85:$P$86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DC9B-4107-AE05-649BC265E634}"/>
            </c:ext>
          </c:extLst>
        </c:ser>
        <c:ser>
          <c:idx val="52"/>
          <c:order val="56"/>
          <c:tx>
            <c:v>t13.1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database'!$O$87:$O$88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database'!$P$87:$P$88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DC9B-4107-AE05-649BC265E634}"/>
            </c:ext>
          </c:extLst>
        </c:ser>
        <c:ser>
          <c:idx val="53"/>
          <c:order val="57"/>
          <c:tx>
            <c:v>t14.1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database'!$O$89:$O$90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database'!$P$89:$P$90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DC9B-4107-AE05-649BC265E634}"/>
            </c:ext>
          </c:extLst>
        </c:ser>
        <c:ser>
          <c:idx val="54"/>
          <c:order val="58"/>
          <c:tx>
            <c:v>t15.1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database'!$O$91:$O$92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database'!$P$91:$P$92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DC9B-4107-AE05-649BC265E634}"/>
            </c:ext>
          </c:extLst>
        </c:ser>
        <c:ser>
          <c:idx val="55"/>
          <c:order val="59"/>
          <c:tx>
            <c:v>t16.1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database'!$O$93:$O$94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database'!$P$93:$P$94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DC9B-4107-AE05-649BC265E634}"/>
            </c:ext>
          </c:extLst>
        </c:ser>
        <c:ser>
          <c:idx val="56"/>
          <c:order val="60"/>
          <c:tx>
            <c:v>t17.1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database'!$O$95:$O$96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database'!$P$95:$P$96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DC9B-4107-AE05-649BC265E634}"/>
            </c:ext>
          </c:extLst>
        </c:ser>
        <c:ser>
          <c:idx val="57"/>
          <c:order val="61"/>
          <c:tx>
            <c:v>t18.1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database'!$O$97:$O$98</c:f>
              <c:numCache>
                <c:formatCode>0.00</c:formatCode>
                <c:ptCount val="2"/>
                <c:pt idx="0">
                  <c:v>-100</c:v>
                </c:pt>
                <c:pt idx="1">
                  <c:v>-100</c:v>
                </c:pt>
              </c:numCache>
            </c:numRef>
          </c:xVal>
          <c:yVal>
            <c:numRef>
              <c:f>'Pic database'!$P$97:$P$98</c:f>
              <c:numCache>
                <c:formatCode>0.00</c:formatCode>
                <c:ptCount val="2"/>
                <c:pt idx="0">
                  <c:v>-1.5</c:v>
                </c:pt>
                <c:pt idx="1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DC9B-4107-AE05-649BC265E634}"/>
            </c:ext>
          </c:extLst>
        </c:ser>
        <c:ser>
          <c:idx val="61"/>
          <c:order val="62"/>
          <c:tx>
            <c:v>ket tul long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alpha val="1000"/>
                </a:schemeClr>
              </a:solidFill>
              <a:ln w="9525">
                <a:solidFill>
                  <a:schemeClr val="accent1">
                    <a:lumMod val="50000"/>
                    <a:alpha val="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754307889413841E-2"/>
                  <c:y val="0.147324846541012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tulangan</a:t>
                    </a:r>
                  </a:p>
                  <a:p>
                    <a:r>
                      <a:rPr lang="en-US"/>
                      <a:t>longitudinal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DC9B-4107-AE05-649BC265E6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database'!$U$66</c:f>
              <c:numCache>
                <c:formatCode>0.00</c:formatCode>
                <c:ptCount val="1"/>
                <c:pt idx="0">
                  <c:v>-9.5</c:v>
                </c:pt>
              </c:numCache>
            </c:numRef>
          </c:xVal>
          <c:yVal>
            <c:numRef>
              <c:f>'Pic database'!$V$66</c:f>
              <c:numCache>
                <c:formatCode>0.00</c:formatCode>
                <c:ptCount val="1"/>
                <c:pt idx="0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DC9B-4107-AE05-649BC265E634}"/>
            </c:ext>
          </c:extLst>
        </c:ser>
        <c:ser>
          <c:idx val="62"/>
          <c:order val="63"/>
          <c:tx>
            <c:v>ket tul torsi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alpha val="0"/>
                </a:schemeClr>
              </a:solidFill>
              <a:ln w="9525">
                <a:solidFill>
                  <a:schemeClr val="accent1">
                    <a:lumMod val="50000"/>
                    <a:alpha val="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87592101791612E-2"/>
                  <c:y val="0.187504350143106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tulangan</a:t>
                    </a:r>
                  </a:p>
                  <a:p>
                    <a:r>
                      <a:rPr lang="en-US"/>
                      <a:t>torsi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DC9B-4107-AE05-649BC265E6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database'!$U$67</c:f>
              <c:numCache>
                <c:formatCode>0.00</c:formatCode>
                <c:ptCount val="1"/>
                <c:pt idx="0">
                  <c:v>9.5</c:v>
                </c:pt>
              </c:numCache>
            </c:numRef>
          </c:xVal>
          <c:yVal>
            <c:numRef>
              <c:f>'Pic database'!$V$67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DC9B-4107-AE05-649BC265E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</c:scatterChart>
      <c:valAx>
        <c:axId val="671018880"/>
        <c:scaling>
          <c:orientation val="minMax"/>
          <c:max val="20"/>
          <c:min val="-20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sng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u="sng">
                    <a:solidFill>
                      <a:schemeClr val="accent2"/>
                    </a:solidFill>
                  </a:rPr>
                  <a:t>Potongan Memanjang</a:t>
                </a:r>
                <a:r>
                  <a:rPr lang="en-US" b="1" u="sng" baseline="0">
                    <a:solidFill>
                      <a:schemeClr val="accent2"/>
                    </a:solidFill>
                  </a:rPr>
                  <a:t> Bentang Balok</a:t>
                </a:r>
              </a:p>
            </c:rich>
          </c:tx>
          <c:layout>
            <c:manualLayout>
              <c:xMode val="edge"/>
              <c:yMode val="edge"/>
              <c:x val="0.38115226962543486"/>
              <c:y val="0.123041700944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sng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5"/>
          <c:min val="-15"/>
        </c:scaling>
        <c:delete val="1"/>
        <c:axPos val="l"/>
        <c:numFmt formatCode="0.00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21053247508932E-2"/>
          <c:y val="6.0721134754976411E-2"/>
          <c:w val="0.81421686564215334"/>
          <c:h val="0.86942752236255472"/>
        </c:manualLayout>
      </c:layout>
      <c:scatterChart>
        <c:scatterStyle val="lineMarker"/>
        <c:varyColors val="0"/>
        <c:ser>
          <c:idx val="0"/>
          <c:order val="0"/>
          <c:tx>
            <c:v>Sisi kiri Balok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database'!$B$7:$B$8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'Pic database'!$C$7:$C$8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43-4943-B7E2-E91529059A58}"/>
            </c:ext>
          </c:extLst>
        </c:ser>
        <c:ser>
          <c:idx val="1"/>
          <c:order val="1"/>
          <c:tx>
            <c:v>Sisi Kanan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database'!$B$9:$B$10</c:f>
              <c:numCache>
                <c:formatCode>General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xVal>
          <c:yVal>
            <c:numRef>
              <c:f>'Pic database'!$C$9:$C$10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43-4943-B7E2-E91529059A58}"/>
            </c:ext>
          </c:extLst>
        </c:ser>
        <c:ser>
          <c:idx val="2"/>
          <c:order val="2"/>
          <c:tx>
            <c:v>Sisi Atas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database'!$B$11:$B$12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database'!$C$11:$C$12</c:f>
              <c:numCache>
                <c:formatCode>0</c:formatCode>
                <c:ptCount val="2"/>
                <c:pt idx="0">
                  <c:v>110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43-4943-B7E2-E91529059A58}"/>
            </c:ext>
          </c:extLst>
        </c:ser>
        <c:ser>
          <c:idx val="3"/>
          <c:order val="3"/>
          <c:tx>
            <c:v>Sisi Bawah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database'!$B$13:$B$14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database'!$C$13:$C$14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43-4943-B7E2-E91529059A58}"/>
            </c:ext>
          </c:extLst>
        </c:ser>
        <c:ser>
          <c:idx val="4"/>
          <c:order val="4"/>
          <c:tx>
            <c:v>n1-1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database'!$D$18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43-4943-B7E2-E91529059A58}"/>
            </c:ext>
          </c:extLst>
        </c:ser>
        <c:ser>
          <c:idx val="5"/>
          <c:order val="5"/>
          <c:tx>
            <c:v>n1-2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database'!$C$19</c:f>
              <c:numCache>
                <c:formatCode>0.00</c:formatCode>
                <c:ptCount val="1"/>
                <c:pt idx="0">
                  <c:v>52.666666666666664</c:v>
                </c:pt>
              </c:numCache>
            </c:numRef>
          </c:xVal>
          <c:yVal>
            <c:numRef>
              <c:f>'Pic database'!$D$19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43-4943-B7E2-E91529059A58}"/>
            </c:ext>
          </c:extLst>
        </c:ser>
        <c:ser>
          <c:idx val="6"/>
          <c:order val="6"/>
          <c:tx>
            <c:v>n1-3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33082345980765004"/>
                  <c:y val="-0.109760669380473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d</a:t>
                    </a:r>
                    <a:r>
                      <a:rPr lang="en-US" sz="1000" b="1" baseline="-25000"/>
                      <a:t>b-longitudinal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14018877422371"/>
                      <c:h val="5.337801286289594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5643-4943-B7E2-E91529059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database'!$C$20</c:f>
              <c:numCache>
                <c:formatCode>0.00</c:formatCode>
                <c:ptCount val="1"/>
                <c:pt idx="0">
                  <c:v>67.333333333333329</c:v>
                </c:pt>
              </c:numCache>
            </c:numRef>
          </c:xVal>
          <c:yVal>
            <c:numRef>
              <c:f>'Pic database'!$D$20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643-4943-B7E2-E91529059A58}"/>
            </c:ext>
          </c:extLst>
        </c:ser>
        <c:ser>
          <c:idx val="7"/>
          <c:order val="7"/>
          <c:tx>
            <c:v>n1-4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database'!$C$21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database'!$D$21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643-4943-B7E2-E91529059A58}"/>
            </c:ext>
          </c:extLst>
        </c:ser>
        <c:ser>
          <c:idx val="8"/>
          <c:order val="8"/>
          <c:tx>
            <c:v>n1-5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643-4943-B7E2-E91529059A58}"/>
            </c:ext>
          </c:extLst>
        </c:ser>
        <c:ser>
          <c:idx val="9"/>
          <c:order val="9"/>
          <c:tx>
            <c:v>n1-6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643-4943-B7E2-E91529059A58}"/>
            </c:ext>
          </c:extLst>
        </c:ser>
        <c:ser>
          <c:idx val="10"/>
          <c:order val="10"/>
          <c:tx>
            <c:v>n1-7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643-4943-B7E2-E91529059A58}"/>
            </c:ext>
          </c:extLst>
        </c:ser>
        <c:ser>
          <c:idx val="11"/>
          <c:order val="11"/>
          <c:tx>
            <c:v>n1-8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643-4943-B7E2-E91529059A58}"/>
            </c:ext>
          </c:extLst>
        </c:ser>
        <c:ser>
          <c:idx val="12"/>
          <c:order val="12"/>
          <c:tx>
            <c:v>n1-9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643-4943-B7E2-E91529059A58}"/>
            </c:ext>
          </c:extLst>
        </c:ser>
        <c:ser>
          <c:idx val="13"/>
          <c:order val="13"/>
          <c:tx>
            <c:v>n1-10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643-4943-B7E2-E91529059A58}"/>
            </c:ext>
          </c:extLst>
        </c:ser>
        <c:ser>
          <c:idx val="14"/>
          <c:order val="14"/>
          <c:tx>
            <c:v>n2-1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database'!$G$18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643-4943-B7E2-E91529059A58}"/>
            </c:ext>
          </c:extLst>
        </c:ser>
        <c:ser>
          <c:idx val="15"/>
          <c:order val="15"/>
          <c:tx>
            <c:v>n2-2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643-4943-B7E2-E91529059A58}"/>
            </c:ext>
          </c:extLst>
        </c:ser>
        <c:ser>
          <c:idx val="16"/>
          <c:order val="16"/>
          <c:tx>
            <c:v>n2-3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643-4943-B7E2-E91529059A58}"/>
            </c:ext>
          </c:extLst>
        </c:ser>
        <c:ser>
          <c:idx val="17"/>
          <c:order val="17"/>
          <c:tx>
            <c:v>n2-4</c:v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643-4943-B7E2-E91529059A58}"/>
            </c:ext>
          </c:extLst>
        </c:ser>
        <c:ser>
          <c:idx val="18"/>
          <c:order val="18"/>
          <c:tx>
            <c:v>n2-5</c:v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643-4943-B7E2-E91529059A58}"/>
            </c:ext>
          </c:extLst>
        </c:ser>
        <c:ser>
          <c:idx val="19"/>
          <c:order val="19"/>
          <c:tx>
            <c:v>n2-6</c:v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643-4943-B7E2-E91529059A58}"/>
            </c:ext>
          </c:extLst>
        </c:ser>
        <c:ser>
          <c:idx val="20"/>
          <c:order val="20"/>
          <c:tx>
            <c:v>n2-7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643-4943-B7E2-E91529059A58}"/>
            </c:ext>
          </c:extLst>
        </c:ser>
        <c:ser>
          <c:idx val="21"/>
          <c:order val="21"/>
          <c:tx>
            <c:v>n2-8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5643-4943-B7E2-E91529059A58}"/>
            </c:ext>
          </c:extLst>
        </c:ser>
        <c:ser>
          <c:idx val="22"/>
          <c:order val="22"/>
          <c:tx>
            <c:v>n2-9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5643-4943-B7E2-E91529059A58}"/>
            </c:ext>
          </c:extLst>
        </c:ser>
        <c:ser>
          <c:idx val="23"/>
          <c:order val="23"/>
          <c:tx>
            <c:v>n2-10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5643-4943-B7E2-E91529059A58}"/>
            </c:ext>
          </c:extLst>
        </c:ser>
        <c:ser>
          <c:idx val="25"/>
          <c:order val="24"/>
          <c:tx>
            <c:v>n3-1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database'!$J$18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5643-4943-B7E2-E91529059A58}"/>
            </c:ext>
          </c:extLst>
        </c:ser>
        <c:ser>
          <c:idx val="26"/>
          <c:order val="25"/>
          <c:tx>
            <c:v>n3-2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5643-4943-B7E2-E91529059A58}"/>
            </c:ext>
          </c:extLst>
        </c:ser>
        <c:ser>
          <c:idx val="27"/>
          <c:order val="26"/>
          <c:tx>
            <c:v>n3-3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5643-4943-B7E2-E91529059A58}"/>
            </c:ext>
          </c:extLst>
        </c:ser>
        <c:ser>
          <c:idx val="28"/>
          <c:order val="27"/>
          <c:tx>
            <c:v>n3-4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5643-4943-B7E2-E91529059A58}"/>
            </c:ext>
          </c:extLst>
        </c:ser>
        <c:ser>
          <c:idx val="29"/>
          <c:order val="28"/>
          <c:tx>
            <c:v>n3-5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5643-4943-B7E2-E91529059A58}"/>
            </c:ext>
          </c:extLst>
        </c:ser>
        <c:ser>
          <c:idx val="30"/>
          <c:order val="29"/>
          <c:tx>
            <c:v>n3-6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5643-4943-B7E2-E91529059A58}"/>
            </c:ext>
          </c:extLst>
        </c:ser>
        <c:ser>
          <c:idx val="31"/>
          <c:order val="30"/>
          <c:tx>
            <c:v>n3-7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5643-4943-B7E2-E91529059A58}"/>
            </c:ext>
          </c:extLst>
        </c:ser>
        <c:ser>
          <c:idx val="32"/>
          <c:order val="31"/>
          <c:tx>
            <c:v>n3-8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5643-4943-B7E2-E91529059A58}"/>
            </c:ext>
          </c:extLst>
        </c:ser>
        <c:ser>
          <c:idx val="33"/>
          <c:order val="32"/>
          <c:tx>
            <c:v>n3-9</c:v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5643-4943-B7E2-E91529059A58}"/>
            </c:ext>
          </c:extLst>
        </c:ser>
        <c:ser>
          <c:idx val="34"/>
          <c:order val="33"/>
          <c:tx>
            <c:v>n3-10</c:v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5643-4943-B7E2-E91529059A58}"/>
            </c:ext>
          </c:extLst>
        </c:ser>
        <c:ser>
          <c:idx val="35"/>
          <c:order val="34"/>
          <c:tx>
            <c:v>n4-1</c:v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database'!$D$29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5643-4943-B7E2-E91529059A58}"/>
            </c:ext>
          </c:extLst>
        </c:ser>
        <c:ser>
          <c:idx val="36"/>
          <c:order val="35"/>
          <c:tx>
            <c:v>n4-2</c:v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database'!$C$30</c:f>
              <c:numCache>
                <c:formatCode>0.00</c:formatCode>
                <c:ptCount val="1"/>
                <c:pt idx="0">
                  <c:v>60</c:v>
                </c:pt>
              </c:numCache>
            </c:numRef>
          </c:xVal>
          <c:yVal>
            <c:numRef>
              <c:f>'Pic database'!$D$30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5643-4943-B7E2-E91529059A58}"/>
            </c:ext>
          </c:extLst>
        </c:ser>
        <c:ser>
          <c:idx val="37"/>
          <c:order val="36"/>
          <c:tx>
            <c:v>n4-3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database'!$C$31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database'!$D$31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5643-4943-B7E2-E91529059A58}"/>
            </c:ext>
          </c:extLst>
        </c:ser>
        <c:ser>
          <c:idx val="38"/>
          <c:order val="37"/>
          <c:tx>
            <c:v>n4-4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5643-4943-B7E2-E91529059A58}"/>
            </c:ext>
          </c:extLst>
        </c:ser>
        <c:ser>
          <c:idx val="39"/>
          <c:order val="38"/>
          <c:tx>
            <c:v>n4-5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5643-4943-B7E2-E91529059A58}"/>
            </c:ext>
          </c:extLst>
        </c:ser>
        <c:ser>
          <c:idx val="40"/>
          <c:order val="39"/>
          <c:tx>
            <c:v>n4-6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5643-4943-B7E2-E91529059A58}"/>
            </c:ext>
          </c:extLst>
        </c:ser>
        <c:ser>
          <c:idx val="41"/>
          <c:order val="40"/>
          <c:tx>
            <c:v>n4-7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5643-4943-B7E2-E91529059A58}"/>
            </c:ext>
          </c:extLst>
        </c:ser>
        <c:ser>
          <c:idx val="42"/>
          <c:order val="41"/>
          <c:tx>
            <c:v>n4-8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5643-4943-B7E2-E91529059A58}"/>
            </c:ext>
          </c:extLst>
        </c:ser>
        <c:ser>
          <c:idx val="43"/>
          <c:order val="42"/>
          <c:tx>
            <c:v>n4-9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5643-4943-B7E2-E91529059A58}"/>
            </c:ext>
          </c:extLst>
        </c:ser>
        <c:ser>
          <c:idx val="44"/>
          <c:order val="43"/>
          <c:tx>
            <c:v>n4-10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5643-4943-B7E2-E91529059A58}"/>
            </c:ext>
          </c:extLst>
        </c:ser>
        <c:ser>
          <c:idx val="45"/>
          <c:order val="44"/>
          <c:tx>
            <c:v>n5-1</c:v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database'!$G$29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5643-4943-B7E2-E91529059A58}"/>
            </c:ext>
          </c:extLst>
        </c:ser>
        <c:ser>
          <c:idx val="46"/>
          <c:order val="45"/>
          <c:tx>
            <c:v>n5-2</c:v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5643-4943-B7E2-E91529059A58}"/>
            </c:ext>
          </c:extLst>
        </c:ser>
        <c:ser>
          <c:idx val="47"/>
          <c:order val="46"/>
          <c:tx>
            <c:v>n5-3</c:v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5643-4943-B7E2-E91529059A58}"/>
            </c:ext>
          </c:extLst>
        </c:ser>
        <c:ser>
          <c:idx val="48"/>
          <c:order val="47"/>
          <c:tx>
            <c:v>n5-4</c:v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5643-4943-B7E2-E91529059A58}"/>
            </c:ext>
          </c:extLst>
        </c:ser>
        <c:ser>
          <c:idx val="49"/>
          <c:order val="48"/>
          <c:tx>
            <c:v>n5-5</c:v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5643-4943-B7E2-E91529059A58}"/>
            </c:ext>
          </c:extLst>
        </c:ser>
        <c:ser>
          <c:idx val="50"/>
          <c:order val="49"/>
          <c:tx>
            <c:v>n5-6</c:v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5643-4943-B7E2-E91529059A58}"/>
            </c:ext>
          </c:extLst>
        </c:ser>
        <c:ser>
          <c:idx val="51"/>
          <c:order val="50"/>
          <c:tx>
            <c:v>n5-7</c:v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5643-4943-B7E2-E91529059A58}"/>
            </c:ext>
          </c:extLst>
        </c:ser>
        <c:ser>
          <c:idx val="52"/>
          <c:order val="51"/>
          <c:tx>
            <c:v>n5-8</c:v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5643-4943-B7E2-E91529059A58}"/>
            </c:ext>
          </c:extLst>
        </c:ser>
        <c:ser>
          <c:idx val="53"/>
          <c:order val="52"/>
          <c:tx>
            <c:v>n5-9</c:v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5643-4943-B7E2-E91529059A58}"/>
            </c:ext>
          </c:extLst>
        </c:ser>
        <c:ser>
          <c:idx val="54"/>
          <c:order val="53"/>
          <c:tx>
            <c:v>n5-10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5643-4943-B7E2-E91529059A58}"/>
            </c:ext>
          </c:extLst>
        </c:ser>
        <c:ser>
          <c:idx val="55"/>
          <c:order val="54"/>
          <c:tx>
            <c:v>n6-1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database'!$J$29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5643-4943-B7E2-E91529059A58}"/>
            </c:ext>
          </c:extLst>
        </c:ser>
        <c:ser>
          <c:idx val="56"/>
          <c:order val="55"/>
          <c:tx>
            <c:v>n6-2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5643-4943-B7E2-E91529059A58}"/>
            </c:ext>
          </c:extLst>
        </c:ser>
        <c:ser>
          <c:idx val="57"/>
          <c:order val="56"/>
          <c:tx>
            <c:v>n6-3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5643-4943-B7E2-E91529059A58}"/>
            </c:ext>
          </c:extLst>
        </c:ser>
        <c:ser>
          <c:idx val="58"/>
          <c:order val="57"/>
          <c:tx>
            <c:v>n6-4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5643-4943-B7E2-E91529059A58}"/>
            </c:ext>
          </c:extLst>
        </c:ser>
        <c:ser>
          <c:idx val="59"/>
          <c:order val="58"/>
          <c:tx>
            <c:v>n6-5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5643-4943-B7E2-E91529059A58}"/>
            </c:ext>
          </c:extLst>
        </c:ser>
        <c:ser>
          <c:idx val="60"/>
          <c:order val="59"/>
          <c:tx>
            <c:v>n6-6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5643-4943-B7E2-E91529059A58}"/>
            </c:ext>
          </c:extLst>
        </c:ser>
        <c:ser>
          <c:idx val="61"/>
          <c:order val="60"/>
          <c:tx>
            <c:v>n6-7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5643-4943-B7E2-E91529059A58}"/>
            </c:ext>
          </c:extLst>
        </c:ser>
        <c:ser>
          <c:idx val="62"/>
          <c:order val="61"/>
          <c:tx>
            <c:v>n6-8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5643-4943-B7E2-E91529059A58}"/>
            </c:ext>
          </c:extLst>
        </c:ser>
        <c:ser>
          <c:idx val="63"/>
          <c:order val="62"/>
          <c:tx>
            <c:v>n6-9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5643-4943-B7E2-E91529059A58}"/>
            </c:ext>
          </c:extLst>
        </c:ser>
        <c:ser>
          <c:idx val="64"/>
          <c:order val="63"/>
          <c:tx>
            <c:v>n6-10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5643-4943-B7E2-E91529059A58}"/>
            </c:ext>
          </c:extLst>
        </c:ser>
        <c:ser>
          <c:idx val="24"/>
          <c:order val="64"/>
          <c:tx>
            <c:v>t1-x1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database'!$C$42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database'!$D$42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5643-4943-B7E2-E91529059A58}"/>
            </c:ext>
          </c:extLst>
        </c:ser>
        <c:ser>
          <c:idx val="65"/>
          <c:order val="65"/>
          <c:tx>
            <c:v>t1-x2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9633049061998587E-2"/>
                  <c:y val="-9.56042735863083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d</a:t>
                    </a:r>
                    <a:r>
                      <a:rPr lang="en-US" b="1" baseline="-25000"/>
                      <a:t>b-badan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2-5643-4943-B7E2-E91529059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database'!$E$42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database'!$D$42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5643-4943-B7E2-E91529059A58}"/>
            </c:ext>
          </c:extLst>
        </c:ser>
        <c:ser>
          <c:idx val="67"/>
          <c:order val="66"/>
          <c:tx>
            <c:v>t2a-x1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database'!$C$43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database'!$D$43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5643-4943-B7E2-E91529059A58}"/>
            </c:ext>
          </c:extLst>
        </c:ser>
        <c:ser>
          <c:idx val="68"/>
          <c:order val="67"/>
          <c:tx>
            <c:v>t2a-x2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5-5643-4943-B7E2-E91529059A58}"/>
              </c:ext>
            </c:extLst>
          </c:dPt>
          <c:xVal>
            <c:numRef>
              <c:f>'Pic database'!$E$43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database'!$D$43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5643-4943-B7E2-E91529059A58}"/>
            </c:ext>
          </c:extLst>
        </c:ser>
        <c:ser>
          <c:idx val="69"/>
          <c:order val="68"/>
          <c:tx>
            <c:v>t3-x1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database'!$C$44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database'!$D$44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5643-4943-B7E2-E91529059A58}"/>
            </c:ext>
          </c:extLst>
        </c:ser>
        <c:ser>
          <c:idx val="70"/>
          <c:order val="69"/>
          <c:tx>
            <c:v>t3-x2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database'!$E$44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database'!$D$44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5643-4943-B7E2-E91529059A58}"/>
            </c:ext>
          </c:extLst>
        </c:ser>
        <c:ser>
          <c:idx val="66"/>
          <c:order val="70"/>
          <c:tx>
            <c:v>Sengkang Atas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database'!$H$42:$I$42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database'!$H$43:$I$43</c:f>
              <c:numCache>
                <c:formatCode>General</c:formatCode>
                <c:ptCount val="2"/>
                <c:pt idx="0">
                  <c:v>104.04</c:v>
                </c:pt>
                <c:pt idx="1">
                  <c:v>104.04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5643-4943-B7E2-E91529059A58}"/>
            </c:ext>
          </c:extLst>
        </c:ser>
        <c:ser>
          <c:idx val="71"/>
          <c:order val="71"/>
          <c:tx>
            <c:v>Sengkang bawah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database'!$H$45:$I$45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database'!$H$46:$I$46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5643-4943-B7E2-E91529059A58}"/>
            </c:ext>
          </c:extLst>
        </c:ser>
        <c:ser>
          <c:idx val="72"/>
          <c:order val="72"/>
          <c:tx>
            <c:v>Sengkang Kanan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4.0856043645958406E-2"/>
                  <c:y val="-1.14502314119132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d</a:t>
                    </a:r>
                    <a:r>
                      <a:rPr lang="en-US" sz="1000" b="1" baseline="-25000"/>
                      <a:t>b-sengkang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68490538463352"/>
                      <c:h val="5.337801286289594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4B-5643-4943-B7E2-E91529059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database'!$J$42:$L$42</c:f>
              <c:numCache>
                <c:formatCode>0.00</c:formatCode>
                <c:ptCount val="3"/>
                <c:pt idx="0">
                  <c:v>84.6</c:v>
                </c:pt>
                <c:pt idx="1">
                  <c:v>84.6</c:v>
                </c:pt>
                <c:pt idx="2">
                  <c:v>84.6</c:v>
                </c:pt>
              </c:numCache>
            </c:numRef>
          </c:xVal>
          <c:yVal>
            <c:numRef>
              <c:f>'Pic database'!$J$43:$L$43</c:f>
              <c:numCache>
                <c:formatCode>0.00</c:formatCode>
                <c:ptCount val="3"/>
                <c:pt idx="0">
                  <c:v>102</c:v>
                </c:pt>
                <c:pt idx="1">
                  <c:v>52</c:v>
                </c:pt>
                <c:pt idx="2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5643-4943-B7E2-E91529059A58}"/>
            </c:ext>
          </c:extLst>
        </c:ser>
        <c:ser>
          <c:idx val="73"/>
          <c:order val="73"/>
          <c:tx>
            <c:v>Sengkang kiri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database'!$J$45:$K$45</c:f>
              <c:numCache>
                <c:formatCode>0.00</c:formatCode>
                <c:ptCount val="2"/>
                <c:pt idx="0">
                  <c:v>35.4</c:v>
                </c:pt>
                <c:pt idx="1">
                  <c:v>35.4</c:v>
                </c:pt>
              </c:numCache>
            </c:numRef>
          </c:xVal>
          <c:yVal>
            <c:numRef>
              <c:f>'Pic database'!$J$46:$K$46</c:f>
              <c:numCache>
                <c:formatCode>0.00</c:formatCode>
                <c:ptCount val="2"/>
                <c:pt idx="0">
                  <c:v>102</c:v>
                </c:pt>
                <c:pt idx="1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5643-4943-B7E2-E91529059A58}"/>
            </c:ext>
          </c:extLst>
        </c:ser>
        <c:ser>
          <c:idx val="75"/>
          <c:order val="74"/>
          <c:tx>
            <c:v>s2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E-5643-4943-B7E2-E91529059A58}"/>
            </c:ext>
          </c:extLst>
        </c:ser>
        <c:ser>
          <c:idx val="76"/>
          <c:order val="75"/>
          <c:tx>
            <c:v>s3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4F-5643-4943-B7E2-E91529059A58}"/>
            </c:ext>
          </c:extLst>
        </c:ser>
        <c:ser>
          <c:idx val="77"/>
          <c:order val="76"/>
          <c:tx>
            <c:v>dimensi h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5643-4943-B7E2-E91529059A58}"/>
              </c:ext>
            </c:extLst>
          </c:dPt>
          <c:xVal>
            <c:numRef>
              <c:f>'Pic database'!$D$56:$D$57</c:f>
              <c:numCache>
                <c:formatCode>0.00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'Pic database'!$E$56:$E$57</c:f>
              <c:numCache>
                <c:formatCode>0.00</c:formatCode>
                <c:ptCount val="2"/>
                <c:pt idx="0">
                  <c:v>10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5643-4943-B7E2-E91529059A58}"/>
            </c:ext>
          </c:extLst>
        </c:ser>
        <c:ser>
          <c:idx val="78"/>
          <c:order val="77"/>
          <c:tx>
            <c:v>dimensi b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2-5643-4943-B7E2-E91529059A58}"/>
              </c:ext>
            </c:extLst>
          </c:dPt>
          <c:xVal>
            <c:numRef>
              <c:f>'Pic database'!$B$56:$B$57</c:f>
              <c:numCache>
                <c:formatCode>0.00</c:formatCode>
                <c:ptCount val="2"/>
                <c:pt idx="0">
                  <c:v>30</c:v>
                </c:pt>
                <c:pt idx="1">
                  <c:v>60</c:v>
                </c:pt>
              </c:numCache>
            </c:numRef>
          </c:xVal>
          <c:yVal>
            <c:numRef>
              <c:f>'Pic database'!$C$56:$C$57</c:f>
              <c:numCache>
                <c:formatCode>0.00</c:formatCode>
                <c:ptCount val="2"/>
                <c:pt idx="0">
                  <c:v>-5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5643-4943-B7E2-E91529059A58}"/>
            </c:ext>
          </c:extLst>
        </c:ser>
        <c:ser>
          <c:idx val="74"/>
          <c:order val="78"/>
          <c:tx>
            <c:v>dimensi b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5643-4943-B7E2-E91529059A58}"/>
              </c:ext>
            </c:extLst>
          </c:dPt>
          <c:dLbls>
            <c:dLbl>
              <c:idx val="0"/>
              <c:layout>
                <c:manualLayout>
                  <c:x val="-0.18385632569471416"/>
                  <c:y val="3.77356633486851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766816143497751"/>
                      <c:h val="6.59671668399940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55-5643-4943-B7E2-E91529059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database'!$B$57:$B$58</c:f>
              <c:numCache>
                <c:formatCode>0.00</c:formatCode>
                <c:ptCount val="2"/>
                <c:pt idx="0">
                  <c:v>60</c:v>
                </c:pt>
                <c:pt idx="1">
                  <c:v>90</c:v>
                </c:pt>
              </c:numCache>
            </c:numRef>
          </c:xVal>
          <c:yVal>
            <c:numRef>
              <c:f>'Pic database'!$C$57:$C$58</c:f>
              <c:numCache>
                <c:formatCode>0.00</c:formatCode>
                <c:ptCount val="2"/>
                <c:pt idx="0">
                  <c:v>-5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6-5643-4943-B7E2-E91529059A58}"/>
            </c:ext>
          </c:extLst>
        </c:ser>
        <c:ser>
          <c:idx val="79"/>
          <c:order val="79"/>
          <c:tx>
            <c:v>dimensi h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7-5643-4943-B7E2-E91529059A58}"/>
              </c:ext>
            </c:extLst>
          </c:dPt>
          <c:dLbls>
            <c:dLbl>
              <c:idx val="0"/>
              <c:layout>
                <c:manualLayout>
                  <c:x val="-0.16426481675661764"/>
                  <c:y val="-9.4630712956732897E-3"/>
                </c:manualLayout>
              </c:layout>
              <c:tx>
                <c:rich>
                  <a:bodyPr rot="-5400000" spcFirstLastPara="1" vertOverflow="ellipsis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h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15505532247889"/>
                      <c:h val="6.44699674157395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58-5643-4943-B7E2-E91529059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database'!$D$57:$D$58</c:f>
              <c:numCache>
                <c:formatCode>0.00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'Pic database'!$E$57:$E$58</c:f>
              <c:numCache>
                <c:formatCode>0.00</c:formatCode>
                <c:ptCount val="2"/>
                <c:pt idx="0">
                  <c:v>60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5643-4943-B7E2-E91529059A58}"/>
            </c:ext>
          </c:extLst>
        </c:ser>
        <c:ser>
          <c:idx val="80"/>
          <c:order val="80"/>
          <c:tx>
            <c:v>dimensi cc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A-5643-4943-B7E2-E91529059A58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B-5643-4943-B7E2-E91529059A58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C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C-5643-4943-B7E2-E91529059A58}"/>
              </c:ext>
            </c:extLst>
          </c:dPt>
          <c:dLbls>
            <c:dLbl>
              <c:idx val="2"/>
              <c:layout>
                <c:manualLayout>
                  <c:x val="-8.4742734868062056E-3"/>
                  <c:y val="1.38233913558775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c</a:t>
                    </a:r>
                    <a:r>
                      <a:rPr lang="en-US" sz="1000" b="1" baseline="-25000"/>
                      <a:t>c</a:t>
                    </a:r>
                    <a:endParaRPr lang="en-US" sz="1000" b="1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47018749188112"/>
                      <c:h val="5.406402666302680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5C-5643-4943-B7E2-E91529059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'Pic database'!$F$56:$F$58</c:f>
              <c:numCache>
                <c:formatCode>0.00</c:formatCode>
                <c:ptCount val="3"/>
                <c:pt idx="0">
                  <c:v>99.000000000000014</c:v>
                </c:pt>
                <c:pt idx="1">
                  <c:v>99.000000000000014</c:v>
                </c:pt>
                <c:pt idx="2">
                  <c:v>99.000000000000014</c:v>
                </c:pt>
              </c:numCache>
            </c:numRef>
          </c:xVal>
          <c:yVal>
            <c:numRef>
              <c:f>'Pic database'!$G$56:$G$58</c:f>
              <c:numCache>
                <c:formatCode>0.00</c:formatCode>
                <c:ptCount val="3"/>
                <c:pt idx="0">
                  <c:v>10</c:v>
                </c:pt>
                <c:pt idx="1">
                  <c:v>13</c:v>
                </c:pt>
                <c:pt idx="2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5643-4943-B7E2-E91529059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</c:scatterChart>
      <c:valAx>
        <c:axId val="671018880"/>
        <c:scaling>
          <c:orientation val="minMax"/>
          <c:max val="120"/>
          <c:min val="-10"/>
        </c:scaling>
        <c:delete val="1"/>
        <c:axPos val="b"/>
        <c:numFmt formatCode="General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20"/>
          <c:min val="-10"/>
        </c:scaling>
        <c:delete val="1"/>
        <c:axPos val="l"/>
        <c:numFmt formatCode="General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783777018390902E-2"/>
          <c:y val="1.4208750173073307E-2"/>
          <c:w val="0.97477524971902263"/>
          <c:h val="0.98417768997249422"/>
        </c:manualLayout>
      </c:layout>
      <c:scatterChart>
        <c:scatterStyle val="lineMarker"/>
        <c:varyColors val="0"/>
        <c:ser>
          <c:idx val="80"/>
          <c:order val="0"/>
          <c:tx>
            <c:v>Elemen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database'!$C$63:$C$67</c:f>
              <c:numCache>
                <c:formatCode>0.00</c:formatCode>
                <c:ptCount val="5"/>
                <c:pt idx="0">
                  <c:v>-15</c:v>
                </c:pt>
                <c:pt idx="1">
                  <c:v>-15</c:v>
                </c:pt>
                <c:pt idx="2">
                  <c:v>15</c:v>
                </c:pt>
                <c:pt idx="3">
                  <c:v>15</c:v>
                </c:pt>
                <c:pt idx="4">
                  <c:v>-15</c:v>
                </c:pt>
              </c:numCache>
            </c:numRef>
          </c:xVal>
          <c:yVal>
            <c:numRef>
              <c:f>'Pic database'!$D$63:$D$67</c:f>
              <c:numCache>
                <c:formatCode>0.00</c:formatCode>
                <c:ptCount val="5"/>
                <c:pt idx="0">
                  <c:v>-1</c:v>
                </c:pt>
                <c:pt idx="1">
                  <c:v>1</c:v>
                </c:pt>
                <c:pt idx="2">
                  <c:v>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4F-44C7-8034-D6508750C7EB}"/>
            </c:ext>
          </c:extLst>
        </c:ser>
        <c:ser>
          <c:idx val="0"/>
          <c:order val="1"/>
          <c:tx>
            <c:v>Tumpuan kiri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database'!$C$71:$C$72</c:f>
              <c:numCache>
                <c:formatCode>0.00</c:formatCode>
                <c:ptCount val="2"/>
                <c:pt idx="0">
                  <c:v>-15</c:v>
                </c:pt>
                <c:pt idx="1">
                  <c:v>-15</c:v>
                </c:pt>
              </c:numCache>
            </c:numRef>
          </c:xVal>
          <c:yVal>
            <c:numRef>
              <c:f>'Pic database'!$D$71:$D$72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4F-44C7-8034-D6508750C7EB}"/>
            </c:ext>
          </c:extLst>
        </c:ser>
        <c:ser>
          <c:idx val="1"/>
          <c:order val="2"/>
          <c:tx>
            <c:v>Tumpuan kanan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database'!$C$73:$C$74</c:f>
              <c:numCache>
                <c:formatCode>0.00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'Pic database'!$D$73:$D$74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4F-44C7-8034-D6508750C7EB}"/>
            </c:ext>
          </c:extLst>
        </c:ser>
        <c:ser>
          <c:idx val="2"/>
          <c:order val="3"/>
          <c:tx>
            <c:v>arsir kiri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database'!$C$78:$C$79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database'!$D$78:$D$79</c:f>
              <c:numCache>
                <c:formatCode>0.00</c:formatCode>
                <c:ptCount val="2"/>
                <c:pt idx="0">
                  <c:v>2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4F-44C7-8034-D6508750C7EB}"/>
            </c:ext>
          </c:extLst>
        </c:ser>
        <c:ser>
          <c:idx val="3"/>
          <c:order val="4"/>
          <c:tx>
            <c:v>arsir kiri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database'!$C$80:$C$81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database'!$D$80:$D$81</c:f>
              <c:numCache>
                <c:formatCode>0.00</c:formatCode>
                <c:ptCount val="2"/>
                <c:pt idx="0">
                  <c:v>0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4F-44C7-8034-D6508750C7EB}"/>
            </c:ext>
          </c:extLst>
        </c:ser>
        <c:ser>
          <c:idx val="4"/>
          <c:order val="5"/>
          <c:tx>
            <c:v>arsir kiri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database'!$C$82:$C$83</c:f>
              <c:numCache>
                <c:formatCode>0.00</c:formatCode>
                <c:ptCount val="2"/>
                <c:pt idx="0">
                  <c:v>-15</c:v>
                </c:pt>
                <c:pt idx="1">
                  <c:v>-16</c:v>
                </c:pt>
              </c:numCache>
            </c:numRef>
          </c:xVal>
          <c:yVal>
            <c:numRef>
              <c:f>'Pic database'!$D$82:$D$83</c:f>
              <c:numCache>
                <c:formatCode>0.00</c:formatCode>
                <c:ptCount val="2"/>
                <c:pt idx="0">
                  <c:v>-2</c:v>
                </c:pt>
                <c:pt idx="1">
                  <c:v>-3.5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E4F-44C7-8034-D6508750C7EB}"/>
            </c:ext>
          </c:extLst>
        </c:ser>
        <c:ser>
          <c:idx val="5"/>
          <c:order val="6"/>
          <c:tx>
            <c:v>arsir kanan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database'!$C$84:$C$85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database'!$D$84:$D$85</c:f>
              <c:numCache>
                <c:formatCode>0.00</c:formatCode>
                <c:ptCount val="2"/>
                <c:pt idx="0">
                  <c:v>1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E4F-44C7-8034-D6508750C7EB}"/>
            </c:ext>
          </c:extLst>
        </c:ser>
        <c:ser>
          <c:idx val="6"/>
          <c:order val="7"/>
          <c:tx>
            <c:v>arsir kanan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database'!$C$86:$C$87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database'!$D$86:$D$87</c:f>
              <c:numCache>
                <c:formatCode>0.00</c:formatCode>
                <c:ptCount val="2"/>
                <c:pt idx="0">
                  <c:v>-1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E4F-44C7-8034-D6508750C7EB}"/>
            </c:ext>
          </c:extLst>
        </c:ser>
        <c:ser>
          <c:idx val="7"/>
          <c:order val="8"/>
          <c:tx>
            <c:v>arsir kanan 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'Pic database'!$C$88:$C$89</c:f>
              <c:numCache>
                <c:formatCode>0.00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'Pic database'!$D$88:$D$89</c:f>
              <c:numCache>
                <c:formatCode>0.00</c:formatCode>
                <c:ptCount val="2"/>
                <c:pt idx="0">
                  <c:v>-3</c:v>
                </c:pt>
                <c:pt idx="1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E4F-44C7-8034-D6508750C7EB}"/>
            </c:ext>
          </c:extLst>
        </c:ser>
        <c:ser>
          <c:idx val="8"/>
          <c:order val="9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database'!$G$63:$G$64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'Pic database'!$H$63:$H$64</c:f>
              <c:numCache>
                <c:formatCode>0.00</c:formatCode>
                <c:ptCount val="2"/>
                <c:pt idx="0">
                  <c:v>-3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E4F-44C7-8034-D6508750C7EB}"/>
            </c:ext>
          </c:extLst>
        </c:ser>
        <c:ser>
          <c:idx val="9"/>
          <c:order val="10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65000"/>
                  </a:schemeClr>
                </a:solidFill>
                <a:round/>
                <a:tailEnd type="triangle" w="sm" len="sm"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4F-44C7-8034-D6508750C7EB}"/>
              </c:ext>
            </c:extLst>
          </c:dPt>
          <c:dLbls>
            <c:dLbl>
              <c:idx val="1"/>
              <c:layout>
                <c:manualLayout>
                  <c:x val="-1.726597735084445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0E4F-44C7-8034-D6508750C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database'!$G$65:$G$66</c:f>
              <c:numCache>
                <c:formatCode>0.00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'Pic database'!$H$65:$H$66</c:f>
              <c:numCache>
                <c:formatCode>0.00</c:formatCode>
                <c:ptCount val="2"/>
                <c:pt idx="0">
                  <c:v>-3</c:v>
                </c:pt>
                <c:pt idx="1">
                  <c:v>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E4F-44C7-8034-D6508750C7EB}"/>
            </c:ext>
          </c:extLst>
        </c:ser>
        <c:ser>
          <c:idx val="10"/>
          <c:order val="11"/>
          <c:tx>
            <c:v>notasi potongan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  <a:tailEnd type="triangle" w="sm" len="sm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7265977350844453E-2"/>
                  <c:y val="-5.303495671804703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E4F-44C7-8034-D6508750C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database'!$G$67:$G$68</c:f>
              <c:numCache>
                <c:formatCode>0.00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'Pic database'!$H$67:$H$68</c:f>
              <c:numCache>
                <c:formatCode>0.00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E4F-44C7-8034-D6508750C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</c:scatterChart>
      <c:valAx>
        <c:axId val="671018880"/>
        <c:scaling>
          <c:orientation val="minMax"/>
          <c:max val="20"/>
          <c:min val="-20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Tampak samping bentang balok</a:t>
                </a:r>
                <a:endParaRPr lang="id-ID" b="1"/>
              </a:p>
            </c:rich>
          </c:tx>
          <c:layout>
            <c:manualLayout>
              <c:xMode val="edge"/>
              <c:yMode val="edge"/>
              <c:x val="0.2810389931025819"/>
              <c:y val="0.11853229306866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5"/>
          <c:min val="-15"/>
        </c:scaling>
        <c:delete val="1"/>
        <c:axPos val="l"/>
        <c:numFmt formatCode="0.00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sng" strike="noStrike" kern="1200" spc="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r>
              <a:rPr lang="en-US" sz="1000" b="1" u="sng">
                <a:solidFill>
                  <a:schemeClr val="accent2"/>
                </a:solidFill>
              </a:rPr>
              <a:t>Tulangan</a:t>
            </a:r>
            <a:r>
              <a:rPr lang="en-US" sz="1000" b="1" u="sng" baseline="0">
                <a:solidFill>
                  <a:schemeClr val="accent2"/>
                </a:solidFill>
              </a:rPr>
              <a:t> pada daerah tumpuan</a:t>
            </a:r>
          </a:p>
          <a:p>
            <a:pPr>
              <a:defRPr sz="1000" b="1" u="sng">
                <a:solidFill>
                  <a:schemeClr val="accent2"/>
                </a:solidFill>
              </a:defRPr>
            </a:pPr>
            <a:r>
              <a:rPr lang="en-US" sz="800" b="0" u="none" baseline="0">
                <a:solidFill>
                  <a:schemeClr val="accent2"/>
                </a:solidFill>
              </a:rPr>
              <a:t>(potongan A - A)</a:t>
            </a:r>
            <a:endParaRPr lang="id-ID" sz="800" b="0" u="none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0.240179237479511"/>
          <c:y val="3.2086943634122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sng" strike="noStrike" kern="1200" spc="0" baseline="0">
              <a:solidFill>
                <a:schemeClr val="accent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722132404680746E-3"/>
          <c:y val="0.19005230774735402"/>
          <c:w val="0.63153454055655012"/>
          <c:h val="0.71912349775204665"/>
        </c:manualLayout>
      </c:layout>
      <c:scatterChart>
        <c:scatterStyle val="lineMarker"/>
        <c:varyColors val="0"/>
        <c:ser>
          <c:idx val="0"/>
          <c:order val="0"/>
          <c:tx>
            <c:v>Sisi kiri Balok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database'!$B$7:$B$8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'Pic database'!$C$7:$C$8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21-4B31-863B-3B565F3BEFC2}"/>
            </c:ext>
          </c:extLst>
        </c:ser>
        <c:ser>
          <c:idx val="1"/>
          <c:order val="1"/>
          <c:tx>
            <c:v>Sisi Kanan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database'!$B$9:$B$10</c:f>
              <c:numCache>
                <c:formatCode>General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xVal>
          <c:yVal>
            <c:numRef>
              <c:f>'Pic database'!$C$9:$C$10</c:f>
              <c:numCache>
                <c:formatCode>0</c:formatCode>
                <c:ptCount val="2"/>
                <c:pt idx="0" formatCode="General">
                  <c:v>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21-4B31-863B-3B565F3BEFC2}"/>
            </c:ext>
          </c:extLst>
        </c:ser>
        <c:ser>
          <c:idx val="2"/>
          <c:order val="2"/>
          <c:tx>
            <c:v>Sisi Atas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database'!$B$11:$B$12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database'!$C$11:$C$12</c:f>
              <c:numCache>
                <c:formatCode>0</c:formatCode>
                <c:ptCount val="2"/>
                <c:pt idx="0">
                  <c:v>110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21-4B31-863B-3B565F3BEFC2}"/>
            </c:ext>
          </c:extLst>
        </c:ser>
        <c:ser>
          <c:idx val="3"/>
          <c:order val="3"/>
          <c:tx>
            <c:v>Sisi Bawah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database'!$B$13:$B$14</c:f>
              <c:numCache>
                <c:formatCode>General</c:formatCode>
                <c:ptCount val="2"/>
                <c:pt idx="0">
                  <c:v>30</c:v>
                </c:pt>
                <c:pt idx="1">
                  <c:v>90</c:v>
                </c:pt>
              </c:numCache>
            </c:numRef>
          </c:xVal>
          <c:yVal>
            <c:numRef>
              <c:f>'Pic database'!$C$13:$C$14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21-4B31-863B-3B565F3BEFC2}"/>
            </c:ext>
          </c:extLst>
        </c:ser>
        <c:ser>
          <c:idx val="4"/>
          <c:order val="4"/>
          <c:tx>
            <c:v>n1-1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database'!$D$18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D21-4B31-863B-3B565F3BEFC2}"/>
            </c:ext>
          </c:extLst>
        </c:ser>
        <c:ser>
          <c:idx val="5"/>
          <c:order val="5"/>
          <c:tx>
            <c:v>n1-2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database'!$C$19</c:f>
              <c:numCache>
                <c:formatCode>0.00</c:formatCode>
                <c:ptCount val="1"/>
                <c:pt idx="0">
                  <c:v>52.666666666666664</c:v>
                </c:pt>
              </c:numCache>
            </c:numRef>
          </c:xVal>
          <c:yVal>
            <c:numRef>
              <c:f>'Pic database'!$D$19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D21-4B31-863B-3B565F3BEFC2}"/>
            </c:ext>
          </c:extLst>
        </c:ser>
        <c:ser>
          <c:idx val="6"/>
          <c:order val="6"/>
          <c:tx>
            <c:v>n1-3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33082345980765004"/>
                  <c:y val="-0.109760669380473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1"/>
                      <a:t>d</a:t>
                    </a:r>
                    <a:r>
                      <a:rPr lang="en-US" sz="900" b="1" baseline="-25000"/>
                      <a:t>b-longitudinal</a:t>
                    </a:r>
                    <a:r>
                      <a:rPr lang="en-US" sz="900" b="1"/>
                      <a:t> = </a:t>
                    </a:r>
                    <a:fld id="{F217D85B-28AE-4E99-8F0B-A1A8280FE3EC}" type="CELLREF">
                      <a:rPr lang="en-US" sz="900" b="1"/>
                      <a:pPr algn="l">
                        <a:defRPr b="1"/>
                      </a:pPr>
                      <a:t>[CELLREF]</a:t>
                    </a:fld>
                    <a:r>
                      <a:rPr lang="en-US" sz="900" b="1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14018877422371"/>
                      <c:h val="5.3378012862895945E-2"/>
                    </c:manualLayout>
                  </c15:layout>
                  <c15:dlblFieldTable>
                    <c15:dlblFTEntry>
                      <c15:txfldGUID>{F217D85B-28AE-4E99-8F0B-A1A8280FE3EC}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D21-4B31-863B-3B565F3BE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database'!$C$20</c:f>
              <c:numCache>
                <c:formatCode>0.00</c:formatCode>
                <c:ptCount val="1"/>
                <c:pt idx="0">
                  <c:v>67.333333333333329</c:v>
                </c:pt>
              </c:numCache>
            </c:numRef>
          </c:xVal>
          <c:yVal>
            <c:numRef>
              <c:f>'Pic database'!$D$20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D21-4B31-863B-3B565F3BEFC2}"/>
            </c:ext>
          </c:extLst>
        </c:ser>
        <c:ser>
          <c:idx val="7"/>
          <c:order val="7"/>
          <c:tx>
            <c:v>n1-4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1624802686942516E-2"/>
                  <c:y val="-1.46453832656192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rgbClr val="002060"/>
                        </a:solidFill>
                      </a:rPr>
                      <a:t>Tulangan tarik</a:t>
                    </a:r>
                  </a:p>
                  <a:p>
                    <a:pPr algn="l">
                      <a:defRPr b="1">
                        <a:solidFill>
                          <a:srgbClr val="002060"/>
                        </a:solidFill>
                      </a:defRPr>
                    </a:pPr>
                    <a:fld id="{A36A51AE-D3B3-4DC3-AC20-4C044081541D}" type="CELLREF">
                      <a:rPr lang="en-US" b="1">
                        <a:solidFill>
                          <a:srgbClr val="002060"/>
                        </a:solidFill>
                      </a:rPr>
                      <a:pPr algn="l">
                        <a:defRPr b="1">
                          <a:solidFill>
                            <a:srgbClr val="002060"/>
                          </a:solidFill>
                        </a:defRPr>
                      </a:pPr>
                      <a:t>[CELLREF]</a:t>
                    </a:fld>
                    <a:r>
                      <a:rPr lang="en-US" b="1" baseline="0">
                        <a:solidFill>
                          <a:srgbClr val="002060"/>
                        </a:solidFill>
                      </a:rPr>
                      <a:t> D </a:t>
                    </a:r>
                    <a:fld id="{0EBF1A8E-C846-4D09-8DA4-B586144A7700}" type="CELLREF">
                      <a:rPr lang="en-US" b="1" baseline="0">
                        <a:solidFill>
                          <a:srgbClr val="002060"/>
                        </a:solidFill>
                      </a:rPr>
                      <a:pPr algn="l">
                        <a:defRPr b="1">
                          <a:solidFill>
                            <a:srgbClr val="002060"/>
                          </a:solidFill>
                        </a:defRPr>
                      </a:pPr>
                      <a:t>[CELLREF]</a:t>
                    </a:fld>
                    <a:endParaRPr lang="en-US" b="1" baseline="0">
                      <a:solidFill>
                        <a:srgbClr val="002060"/>
                      </a:solidFill>
                    </a:endParaRPr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506786769356105"/>
                      <c:h val="0.14954174228972314"/>
                    </c:manualLayout>
                  </c15:layout>
                  <c15:dlblFieldTable>
                    <c15:dlblFTEntry>
                      <c15:txfldGUID>{A36A51AE-D3B3-4DC3-AC20-4C044081541D}</c15:txfldGUID>
                      <c15:f>Process!$G$383</c15:f>
                      <c15:dlblFieldTableCache>
                        <c:ptCount val="1"/>
                        <c:pt idx="0">
                          <c:v>4</c:v>
                        </c:pt>
                      </c15:dlblFieldTableCache>
                    </c15:dlblFTEntry>
                    <c15:dlblFTEntry>
                      <c15:txfldGUID>{0EBF1A8E-C846-4D09-8DA4-B586144A7700}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D21-4B31-863B-3B565F3BE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'Pic database'!$C$21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database'!$D$21</c:f>
              <c:numCache>
                <c:formatCode>0.00</c:formatCode>
                <c:ptCount val="1"/>
                <c:pt idx="0">
                  <c:v>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D21-4B31-863B-3B565F3BEFC2}"/>
            </c:ext>
          </c:extLst>
        </c:ser>
        <c:ser>
          <c:idx val="8"/>
          <c:order val="8"/>
          <c:tx>
            <c:v>n1-5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D21-4B31-863B-3B565F3BEFC2}"/>
            </c:ext>
          </c:extLst>
        </c:ser>
        <c:ser>
          <c:idx val="9"/>
          <c:order val="9"/>
          <c:tx>
            <c:v>n1-6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D21-4B31-863B-3B565F3BEFC2}"/>
            </c:ext>
          </c:extLst>
        </c:ser>
        <c:ser>
          <c:idx val="10"/>
          <c:order val="10"/>
          <c:tx>
            <c:v>n1-7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D21-4B31-863B-3B565F3BEFC2}"/>
            </c:ext>
          </c:extLst>
        </c:ser>
        <c:ser>
          <c:idx val="11"/>
          <c:order val="11"/>
          <c:tx>
            <c:v>n1-8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D21-4B31-863B-3B565F3BEFC2}"/>
            </c:ext>
          </c:extLst>
        </c:ser>
        <c:ser>
          <c:idx val="12"/>
          <c:order val="12"/>
          <c:tx>
            <c:v>n1-9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D21-4B31-863B-3B565F3BEFC2}"/>
            </c:ext>
          </c:extLst>
        </c:ser>
        <c:ser>
          <c:idx val="13"/>
          <c:order val="13"/>
          <c:tx>
            <c:v>n1-10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D21-4B31-863B-3B565F3BEFC2}"/>
            </c:ext>
          </c:extLst>
        </c:ser>
        <c:ser>
          <c:idx val="14"/>
          <c:order val="14"/>
          <c:tx>
            <c:v>n2-1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database'!$G$18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D21-4B31-863B-3B565F3BEFC2}"/>
            </c:ext>
          </c:extLst>
        </c:ser>
        <c:ser>
          <c:idx val="15"/>
          <c:order val="15"/>
          <c:tx>
            <c:v>n2-2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D21-4B31-863B-3B565F3BEFC2}"/>
            </c:ext>
          </c:extLst>
        </c:ser>
        <c:ser>
          <c:idx val="16"/>
          <c:order val="16"/>
          <c:tx>
            <c:v>n2-3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D21-4B31-863B-3B565F3BEFC2}"/>
            </c:ext>
          </c:extLst>
        </c:ser>
        <c:ser>
          <c:idx val="17"/>
          <c:order val="17"/>
          <c:tx>
            <c:v>n2-4</c:v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D21-4B31-863B-3B565F3BEFC2}"/>
            </c:ext>
          </c:extLst>
        </c:ser>
        <c:ser>
          <c:idx val="18"/>
          <c:order val="18"/>
          <c:tx>
            <c:v>n2-5</c:v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D21-4B31-863B-3B565F3BEFC2}"/>
            </c:ext>
          </c:extLst>
        </c:ser>
        <c:ser>
          <c:idx val="19"/>
          <c:order val="19"/>
          <c:tx>
            <c:v>n2-6</c:v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D21-4B31-863B-3B565F3BEFC2}"/>
            </c:ext>
          </c:extLst>
        </c:ser>
        <c:ser>
          <c:idx val="20"/>
          <c:order val="20"/>
          <c:tx>
            <c:v>n2-7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D21-4B31-863B-3B565F3BEFC2}"/>
            </c:ext>
          </c:extLst>
        </c:ser>
        <c:ser>
          <c:idx val="21"/>
          <c:order val="21"/>
          <c:tx>
            <c:v>n2-8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D21-4B31-863B-3B565F3BEFC2}"/>
            </c:ext>
          </c:extLst>
        </c:ser>
        <c:ser>
          <c:idx val="22"/>
          <c:order val="22"/>
          <c:tx>
            <c:v>n2-9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D21-4B31-863B-3B565F3BEFC2}"/>
            </c:ext>
          </c:extLst>
        </c:ser>
        <c:ser>
          <c:idx val="23"/>
          <c:order val="23"/>
          <c:tx>
            <c:v>n2-10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D21-4B31-863B-3B565F3BEFC2}"/>
            </c:ext>
          </c:extLst>
        </c:ser>
        <c:ser>
          <c:idx val="25"/>
          <c:order val="24"/>
          <c:tx>
            <c:v>n3-1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database'!$I$18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database'!$J$18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D21-4B31-863B-3B565F3BEFC2}"/>
            </c:ext>
          </c:extLst>
        </c:ser>
        <c:ser>
          <c:idx val="26"/>
          <c:order val="25"/>
          <c:tx>
            <c:v>n3-2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database'!$I$19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database'!$J$19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D21-4B31-863B-3B565F3BEFC2}"/>
            </c:ext>
          </c:extLst>
        </c:ser>
        <c:ser>
          <c:idx val="27"/>
          <c:order val="26"/>
          <c:tx>
            <c:v>n3-3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D21-4B31-863B-3B565F3BEFC2}"/>
            </c:ext>
          </c:extLst>
        </c:ser>
        <c:ser>
          <c:idx val="28"/>
          <c:order val="27"/>
          <c:tx>
            <c:v>n3-4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DD21-4B31-863B-3B565F3BEFC2}"/>
            </c:ext>
          </c:extLst>
        </c:ser>
        <c:ser>
          <c:idx val="29"/>
          <c:order val="28"/>
          <c:tx>
            <c:v>n3-5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DD21-4B31-863B-3B565F3BEFC2}"/>
            </c:ext>
          </c:extLst>
        </c:ser>
        <c:ser>
          <c:idx val="30"/>
          <c:order val="29"/>
          <c:tx>
            <c:v>n3-6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DD21-4B31-863B-3B565F3BEFC2}"/>
            </c:ext>
          </c:extLst>
        </c:ser>
        <c:ser>
          <c:idx val="31"/>
          <c:order val="30"/>
          <c:tx>
            <c:v>n3-7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DD21-4B31-863B-3B565F3BEFC2}"/>
            </c:ext>
          </c:extLst>
        </c:ser>
        <c:ser>
          <c:idx val="32"/>
          <c:order val="31"/>
          <c:tx>
            <c:v>n3-8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DD21-4B31-863B-3B565F3BEFC2}"/>
            </c:ext>
          </c:extLst>
        </c:ser>
        <c:ser>
          <c:idx val="33"/>
          <c:order val="32"/>
          <c:tx>
            <c:v>n3-9</c:v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DD21-4B31-863B-3B565F3BEFC2}"/>
            </c:ext>
          </c:extLst>
        </c:ser>
        <c:ser>
          <c:idx val="34"/>
          <c:order val="33"/>
          <c:tx>
            <c:v>n3-10</c:v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database'!$J$27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DD21-4B31-863B-3B565F3BEFC2}"/>
            </c:ext>
          </c:extLst>
        </c:ser>
        <c:ser>
          <c:idx val="35"/>
          <c:order val="34"/>
          <c:tx>
            <c:v>n4-1</c:v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database'!$D$29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DD21-4B31-863B-3B565F3BEFC2}"/>
            </c:ext>
          </c:extLst>
        </c:ser>
        <c:ser>
          <c:idx val="36"/>
          <c:order val="35"/>
          <c:tx>
            <c:v>n4-2</c:v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31072913151541381"/>
                  <c:y val="0.1204666675973244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d</a:t>
                    </a:r>
                    <a:r>
                      <a:rPr lang="en-US" b="1" baseline="-25000"/>
                      <a:t>b-longitudinal</a:t>
                    </a:r>
                    <a:r>
                      <a:rPr lang="en-US" b="1"/>
                      <a:t> = </a:t>
                    </a:r>
                    <a:fld id="{E1A84D30-9901-4215-A11B-20260851BD49}" type="CELLREF">
                      <a:rPr lang="en-US" b="1"/>
                      <a:pPr>
                        <a:defRPr b="1"/>
                      </a:pPr>
                      <a:t>[CELLREF]</a:t>
                    </a:fld>
                    <a:r>
                      <a:rPr lang="en-US" b="1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604630146858361"/>
                      <c:h val="9.5259623090764523E-2"/>
                    </c:manualLayout>
                  </c15:layout>
                  <c15:dlblFieldTable>
                    <c15:dlblFTEntry>
                      <c15:txfldGUID>{E1A84D30-9901-4215-A11B-20260851BD49}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DD21-4B31-863B-3B565F3BE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database'!$C$30</c:f>
              <c:numCache>
                <c:formatCode>0.00</c:formatCode>
                <c:ptCount val="1"/>
                <c:pt idx="0">
                  <c:v>60</c:v>
                </c:pt>
              </c:numCache>
            </c:numRef>
          </c:xVal>
          <c:yVal>
            <c:numRef>
              <c:f>'Pic database'!$D$30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DD21-4B31-863B-3B565F3BEFC2}"/>
            </c:ext>
          </c:extLst>
        </c:ser>
        <c:ser>
          <c:idx val="37"/>
          <c:order val="36"/>
          <c:tx>
            <c:v>n4-3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8462304054156845E-2"/>
                  <c:y val="1.04865908277573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rgbClr val="002060"/>
                        </a:solidFill>
                      </a:rPr>
                      <a:t>Tulangan tekan</a:t>
                    </a:r>
                  </a:p>
                  <a:p>
                    <a:pPr algn="l">
                      <a:defRPr b="1">
                        <a:solidFill>
                          <a:srgbClr val="002060"/>
                        </a:solidFill>
                      </a:defRPr>
                    </a:pPr>
                    <a:fld id="{BF33BBF1-8FFB-4EB2-AA66-E36CF0FE5623}" type="CELLREF">
                      <a:rPr lang="en-US" b="1">
                        <a:solidFill>
                          <a:srgbClr val="002060"/>
                        </a:solidFill>
                      </a:rPr>
                      <a:pPr algn="l">
                        <a:defRPr b="1">
                          <a:solidFill>
                            <a:srgbClr val="002060"/>
                          </a:solidFill>
                        </a:defRPr>
                      </a:pPr>
                      <a:t>[CELLREF]</a:t>
                    </a:fld>
                    <a:r>
                      <a:rPr lang="en-US" b="1" baseline="0">
                        <a:solidFill>
                          <a:srgbClr val="002060"/>
                        </a:solidFill>
                      </a:rPr>
                      <a:t> D </a:t>
                    </a:r>
                    <a:fld id="{3877720B-337D-46D5-8E63-E71B6BC784D2}" type="CELLREF">
                      <a:rPr lang="en-US" b="1" baseline="0">
                        <a:solidFill>
                          <a:srgbClr val="002060"/>
                        </a:solidFill>
                      </a:rPr>
                      <a:pPr algn="l">
                        <a:defRPr b="1">
                          <a:solidFill>
                            <a:srgbClr val="002060"/>
                          </a:solidFill>
                        </a:defRPr>
                      </a:pPr>
                      <a:t>[CELLREF]</a:t>
                    </a:fld>
                    <a:endParaRPr lang="en-US" b="1" baseline="0">
                      <a:solidFill>
                        <a:srgbClr val="002060"/>
                      </a:solidFill>
                    </a:endParaRPr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534823680457933"/>
                      <c:h val="0.14954182165204472"/>
                    </c:manualLayout>
                  </c15:layout>
                  <c15:dlblFieldTable>
                    <c15:dlblFTEntry>
                      <c15:txfldGUID>{BF33BBF1-8FFB-4EB2-AA66-E36CF0FE5623}</c15:txfldGUID>
                      <c15:f>Process!$G$384</c15:f>
                      <c15:dlblFieldTableCache>
                        <c:ptCount val="1"/>
                        <c:pt idx="0">
                          <c:v>3</c:v>
                        </c:pt>
                      </c15:dlblFieldTableCache>
                    </c15:dlblFTEntry>
                    <c15:dlblFTEntry>
                      <c15:txfldGUID>{3877720B-337D-46D5-8E63-E71B6BC784D2}</c15:txfldGUID>
                      <c15:f>Input!$H$22</c15:f>
                      <c15:dlblFieldTableCache>
                        <c:ptCount val="1"/>
                        <c:pt idx="0">
                          <c:v>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DD21-4B31-863B-3B565F3BE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'Pic database'!$C$31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database'!$D$31</c:f>
              <c:numCache>
                <c:formatCode>0.00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DD21-4B31-863B-3B565F3BEFC2}"/>
            </c:ext>
          </c:extLst>
        </c:ser>
        <c:ser>
          <c:idx val="38"/>
          <c:order val="37"/>
          <c:tx>
            <c:v>n4-4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DD21-4B31-863B-3B565F3BEFC2}"/>
            </c:ext>
          </c:extLst>
        </c:ser>
        <c:ser>
          <c:idx val="39"/>
          <c:order val="38"/>
          <c:tx>
            <c:v>n4-5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DD21-4B31-863B-3B565F3BEFC2}"/>
            </c:ext>
          </c:extLst>
        </c:ser>
        <c:ser>
          <c:idx val="40"/>
          <c:order val="39"/>
          <c:tx>
            <c:v>n4-6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DD21-4B31-863B-3B565F3BEFC2}"/>
            </c:ext>
          </c:extLst>
        </c:ser>
        <c:ser>
          <c:idx val="41"/>
          <c:order val="40"/>
          <c:tx>
            <c:v>n4-7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DD21-4B31-863B-3B565F3BEFC2}"/>
            </c:ext>
          </c:extLst>
        </c:ser>
        <c:ser>
          <c:idx val="42"/>
          <c:order val="41"/>
          <c:tx>
            <c:v>n4-8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DD21-4B31-863B-3B565F3BEFC2}"/>
            </c:ext>
          </c:extLst>
        </c:ser>
        <c:ser>
          <c:idx val="43"/>
          <c:order val="42"/>
          <c:tx>
            <c:v>n4-9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DD21-4B31-863B-3B565F3BEFC2}"/>
            </c:ext>
          </c:extLst>
        </c:ser>
        <c:ser>
          <c:idx val="44"/>
          <c:order val="43"/>
          <c:tx>
            <c:v>n4-10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database'!$D$38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DD21-4B31-863B-3B565F3BEFC2}"/>
            </c:ext>
          </c:extLst>
        </c:ser>
        <c:ser>
          <c:idx val="45"/>
          <c:order val="44"/>
          <c:tx>
            <c:v>n5-1</c:v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database'!$G$29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DD21-4B31-863B-3B565F3BEFC2}"/>
            </c:ext>
          </c:extLst>
        </c:ser>
        <c:ser>
          <c:idx val="46"/>
          <c:order val="45"/>
          <c:tx>
            <c:v>n5-2</c:v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DD21-4B31-863B-3B565F3BEFC2}"/>
            </c:ext>
          </c:extLst>
        </c:ser>
        <c:ser>
          <c:idx val="47"/>
          <c:order val="46"/>
          <c:tx>
            <c:v>n5-3</c:v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DD21-4B31-863B-3B565F3BEFC2}"/>
            </c:ext>
          </c:extLst>
        </c:ser>
        <c:ser>
          <c:idx val="48"/>
          <c:order val="47"/>
          <c:tx>
            <c:v>n5-4</c:v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DD21-4B31-863B-3B565F3BEFC2}"/>
            </c:ext>
          </c:extLst>
        </c:ser>
        <c:ser>
          <c:idx val="49"/>
          <c:order val="48"/>
          <c:tx>
            <c:v>n5-5</c:v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DD21-4B31-863B-3B565F3BEFC2}"/>
            </c:ext>
          </c:extLst>
        </c:ser>
        <c:ser>
          <c:idx val="50"/>
          <c:order val="49"/>
          <c:tx>
            <c:v>n5-6</c:v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DD21-4B31-863B-3B565F3BEFC2}"/>
            </c:ext>
          </c:extLst>
        </c:ser>
        <c:ser>
          <c:idx val="51"/>
          <c:order val="50"/>
          <c:tx>
            <c:v>n5-7</c:v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DD21-4B31-863B-3B565F3BEFC2}"/>
            </c:ext>
          </c:extLst>
        </c:ser>
        <c:ser>
          <c:idx val="52"/>
          <c:order val="51"/>
          <c:tx>
            <c:v>n5-8</c:v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DD21-4B31-863B-3B565F3BEFC2}"/>
            </c:ext>
          </c:extLst>
        </c:ser>
        <c:ser>
          <c:idx val="53"/>
          <c:order val="52"/>
          <c:tx>
            <c:v>n5-9</c:v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DD21-4B31-863B-3B565F3BEFC2}"/>
            </c:ext>
          </c:extLst>
        </c:ser>
        <c:ser>
          <c:idx val="54"/>
          <c:order val="53"/>
          <c:tx>
            <c:v>n5-10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database'!$F$38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database'!$G$38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DD21-4B31-863B-3B565F3BEFC2}"/>
            </c:ext>
          </c:extLst>
        </c:ser>
        <c:ser>
          <c:idx val="55"/>
          <c:order val="54"/>
          <c:tx>
            <c:v>n6-1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database'!$I$29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database'!$J$29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DD21-4B31-863B-3B565F3BEFC2}"/>
            </c:ext>
          </c:extLst>
        </c:ser>
        <c:ser>
          <c:idx val="56"/>
          <c:order val="55"/>
          <c:tx>
            <c:v>n6-2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database'!$I$30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database'!$J$30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DD21-4B31-863B-3B565F3BEFC2}"/>
            </c:ext>
          </c:extLst>
        </c:ser>
        <c:ser>
          <c:idx val="57"/>
          <c:order val="56"/>
          <c:tx>
            <c:v>n6-3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database'!$I$31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database'!$J$31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DD21-4B31-863B-3B565F3BEFC2}"/>
            </c:ext>
          </c:extLst>
        </c:ser>
        <c:ser>
          <c:idx val="58"/>
          <c:order val="57"/>
          <c:tx>
            <c:v>n6-4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database'!$I$32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database'!$J$32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DD21-4B31-863B-3B565F3BEFC2}"/>
            </c:ext>
          </c:extLst>
        </c:ser>
        <c:ser>
          <c:idx val="59"/>
          <c:order val="58"/>
          <c:tx>
            <c:v>n6-5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database'!$I$33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database'!$J$33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DD21-4B31-863B-3B565F3BEFC2}"/>
            </c:ext>
          </c:extLst>
        </c:ser>
        <c:ser>
          <c:idx val="60"/>
          <c:order val="59"/>
          <c:tx>
            <c:v>n6-6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database'!$I$34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database'!$J$34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DD21-4B31-863B-3B565F3BEFC2}"/>
            </c:ext>
          </c:extLst>
        </c:ser>
        <c:ser>
          <c:idx val="61"/>
          <c:order val="60"/>
          <c:tx>
            <c:v>n6-7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database'!$I$35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database'!$J$35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DD21-4B31-863B-3B565F3BEFC2}"/>
            </c:ext>
          </c:extLst>
        </c:ser>
        <c:ser>
          <c:idx val="62"/>
          <c:order val="61"/>
          <c:tx>
            <c:v>n6-8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database'!$I$36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database'!$J$36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DD21-4B31-863B-3B565F3BEFC2}"/>
            </c:ext>
          </c:extLst>
        </c:ser>
        <c:ser>
          <c:idx val="63"/>
          <c:order val="62"/>
          <c:tx>
            <c:v>n6-9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database'!$I$37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database'!$J$37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DD21-4B31-863B-3B565F3BEFC2}"/>
            </c:ext>
          </c:extLst>
        </c:ser>
        <c:ser>
          <c:idx val="64"/>
          <c:order val="63"/>
          <c:tx>
            <c:v>n6-10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database'!$I$38</c:f>
              <c:numCache>
                <c:formatCode>0.00</c:formatCode>
                <c:ptCount val="1"/>
                <c:pt idx="0">
                  <c:v>-100</c:v>
                </c:pt>
              </c:numCache>
            </c:numRef>
          </c:xVal>
          <c:yVal>
            <c:numRef>
              <c:f>'Pic database'!$J$38</c:f>
              <c:numCache>
                <c:formatCode>0.00</c:formatCode>
                <c:ptCount val="1"/>
                <c:pt idx="0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DD21-4B31-863B-3B565F3BEFC2}"/>
            </c:ext>
          </c:extLst>
        </c:ser>
        <c:ser>
          <c:idx val="24"/>
          <c:order val="64"/>
          <c:tx>
            <c:v>t1-x1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8776745932940467"/>
                      <c:h val="8.6235822234344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4-DD21-4B31-863B-3B565F3BE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database'!$C$42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database'!$D$42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DD21-4B31-863B-3B565F3BEFC2}"/>
            </c:ext>
          </c:extLst>
        </c:ser>
        <c:ser>
          <c:idx val="65"/>
          <c:order val="65"/>
          <c:tx>
            <c:v>t1-x2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602535529376993E-2"/>
                  <c:y val="-7.72802099563915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d</a:t>
                    </a:r>
                    <a:r>
                      <a:rPr lang="en-US" b="1" baseline="-25000"/>
                      <a:t>b-badan</a:t>
                    </a:r>
                    <a:r>
                      <a:rPr lang="en-US" b="1"/>
                      <a:t> = </a:t>
                    </a:r>
                    <a:fld id="{D722A59E-7E4A-4459-A594-5F230440DBE2}" type="CELLREF">
                      <a:rPr lang="en-US" b="1"/>
                      <a:pPr algn="l">
                        <a:defRPr b="1"/>
                      </a:pPr>
                      <a:t>[CELLREF]</a:t>
                    </a:fld>
                    <a:r>
                      <a:rPr lang="en-US" b="1"/>
                      <a:t> mm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14249817451805"/>
                      <c:h val="6.357466362985878E-2"/>
                    </c:manualLayout>
                  </c15:layout>
                  <c15:dlblFieldTable>
                    <c15:dlblFTEntry>
                      <c15:txfldGUID>{D722A59E-7E4A-4459-A594-5F230440DBE2}</c15:txfldGUID>
                      <c15:f>Input!$H$24</c15:f>
                      <c15:dlblFieldTableCache>
                        <c:ptCount val="1"/>
                        <c:pt idx="0">
                          <c:v>13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DD21-4B31-863B-3B565F3BE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database'!$E$42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database'!$D$42</c:f>
              <c:numCache>
                <c:formatCode>0.000</c:formatCode>
                <c:ptCount val="1"/>
                <c:pt idx="0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DD21-4B31-863B-3B565F3BEFC2}"/>
            </c:ext>
          </c:extLst>
        </c:ser>
        <c:ser>
          <c:idx val="67"/>
          <c:order val="66"/>
          <c:tx>
            <c:v>t2a-x1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database'!$C$43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database'!$D$43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DD21-4B31-863B-3B565F3BEFC2}"/>
            </c:ext>
          </c:extLst>
        </c:ser>
        <c:ser>
          <c:idx val="68"/>
          <c:order val="67"/>
          <c:tx>
            <c:v>t2a-x2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9-DD21-4B31-863B-3B565F3BEFC2}"/>
              </c:ext>
            </c:extLst>
          </c:dPt>
          <c:xVal>
            <c:numRef>
              <c:f>'Pic database'!$E$43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database'!$D$43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DD21-4B31-863B-3B565F3BEFC2}"/>
            </c:ext>
          </c:extLst>
        </c:ser>
        <c:ser>
          <c:idx val="69"/>
          <c:order val="68"/>
          <c:tx>
            <c:v>t3-x1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database'!$C$44</c:f>
              <c:numCache>
                <c:formatCode>0.00</c:formatCode>
                <c:ptCount val="1"/>
                <c:pt idx="0">
                  <c:v>38</c:v>
                </c:pt>
              </c:numCache>
            </c:numRef>
          </c:xVal>
          <c:yVal>
            <c:numRef>
              <c:f>'Pic database'!$D$44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DD21-4B31-863B-3B565F3BEFC2}"/>
            </c:ext>
          </c:extLst>
        </c:ser>
        <c:ser>
          <c:idx val="70"/>
          <c:order val="69"/>
          <c:tx>
            <c:v>t3-x2</c:v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'Pic database'!$E$44</c:f>
              <c:numCache>
                <c:formatCode>0.00</c:formatCode>
                <c:ptCount val="1"/>
                <c:pt idx="0">
                  <c:v>82</c:v>
                </c:pt>
              </c:numCache>
            </c:numRef>
          </c:xVal>
          <c:yVal>
            <c:numRef>
              <c:f>'Pic database'!$D$44</c:f>
              <c:numCache>
                <c:formatCode>0.000</c:formatCode>
                <c:ptCount val="1"/>
                <c:pt idx="0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DD21-4B31-863B-3B565F3BEFC2}"/>
            </c:ext>
          </c:extLst>
        </c:ser>
        <c:ser>
          <c:idx val="66"/>
          <c:order val="70"/>
          <c:tx>
            <c:v>Sengkang Atas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database'!$H$42:$I$42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database'!$H$43:$I$43</c:f>
              <c:numCache>
                <c:formatCode>General</c:formatCode>
                <c:ptCount val="2"/>
                <c:pt idx="0">
                  <c:v>104.04</c:v>
                </c:pt>
                <c:pt idx="1">
                  <c:v>104.04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DD21-4B31-863B-3B565F3BEFC2}"/>
            </c:ext>
          </c:extLst>
        </c:ser>
        <c:ser>
          <c:idx val="71"/>
          <c:order val="71"/>
          <c:tx>
            <c:v>Sengkang bawah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database'!$H$45:$I$45</c:f>
              <c:numCache>
                <c:formatCode>0.00</c:formatCode>
                <c:ptCount val="2"/>
                <c:pt idx="0">
                  <c:v>38</c:v>
                </c:pt>
                <c:pt idx="1">
                  <c:v>82</c:v>
                </c:pt>
              </c:numCache>
            </c:numRef>
          </c:xVal>
          <c:yVal>
            <c:numRef>
              <c:f>'Pic database'!$H$46:$I$46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DD21-4B31-863B-3B565F3BEFC2}"/>
            </c:ext>
          </c:extLst>
        </c:ser>
        <c:ser>
          <c:idx val="72"/>
          <c:order val="72"/>
          <c:tx>
            <c:v>Sengkang Kanan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5.0487535632737543E-2"/>
                  <c:y val="-1.14501828505100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1"/>
                      <a:t>d</a:t>
                    </a:r>
                    <a:r>
                      <a:rPr lang="en-US" sz="900" b="1" baseline="-25000"/>
                      <a:t>b-sengkang</a:t>
                    </a:r>
                    <a:r>
                      <a:rPr lang="en-US" sz="900" b="1"/>
                      <a:t> = </a:t>
                    </a:r>
                    <a:fld id="{177ECC68-861F-4F77-A334-A4A426A045A1}" type="CELLREF">
                      <a:rPr lang="en-US" sz="900" b="1"/>
                      <a:pPr algn="l">
                        <a:defRPr b="1"/>
                      </a:pPr>
                      <a:t>[CELLREF]</a:t>
                    </a:fld>
                    <a:r>
                      <a:rPr lang="en-US" sz="900" b="1"/>
                      <a:t> mm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99992628493993"/>
                      <c:h val="5.337801458608657E-2"/>
                    </c:manualLayout>
                  </c15:layout>
                  <c15:dlblFieldTable>
                    <c15:dlblFTEntry>
                      <c15:txfldGUID>{177ECC68-861F-4F77-A334-A4A426A045A1}</c15:txfldGUID>
                      <c15:f>Input!$H$23</c15:f>
                      <c15:dlblFieldTableCache>
                        <c:ptCount val="1"/>
                        <c:pt idx="0">
                          <c:v>12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DD21-4B31-863B-3B565F3BE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'Pic database'!$J$42:$L$42</c:f>
              <c:numCache>
                <c:formatCode>0.00</c:formatCode>
                <c:ptCount val="3"/>
                <c:pt idx="0">
                  <c:v>84.6</c:v>
                </c:pt>
                <c:pt idx="1">
                  <c:v>84.6</c:v>
                </c:pt>
                <c:pt idx="2">
                  <c:v>84.6</c:v>
                </c:pt>
              </c:numCache>
            </c:numRef>
          </c:xVal>
          <c:yVal>
            <c:numRef>
              <c:f>'Pic database'!$J$43:$L$43</c:f>
              <c:numCache>
                <c:formatCode>0.00</c:formatCode>
                <c:ptCount val="3"/>
                <c:pt idx="0">
                  <c:v>102</c:v>
                </c:pt>
                <c:pt idx="1">
                  <c:v>52</c:v>
                </c:pt>
                <c:pt idx="2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DD21-4B31-863B-3B565F3BEFC2}"/>
            </c:ext>
          </c:extLst>
        </c:ser>
        <c:ser>
          <c:idx val="73"/>
          <c:order val="73"/>
          <c:tx>
            <c:v>Sengkang kiri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'Pic database'!$J$45:$K$45</c:f>
              <c:numCache>
                <c:formatCode>0.00</c:formatCode>
                <c:ptCount val="2"/>
                <c:pt idx="0">
                  <c:v>35.4</c:v>
                </c:pt>
                <c:pt idx="1">
                  <c:v>35.4</c:v>
                </c:pt>
              </c:numCache>
            </c:numRef>
          </c:xVal>
          <c:yVal>
            <c:numRef>
              <c:f>'Pic database'!$J$46:$K$46</c:f>
              <c:numCache>
                <c:formatCode>0.00</c:formatCode>
                <c:ptCount val="2"/>
                <c:pt idx="0">
                  <c:v>102</c:v>
                </c:pt>
                <c:pt idx="1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DD21-4B31-863B-3B565F3BEFC2}"/>
            </c:ext>
          </c:extLst>
        </c:ser>
        <c:ser>
          <c:idx val="75"/>
          <c:order val="74"/>
          <c:tx>
            <c:v>s2</c:v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2-DD21-4B31-863B-3B565F3BEFC2}"/>
            </c:ext>
          </c:extLst>
        </c:ser>
        <c:ser>
          <c:idx val="76"/>
          <c:order val="75"/>
          <c:tx>
            <c:v>s3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-15</c:v>
              </c:pt>
              <c:pt idx="1">
                <c:v>-15</c:v>
              </c:pt>
            </c:numLit>
          </c:xVal>
          <c:yVal>
            <c:numLit>
              <c:formatCode>General</c:formatCode>
              <c:ptCount val="2"/>
              <c:pt idx="0">
                <c:v>104.55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53-DD21-4B31-863B-3B565F3BE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18880"/>
        <c:axId val="671019864"/>
        <c:extLst>
          <c:ext xmlns:c15="http://schemas.microsoft.com/office/drawing/2012/chart" uri="{02D57815-91ED-43cb-92C2-25804820EDAC}">
            <c15:filteredScatterSeries>
              <c15:ser>
                <c:idx val="77"/>
                <c:order val="76"/>
                <c:tx>
                  <c:v>dimensi h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54-DD21-4B31-863B-3B565F3BEFC2}"/>
                    </c:ext>
                  </c:extLst>
                </c:dPt>
                <c:xVal>
                  <c:numRef>
                    <c:extLst>
                      <c:ext uri="{02D57815-91ED-43cb-92C2-25804820EDAC}">
                        <c15:formulaRef>
                          <c15:sqref>'Pic database'!$D$56:$D$57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'Pic database'!$E$56:$E$57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60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55-DD21-4B31-863B-3B565F3BEFC2}"/>
                  </c:ext>
                </c:extLst>
              </c15:ser>
            </c15:filteredScatterSeries>
            <c15:filteredScatterSeries>
              <c15:ser>
                <c:idx val="78"/>
                <c:order val="77"/>
                <c:tx>
                  <c:v>dimensi b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D21-4B31-863B-3B565F3BEFC2}"/>
                    </c:ext>
                  </c:extLst>
                </c:dPt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database'!$B$56:$B$57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30</c:v>
                      </c:pt>
                      <c:pt idx="1">
                        <c:v>60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database'!$C$56:$C$57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-5</c:v>
                      </c:pt>
                      <c:pt idx="1">
                        <c:v>-5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7-DD21-4B31-863B-3B565F3BEFC2}"/>
                  </c:ext>
                </c:extLst>
              </c15:ser>
            </c15:filteredScatterSeries>
            <c15:filteredScatterSeries>
              <c15:ser>
                <c:idx val="74"/>
                <c:order val="78"/>
                <c:tx>
                  <c:v>dimensi b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DD21-4B31-863B-3B565F3BEFC2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0.18385632569471416"/>
                        <c:y val="3.7735663348685188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b</a:t>
                          </a:r>
                          <a:r>
                            <a:rPr lang="en-US" sz="1000" b="1" baseline="-25000"/>
                            <a:t>w</a:t>
                          </a:r>
                          <a:endParaRPr lang="en-US" sz="1000" b="1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32766816143497751"/>
                            <c:h val="6.596716683999404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59-DD21-4B31-863B-3B565F3BEFC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database'!$B$57:$B$58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60</c:v>
                      </c:pt>
                      <c:pt idx="1">
                        <c:v>90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database'!$C$57:$C$58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-5</c:v>
                      </c:pt>
                      <c:pt idx="1">
                        <c:v>-5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A-DD21-4B31-863B-3B565F3BEFC2}"/>
                  </c:ext>
                </c:extLst>
              </c15:ser>
            </c15:filteredScatterSeries>
            <c15:filteredScatterSeries>
              <c15:ser>
                <c:idx val="79"/>
                <c:order val="79"/>
                <c:tx>
                  <c:v>dimensi h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D21-4B31-863B-3B565F3BEFC2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0.16426481675661764"/>
                        <c:y val="-9.4630712956732897E-3"/>
                      </c:manualLayout>
                    </c:layout>
                    <c:tx>
                      <c:rich>
                        <a:bodyPr rot="-5400000" spcFirstLastPara="1" vertOverflow="ellipsis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h</a:t>
                          </a: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-5400000" spcFirstLastPara="1" vertOverflow="ellipsis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21315505532247889"/>
                            <c:h val="6.4469967415739543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5C-DD21-4B31-863B-3B565F3BEFC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database'!$D$57:$D$58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database'!$E$57:$E$58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60</c:v>
                      </c:pt>
                      <c:pt idx="1">
                        <c:v>110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D-DD21-4B31-863B-3B565F3BEFC2}"/>
                  </c:ext>
                </c:extLst>
              </c15:ser>
            </c15:filteredScatterSeries>
            <c15:filteredScatterSeries>
              <c15:ser>
                <c:idx val="80"/>
                <c:order val="80"/>
                <c:tx>
                  <c:v>dimensi cc</c:v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rgbClr val="C00000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dPt>
                  <c:idx val="0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DD21-4B31-863B-3B565F3BEFC2}"/>
                    </c:ext>
                  </c:extLst>
                </c:dPt>
                <c:dPt>
                  <c:idx val="1"/>
                  <c:marker>
                    <c:symbol val="none"/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D21-4B31-863B-3B565F3BEFC2}"/>
                    </c:ext>
                  </c:extLst>
                </c:dPt>
                <c:dPt>
                  <c:idx val="2"/>
                  <c:marker>
                    <c:symbol val="circle"/>
                    <c:size val="3"/>
                    <c:spPr>
                      <a:solidFill>
                        <a:srgbClr val="C00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DD21-4B31-863B-3B565F3BEFC2}"/>
                    </c:ext>
                  </c:extLst>
                </c:dPt>
                <c:dLbls>
                  <c:dLbl>
                    <c:idx val="2"/>
                    <c:layout>
                      <c:manualLayout>
                        <c:x val="-8.4742734868062056E-3"/>
                        <c:y val="1.382339135587755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l">
                            <a:defRPr sz="1000" b="1" i="0" u="none" strike="noStrike" kern="1200" baseline="0">
                              <a:solidFill>
                                <a:schemeClr val="tx1">
                                  <a:lumMod val="75000"/>
                                  <a:lumOff val="25000"/>
                                </a:schemeClr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000" b="1"/>
                            <a:t>c</a:t>
                          </a:r>
                          <a:r>
                            <a:rPr lang="en-US" sz="1000" b="1" baseline="-25000"/>
                            <a:t>c</a:t>
                          </a:r>
                          <a:endParaRPr lang="en-US" sz="1000" b="1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l">
                          <a:defRPr sz="10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347018749188112"/>
                            <c:h val="5.4064026663026801E-2"/>
                          </c:manualLayout>
                        </c15:layout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60-DD21-4B31-863B-3B565F3BEFC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database'!$F$56:$F$58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99.000000000000014</c:v>
                      </c:pt>
                      <c:pt idx="1">
                        <c:v>99.000000000000014</c:v>
                      </c:pt>
                      <c:pt idx="2">
                        <c:v>99.000000000000014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'Pic database'!$G$56:$G$58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10</c:v>
                      </c:pt>
                      <c:pt idx="1">
                        <c:v>13</c:v>
                      </c:pt>
                      <c:pt idx="2">
                        <c:v>16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1-DD21-4B31-863B-3B565F3BEFC2}"/>
                  </c:ext>
                </c:extLst>
              </c15:ser>
            </c15:filteredScatterSeries>
          </c:ext>
        </c:extLst>
      </c:scatterChart>
      <c:valAx>
        <c:axId val="671018880"/>
        <c:scaling>
          <c:orientation val="minMax"/>
          <c:max val="120"/>
          <c:min val="-10"/>
        </c:scaling>
        <c:delete val="1"/>
        <c:axPos val="b"/>
        <c:numFmt formatCode="General" sourceLinked="1"/>
        <c:majorTickMark val="out"/>
        <c:minorTickMark val="none"/>
        <c:tickLblPos val="nextTo"/>
        <c:crossAx val="671019864"/>
        <c:crosses val="autoZero"/>
        <c:crossBetween val="midCat"/>
      </c:valAx>
      <c:valAx>
        <c:axId val="671019864"/>
        <c:scaling>
          <c:orientation val="minMax"/>
          <c:max val="120"/>
          <c:min val="-10"/>
        </c:scaling>
        <c:delete val="1"/>
        <c:axPos val="l"/>
        <c:numFmt formatCode="General" sourceLinked="1"/>
        <c:majorTickMark val="out"/>
        <c:minorTickMark val="none"/>
        <c:tickLblPos val="nextTo"/>
        <c:crossAx val="671018880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4.xml"/><Relationship Id="rId7" Type="http://schemas.openxmlformats.org/officeDocument/2006/relationships/image" Target="../media/image4.png"/><Relationship Id="rId12" Type="http://schemas.openxmlformats.org/officeDocument/2006/relationships/chart" Target="../charts/chart6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5" Type="http://schemas.openxmlformats.org/officeDocument/2006/relationships/image" Target="../media/image2.png"/><Relationship Id="rId10" Type="http://schemas.openxmlformats.org/officeDocument/2006/relationships/image" Target="../media/image7.png"/><Relationship Id="rId4" Type="http://schemas.openxmlformats.org/officeDocument/2006/relationships/chart" Target="../charts/chart5.xml"/><Relationship Id="rId9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hart" Target="../charts/chart12.xml"/><Relationship Id="rId3" Type="http://schemas.openxmlformats.org/officeDocument/2006/relationships/chart" Target="../charts/chart9.xml"/><Relationship Id="rId7" Type="http://schemas.openxmlformats.org/officeDocument/2006/relationships/image" Target="../media/image3.png"/><Relationship Id="rId12" Type="http://schemas.openxmlformats.org/officeDocument/2006/relationships/image" Target="../media/image8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image" Target="../media/image2.png"/><Relationship Id="rId11" Type="http://schemas.openxmlformats.org/officeDocument/2006/relationships/image" Target="../media/image7.png"/><Relationship Id="rId5" Type="http://schemas.openxmlformats.org/officeDocument/2006/relationships/chart" Target="../charts/chart11.xml"/><Relationship Id="rId10" Type="http://schemas.openxmlformats.org/officeDocument/2006/relationships/image" Target="../media/image6.png"/><Relationship Id="rId4" Type="http://schemas.openxmlformats.org/officeDocument/2006/relationships/chart" Target="../charts/chart10.xml"/><Relationship Id="rId9" Type="http://schemas.openxmlformats.org/officeDocument/2006/relationships/image" Target="../media/image5.png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19</xdr:row>
      <xdr:rowOff>171450</xdr:rowOff>
    </xdr:from>
    <xdr:to>
      <xdr:col>5</xdr:col>
      <xdr:colOff>552450</xdr:colOff>
      <xdr:row>21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0C3EB1-873C-423E-8227-AC92202FC675}"/>
            </a:ext>
          </a:extLst>
        </xdr:cNvPr>
        <xdr:cNvSpPr/>
      </xdr:nvSpPr>
      <xdr:spPr>
        <a:xfrm>
          <a:off x="1724025" y="4695825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12</xdr:row>
      <xdr:rowOff>142875</xdr:rowOff>
    </xdr:from>
    <xdr:to>
      <xdr:col>5</xdr:col>
      <xdr:colOff>439875</xdr:colOff>
      <xdr:row>17</xdr:row>
      <xdr:rowOff>154125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CD8870-1456-40FB-B35D-5573E5387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762250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38100</xdr:rowOff>
    </xdr:from>
    <xdr:to>
      <xdr:col>5</xdr:col>
      <xdr:colOff>895349</xdr:colOff>
      <xdr:row>20</xdr:row>
      <xdr:rowOff>110435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8F80EE-81FC-431B-A770-8863F5686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773430</xdr:colOff>
      <xdr:row>31</xdr:row>
      <xdr:rowOff>0</xdr:rowOff>
    </xdr:from>
    <xdr:to>
      <xdr:col>4</xdr:col>
      <xdr:colOff>207645</xdr:colOff>
      <xdr:row>32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BD0973-69FB-4BEB-8813-1B95058CDDC5}"/>
            </a:ext>
          </a:extLst>
        </xdr:cNvPr>
        <xdr:cNvSpPr txBox="1"/>
      </xdr:nvSpPr>
      <xdr:spPr>
        <a:xfrm>
          <a:off x="3030855" y="11925300"/>
          <a:ext cx="33909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31</xdr:row>
      <xdr:rowOff>0</xdr:rowOff>
    </xdr:from>
    <xdr:to>
      <xdr:col>5</xdr:col>
      <xdr:colOff>127635</xdr:colOff>
      <xdr:row>32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6335B10-E05E-4568-BE7A-715FB6C7D63F}"/>
            </a:ext>
          </a:extLst>
        </xdr:cNvPr>
        <xdr:cNvSpPr txBox="1"/>
      </xdr:nvSpPr>
      <xdr:spPr>
        <a:xfrm>
          <a:off x="3912870" y="11925300"/>
          <a:ext cx="28194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31</xdr:row>
      <xdr:rowOff>198120</xdr:rowOff>
    </xdr:from>
    <xdr:to>
      <xdr:col>4</xdr:col>
      <xdr:colOff>192405</xdr:colOff>
      <xdr:row>33</xdr:row>
      <xdr:rowOff>40005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2EB67C-F0C1-405D-BE11-8582F15DBF88}"/>
            </a:ext>
          </a:extLst>
        </xdr:cNvPr>
        <xdr:cNvSpPr txBox="1"/>
      </xdr:nvSpPr>
      <xdr:spPr>
        <a:xfrm>
          <a:off x="3025140" y="12123420"/>
          <a:ext cx="32956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31</xdr:row>
      <xdr:rowOff>198120</xdr:rowOff>
    </xdr:from>
    <xdr:to>
      <xdr:col>5</xdr:col>
      <xdr:colOff>112395</xdr:colOff>
      <xdr:row>33</xdr:row>
      <xdr:rowOff>40005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796AFB-3F91-42F4-8CB4-E8BF15CBB74B}"/>
            </a:ext>
          </a:extLst>
        </xdr:cNvPr>
        <xdr:cNvSpPr txBox="1"/>
      </xdr:nvSpPr>
      <xdr:spPr>
        <a:xfrm>
          <a:off x="3916680" y="12123420"/>
          <a:ext cx="26289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169545</xdr:colOff>
      <xdr:row>37</xdr:row>
      <xdr:rowOff>228600</xdr:rowOff>
    </xdr:from>
    <xdr:to>
      <xdr:col>8</xdr:col>
      <xdr:colOff>17145</xdr:colOff>
      <xdr:row>38</xdr:row>
      <xdr:rowOff>200025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B7D4277-9E07-4F55-A269-700D27D9871C}"/>
            </a:ext>
          </a:extLst>
        </xdr:cNvPr>
        <xdr:cNvSpPr txBox="1"/>
      </xdr:nvSpPr>
      <xdr:spPr>
        <a:xfrm>
          <a:off x="6046470" y="9753600"/>
          <a:ext cx="7524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160020</xdr:colOff>
      <xdr:row>113</xdr:row>
      <xdr:rowOff>228600</xdr:rowOff>
    </xdr:from>
    <xdr:to>
      <xdr:col>7</xdr:col>
      <xdr:colOff>419100</xdr:colOff>
      <xdr:row>114</xdr:row>
      <xdr:rowOff>201930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CB07DDE-B1FC-4DC4-9E02-1147BB2F430E}"/>
            </a:ext>
          </a:extLst>
        </xdr:cNvPr>
        <xdr:cNvSpPr txBox="1"/>
      </xdr:nvSpPr>
      <xdr:spPr>
        <a:xfrm>
          <a:off x="6036945" y="17611725"/>
          <a:ext cx="259080" cy="211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3</xdr:col>
      <xdr:colOff>773430</xdr:colOff>
      <xdr:row>107</xdr:row>
      <xdr:rowOff>0</xdr:rowOff>
    </xdr:from>
    <xdr:to>
      <xdr:col>4</xdr:col>
      <xdr:colOff>207645</xdr:colOff>
      <xdr:row>108</xdr:row>
      <xdr:rowOff>22860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17289FA-10B6-44EA-941F-13EF13478AE1}"/>
            </a:ext>
          </a:extLst>
        </xdr:cNvPr>
        <xdr:cNvSpPr txBox="1"/>
      </xdr:nvSpPr>
      <xdr:spPr>
        <a:xfrm>
          <a:off x="3030855" y="17278350"/>
          <a:ext cx="33909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107</xdr:row>
      <xdr:rowOff>0</xdr:rowOff>
    </xdr:from>
    <xdr:to>
      <xdr:col>5</xdr:col>
      <xdr:colOff>127635</xdr:colOff>
      <xdr:row>108</xdr:row>
      <xdr:rowOff>22860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1C9EA56-3CCF-433B-838D-8272354BCFDA}"/>
            </a:ext>
          </a:extLst>
        </xdr:cNvPr>
        <xdr:cNvSpPr txBox="1"/>
      </xdr:nvSpPr>
      <xdr:spPr>
        <a:xfrm>
          <a:off x="3912870" y="17278350"/>
          <a:ext cx="28194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107</xdr:row>
      <xdr:rowOff>198120</xdr:rowOff>
    </xdr:from>
    <xdr:to>
      <xdr:col>4</xdr:col>
      <xdr:colOff>192405</xdr:colOff>
      <xdr:row>109</xdr:row>
      <xdr:rowOff>40005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88143D9-5C7F-45C3-9F4A-1BF4182D6FF5}"/>
            </a:ext>
          </a:extLst>
        </xdr:cNvPr>
        <xdr:cNvSpPr txBox="1"/>
      </xdr:nvSpPr>
      <xdr:spPr>
        <a:xfrm>
          <a:off x="3025140" y="17476470"/>
          <a:ext cx="32956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107</xdr:row>
      <xdr:rowOff>198120</xdr:rowOff>
    </xdr:from>
    <xdr:to>
      <xdr:col>5</xdr:col>
      <xdr:colOff>112395</xdr:colOff>
      <xdr:row>109</xdr:row>
      <xdr:rowOff>40005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4F57DA8-DB37-4715-812E-87AA7491A7CC}"/>
            </a:ext>
          </a:extLst>
        </xdr:cNvPr>
        <xdr:cNvSpPr txBox="1"/>
      </xdr:nvSpPr>
      <xdr:spPr>
        <a:xfrm>
          <a:off x="3916680" y="17476470"/>
          <a:ext cx="26289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114300</xdr:colOff>
      <xdr:row>177</xdr:row>
      <xdr:rowOff>0</xdr:rowOff>
    </xdr:from>
    <xdr:to>
      <xdr:col>5</xdr:col>
      <xdr:colOff>914400</xdr:colOff>
      <xdr:row>178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842BD4-B043-48B3-AE89-70A11F444387}"/>
            </a:ext>
          </a:extLst>
        </xdr:cNvPr>
        <xdr:cNvSpPr txBox="1"/>
      </xdr:nvSpPr>
      <xdr:spPr>
        <a:xfrm>
          <a:off x="4181475" y="21764625"/>
          <a:ext cx="7905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5</xdr:col>
      <xdr:colOff>114300</xdr:colOff>
      <xdr:row>178</xdr:row>
      <xdr:rowOff>0</xdr:rowOff>
    </xdr:from>
    <xdr:to>
      <xdr:col>5</xdr:col>
      <xdr:colOff>914400</xdr:colOff>
      <xdr:row>179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34D7092-2ACF-4AC7-9F56-4AD9631216C2}"/>
            </a:ext>
          </a:extLst>
        </xdr:cNvPr>
        <xdr:cNvSpPr txBox="1"/>
      </xdr:nvSpPr>
      <xdr:spPr>
        <a:xfrm>
          <a:off x="4181475" y="21993225"/>
          <a:ext cx="7905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390525</xdr:colOff>
      <xdr:row>181</xdr:row>
      <xdr:rowOff>0</xdr:rowOff>
    </xdr:from>
    <xdr:to>
      <xdr:col>8</xdr:col>
      <xdr:colOff>419100</xdr:colOff>
      <xdr:row>182</xdr:row>
      <xdr:rowOff>30481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70B9264-CE2C-4ECF-9990-6A2244E94C6E}"/>
            </a:ext>
          </a:extLst>
        </xdr:cNvPr>
        <xdr:cNvSpPr txBox="1"/>
      </xdr:nvSpPr>
      <xdr:spPr>
        <a:xfrm>
          <a:off x="6267450" y="21669375"/>
          <a:ext cx="93345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398145</xdr:colOff>
      <xdr:row>181</xdr:row>
      <xdr:rowOff>228600</xdr:rowOff>
    </xdr:from>
    <xdr:to>
      <xdr:col>8</xdr:col>
      <xdr:colOff>133350</xdr:colOff>
      <xdr:row>183</xdr:row>
      <xdr:rowOff>20956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97F2BF-A8D5-4E34-AAA1-F7334FD3AB56}"/>
            </a:ext>
          </a:extLst>
        </xdr:cNvPr>
        <xdr:cNvSpPr txBox="1"/>
      </xdr:nvSpPr>
      <xdr:spPr>
        <a:xfrm>
          <a:off x="6275070" y="21421725"/>
          <a:ext cx="64008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5</xdr:col>
      <xdr:colOff>541020</xdr:colOff>
      <xdr:row>184</xdr:row>
      <xdr:rowOff>219075</xdr:rowOff>
    </xdr:from>
    <xdr:to>
      <xdr:col>6</xdr:col>
      <xdr:colOff>167640</xdr:colOff>
      <xdr:row>186</xdr:row>
      <xdr:rowOff>59056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4956E75-EDB6-47BB-88D4-202D22D7E4F2}"/>
            </a:ext>
          </a:extLst>
        </xdr:cNvPr>
        <xdr:cNvSpPr txBox="1"/>
      </xdr:nvSpPr>
      <xdr:spPr>
        <a:xfrm>
          <a:off x="4608195" y="23555325"/>
          <a:ext cx="531495" cy="316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+</a:t>
          </a:r>
          <a:endParaRPr lang="id-ID" sz="1100"/>
        </a:p>
      </xdr:txBody>
    </xdr:sp>
    <xdr:clientData/>
  </xdr:twoCellAnchor>
  <xdr:twoCellAnchor>
    <xdr:from>
      <xdr:col>6</xdr:col>
      <xdr:colOff>441960</xdr:colOff>
      <xdr:row>184</xdr:row>
      <xdr:rowOff>219075</xdr:rowOff>
    </xdr:from>
    <xdr:to>
      <xdr:col>7</xdr:col>
      <xdr:colOff>906780</xdr:colOff>
      <xdr:row>186</xdr:row>
      <xdr:rowOff>59056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D8725DB-4C9C-4B33-95E1-0C441FE8043D}"/>
            </a:ext>
          </a:extLst>
        </xdr:cNvPr>
        <xdr:cNvSpPr txBox="1"/>
      </xdr:nvSpPr>
      <xdr:spPr>
        <a:xfrm>
          <a:off x="5414010" y="23555325"/>
          <a:ext cx="1417320" cy="316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 </a:t>
          </a:r>
          <a:r>
            <a:rPr lang="en-US" sz="1100" baseline="0"/>
            <a:t>   </a:t>
          </a:r>
          <a:r>
            <a:rPr lang="en-US" sz="1100"/>
            <a:t>=</a:t>
          </a:r>
          <a:endParaRPr lang="id-ID" sz="1100"/>
        </a:p>
      </xdr:txBody>
    </xdr:sp>
    <xdr:clientData/>
  </xdr:twoCellAnchor>
  <xdr:twoCellAnchor>
    <xdr:from>
      <xdr:col>4</xdr:col>
      <xdr:colOff>502920</xdr:colOff>
      <xdr:row>185</xdr:row>
      <xdr:rowOff>219075</xdr:rowOff>
    </xdr:from>
    <xdr:to>
      <xdr:col>5</xdr:col>
      <xdr:colOff>129540</xdr:colOff>
      <xdr:row>197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968CAB0-4908-48DE-B995-3F96EC682001}"/>
            </a:ext>
          </a:extLst>
        </xdr:cNvPr>
        <xdr:cNvSpPr txBox="1"/>
      </xdr:nvSpPr>
      <xdr:spPr>
        <a:xfrm>
          <a:off x="3665220" y="23793450"/>
          <a:ext cx="531495" cy="316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</a:t>
          </a:r>
          <a:r>
            <a:rPr lang="en-US" sz="1100" baseline="30000"/>
            <a:t>2</a:t>
          </a:r>
          <a:r>
            <a:rPr lang="en-US" sz="1100"/>
            <a:t> +</a:t>
          </a:r>
          <a:endParaRPr lang="id-ID" sz="1100"/>
        </a:p>
      </xdr:txBody>
    </xdr:sp>
    <xdr:clientData/>
  </xdr:twoCellAnchor>
  <xdr:twoCellAnchor>
    <xdr:from>
      <xdr:col>5</xdr:col>
      <xdr:colOff>539115</xdr:colOff>
      <xdr:row>185</xdr:row>
      <xdr:rowOff>209550</xdr:rowOff>
    </xdr:from>
    <xdr:to>
      <xdr:col>6</xdr:col>
      <xdr:colOff>165735</xdr:colOff>
      <xdr:row>197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F332E11-8866-4A4C-ACD6-2CF16D6D0F05}"/>
            </a:ext>
          </a:extLst>
        </xdr:cNvPr>
        <xdr:cNvSpPr txBox="1"/>
      </xdr:nvSpPr>
      <xdr:spPr>
        <a:xfrm>
          <a:off x="4606290" y="23783925"/>
          <a:ext cx="531495" cy="316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+</a:t>
          </a:r>
          <a:endParaRPr lang="id-ID" sz="1100"/>
        </a:p>
      </xdr:txBody>
    </xdr:sp>
    <xdr:clientData/>
  </xdr:twoCellAnchor>
  <xdr:twoCellAnchor>
    <xdr:from>
      <xdr:col>5</xdr:col>
      <xdr:colOff>114299</xdr:colOff>
      <xdr:row>218</xdr:row>
      <xdr:rowOff>0</xdr:rowOff>
    </xdr:from>
    <xdr:to>
      <xdr:col>5</xdr:col>
      <xdr:colOff>396240</xdr:colOff>
      <xdr:row>218</xdr:row>
      <xdr:rowOff>226695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23A16AA-3D93-445D-A3C3-571A9AF1BE9E}"/>
            </a:ext>
          </a:extLst>
        </xdr:cNvPr>
        <xdr:cNvSpPr txBox="1"/>
      </xdr:nvSpPr>
      <xdr:spPr>
        <a:xfrm>
          <a:off x="4181474" y="28317825"/>
          <a:ext cx="281941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381000</xdr:colOff>
      <xdr:row>222</xdr:row>
      <xdr:rowOff>0</xdr:rowOff>
    </xdr:from>
    <xdr:to>
      <xdr:col>8</xdr:col>
      <xdr:colOff>447675</xdr:colOff>
      <xdr:row>223</xdr:row>
      <xdr:rowOff>30481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27C2660-9216-4C58-B979-34C1DC5D7B90}"/>
            </a:ext>
          </a:extLst>
        </xdr:cNvPr>
        <xdr:cNvSpPr txBox="1"/>
      </xdr:nvSpPr>
      <xdr:spPr>
        <a:xfrm>
          <a:off x="6257925" y="29289375"/>
          <a:ext cx="97155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384810</xdr:colOff>
      <xdr:row>223</xdr:row>
      <xdr:rowOff>0</xdr:rowOff>
    </xdr:from>
    <xdr:to>
      <xdr:col>7</xdr:col>
      <xdr:colOff>975360</xdr:colOff>
      <xdr:row>224</xdr:row>
      <xdr:rowOff>30481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B49CA8D-65A2-4D3B-BEDB-BD87F1A41430}"/>
            </a:ext>
          </a:extLst>
        </xdr:cNvPr>
        <xdr:cNvSpPr txBox="1"/>
      </xdr:nvSpPr>
      <xdr:spPr>
        <a:xfrm>
          <a:off x="6309360" y="29422725"/>
          <a:ext cx="590550" cy="259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5</xdr:col>
      <xdr:colOff>527685</xdr:colOff>
      <xdr:row>225</xdr:row>
      <xdr:rowOff>228600</xdr:rowOff>
    </xdr:from>
    <xdr:to>
      <xdr:col>6</xdr:col>
      <xdr:colOff>249555</xdr:colOff>
      <xdr:row>227</xdr:row>
      <xdr:rowOff>68581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10EE9CF7-26E9-4E9B-9156-50A09F4B61E0}"/>
            </a:ext>
          </a:extLst>
        </xdr:cNvPr>
        <xdr:cNvSpPr txBox="1"/>
      </xdr:nvSpPr>
      <xdr:spPr>
        <a:xfrm>
          <a:off x="4594860" y="31184850"/>
          <a:ext cx="626745" cy="316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+</a:t>
          </a:r>
          <a:endParaRPr lang="id-ID" sz="1100"/>
        </a:p>
      </xdr:txBody>
    </xdr:sp>
    <xdr:clientData/>
  </xdr:twoCellAnchor>
  <xdr:twoCellAnchor>
    <xdr:from>
      <xdr:col>6</xdr:col>
      <xdr:colOff>266700</xdr:colOff>
      <xdr:row>225</xdr:row>
      <xdr:rowOff>219075</xdr:rowOff>
    </xdr:from>
    <xdr:to>
      <xdr:col>7</xdr:col>
      <xdr:colOff>438150</xdr:colOff>
      <xdr:row>227</xdr:row>
      <xdr:rowOff>59056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99EEC8A-D9B7-4A98-9255-FEBB2A7F852A}"/>
            </a:ext>
          </a:extLst>
        </xdr:cNvPr>
        <xdr:cNvSpPr txBox="1"/>
      </xdr:nvSpPr>
      <xdr:spPr>
        <a:xfrm>
          <a:off x="5238750" y="31175325"/>
          <a:ext cx="1123950" cy="316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    =</a:t>
          </a:r>
          <a:endParaRPr lang="id-ID" sz="1100"/>
        </a:p>
      </xdr:txBody>
    </xdr:sp>
    <xdr:clientData/>
  </xdr:twoCellAnchor>
  <xdr:twoCellAnchor>
    <xdr:from>
      <xdr:col>4</xdr:col>
      <xdr:colOff>502920</xdr:colOff>
      <xdr:row>227</xdr:row>
      <xdr:rowOff>1</xdr:rowOff>
    </xdr:from>
    <xdr:to>
      <xdr:col>5</xdr:col>
      <xdr:colOff>129540</xdr:colOff>
      <xdr:row>227</xdr:row>
      <xdr:rowOff>228601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BE2D495-9525-441F-B267-5A69152F07C9}"/>
            </a:ext>
          </a:extLst>
        </xdr:cNvPr>
        <xdr:cNvSpPr txBox="1"/>
      </xdr:nvSpPr>
      <xdr:spPr>
        <a:xfrm>
          <a:off x="3665220" y="36433126"/>
          <a:ext cx="53149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</a:t>
          </a:r>
          <a:r>
            <a:rPr lang="en-US" sz="1100" baseline="30000"/>
            <a:t>2</a:t>
          </a:r>
          <a:r>
            <a:rPr lang="en-US" sz="1100"/>
            <a:t> +</a:t>
          </a:r>
          <a:endParaRPr lang="id-ID" sz="1100"/>
        </a:p>
      </xdr:txBody>
    </xdr:sp>
    <xdr:clientData/>
  </xdr:twoCellAnchor>
  <xdr:twoCellAnchor>
    <xdr:from>
      <xdr:col>5</xdr:col>
      <xdr:colOff>539115</xdr:colOff>
      <xdr:row>227</xdr:row>
      <xdr:rowOff>0</xdr:rowOff>
    </xdr:from>
    <xdr:to>
      <xdr:col>6</xdr:col>
      <xdr:colOff>165735</xdr:colOff>
      <xdr:row>228</xdr:row>
      <xdr:rowOff>38100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2987808-2C26-4CEE-B754-EB9D56B40797}"/>
            </a:ext>
          </a:extLst>
        </xdr:cNvPr>
        <xdr:cNvSpPr txBox="1"/>
      </xdr:nvSpPr>
      <xdr:spPr>
        <a:xfrm>
          <a:off x="4606290" y="36433125"/>
          <a:ext cx="53149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+</a:t>
          </a:r>
          <a:endParaRPr lang="id-ID" sz="1100"/>
        </a:p>
      </xdr:txBody>
    </xdr:sp>
    <xdr:clientData/>
  </xdr:twoCellAnchor>
  <xdr:twoCellAnchor>
    <xdr:from>
      <xdr:col>5</xdr:col>
      <xdr:colOff>106680</xdr:colOff>
      <xdr:row>218</xdr:row>
      <xdr:rowOff>219075</xdr:rowOff>
    </xdr:from>
    <xdr:to>
      <xdr:col>5</xdr:col>
      <xdr:colOff>388621</xdr:colOff>
      <xdr:row>219</xdr:row>
      <xdr:rowOff>226695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AAB609E-E6A8-4AE7-94D5-9C2D61ACFCB5}"/>
            </a:ext>
          </a:extLst>
        </xdr:cNvPr>
        <xdr:cNvSpPr txBox="1"/>
      </xdr:nvSpPr>
      <xdr:spPr>
        <a:xfrm>
          <a:off x="4173855" y="28536900"/>
          <a:ext cx="281941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4</xdr:col>
      <xdr:colOff>327660</xdr:colOff>
      <xdr:row>204</xdr:row>
      <xdr:rowOff>0</xdr:rowOff>
    </xdr:from>
    <xdr:to>
      <xdr:col>4</xdr:col>
      <xdr:colOff>725805</xdr:colOff>
      <xdr:row>205</xdr:row>
      <xdr:rowOff>30481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23893F4-3CA4-47DC-B488-81C395D54DC4}"/>
            </a:ext>
          </a:extLst>
        </xdr:cNvPr>
        <xdr:cNvSpPr txBox="1"/>
      </xdr:nvSpPr>
      <xdr:spPr>
        <a:xfrm>
          <a:off x="3489960" y="22545675"/>
          <a:ext cx="398145" cy="259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/>
        </a:p>
      </xdr:txBody>
    </xdr:sp>
    <xdr:clientData/>
  </xdr:twoCellAnchor>
  <xdr:twoCellAnchor>
    <xdr:from>
      <xdr:col>4</xdr:col>
      <xdr:colOff>337185</xdr:colOff>
      <xdr:row>207</xdr:row>
      <xdr:rowOff>0</xdr:rowOff>
    </xdr:from>
    <xdr:to>
      <xdr:col>4</xdr:col>
      <xdr:colOff>735330</xdr:colOff>
      <xdr:row>208</xdr:row>
      <xdr:rowOff>30481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1722CE3-DE6E-4338-A15A-BD35D06DE932}"/>
            </a:ext>
          </a:extLst>
        </xdr:cNvPr>
        <xdr:cNvSpPr txBox="1"/>
      </xdr:nvSpPr>
      <xdr:spPr>
        <a:xfrm>
          <a:off x="3499485" y="23155275"/>
          <a:ext cx="398145" cy="259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245</xdr:row>
      <xdr:rowOff>0</xdr:rowOff>
    </xdr:from>
    <xdr:to>
      <xdr:col>4</xdr:col>
      <xdr:colOff>887730</xdr:colOff>
      <xdr:row>246</xdr:row>
      <xdr:rowOff>30481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FF0628B-92C7-4347-9340-BEC57DE2C1D5}"/>
            </a:ext>
          </a:extLst>
        </xdr:cNvPr>
        <xdr:cNvSpPr txBox="1"/>
      </xdr:nvSpPr>
      <xdr:spPr>
        <a:xfrm>
          <a:off x="3509010" y="33575625"/>
          <a:ext cx="54102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248</xdr:row>
      <xdr:rowOff>0</xdr:rowOff>
    </xdr:from>
    <xdr:to>
      <xdr:col>4</xdr:col>
      <xdr:colOff>887730</xdr:colOff>
      <xdr:row>249</xdr:row>
      <xdr:rowOff>30481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92B8F1F-C5DE-47E5-B614-63DC2CD7B1E9}"/>
            </a:ext>
          </a:extLst>
        </xdr:cNvPr>
        <xdr:cNvSpPr txBox="1"/>
      </xdr:nvSpPr>
      <xdr:spPr>
        <a:xfrm>
          <a:off x="3509010" y="34290000"/>
          <a:ext cx="54102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6</xdr:col>
      <xdr:colOff>518160</xdr:colOff>
      <xdr:row>300</xdr:row>
      <xdr:rowOff>22860</xdr:rowOff>
    </xdr:from>
    <xdr:to>
      <xdr:col>6</xdr:col>
      <xdr:colOff>770160</xdr:colOff>
      <xdr:row>300</xdr:row>
      <xdr:rowOff>220980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216C314-3952-4F5C-9EED-50095DA72F08}"/>
            </a:ext>
          </a:extLst>
        </xdr:cNvPr>
        <xdr:cNvSpPr txBox="1"/>
      </xdr:nvSpPr>
      <xdr:spPr>
        <a:xfrm>
          <a:off x="5490210" y="54077235"/>
          <a:ext cx="25200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/>
            <a:t>- </a:t>
          </a:r>
          <a:endParaRPr lang="id-ID" sz="1100" b="1"/>
        </a:p>
      </xdr:txBody>
    </xdr:sp>
    <xdr:clientData/>
  </xdr:twoCellAnchor>
  <xdr:twoCellAnchor>
    <xdr:from>
      <xdr:col>6</xdr:col>
      <xdr:colOff>842010</xdr:colOff>
      <xdr:row>444</xdr:row>
      <xdr:rowOff>22860</xdr:rowOff>
    </xdr:from>
    <xdr:to>
      <xdr:col>7</xdr:col>
      <xdr:colOff>189135</xdr:colOff>
      <xdr:row>444</xdr:row>
      <xdr:rowOff>220980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8726878-C6C2-4D23-8642-6F1D9E257766}"/>
            </a:ext>
          </a:extLst>
        </xdr:cNvPr>
        <xdr:cNvSpPr txBox="1"/>
      </xdr:nvSpPr>
      <xdr:spPr>
        <a:xfrm>
          <a:off x="5814060" y="64792860"/>
          <a:ext cx="25200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/>
            <a:t>- </a:t>
          </a:r>
          <a:endParaRPr lang="id-ID" sz="1100" b="1"/>
        </a:p>
      </xdr:txBody>
    </xdr:sp>
    <xdr:clientData/>
  </xdr:twoCellAnchor>
  <xdr:twoCellAnchor>
    <xdr:from>
      <xdr:col>6</xdr:col>
      <xdr:colOff>0</xdr:colOff>
      <xdr:row>300</xdr:row>
      <xdr:rowOff>28575</xdr:rowOff>
    </xdr:from>
    <xdr:to>
      <xdr:col>6</xdr:col>
      <xdr:colOff>252000</xdr:colOff>
      <xdr:row>300</xdr:row>
      <xdr:rowOff>226695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760A83B-1A5A-42DA-8018-9A1FE45DF4FA}"/>
            </a:ext>
          </a:extLst>
        </xdr:cNvPr>
        <xdr:cNvSpPr txBox="1"/>
      </xdr:nvSpPr>
      <xdr:spPr>
        <a:xfrm>
          <a:off x="4972050" y="54082950"/>
          <a:ext cx="25200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/>
            <a:t>D</a:t>
          </a:r>
          <a:endParaRPr lang="id-ID" sz="1100" b="0"/>
        </a:p>
      </xdr:txBody>
    </xdr:sp>
    <xdr:clientData/>
  </xdr:twoCellAnchor>
  <xdr:twoCellAnchor>
    <xdr:from>
      <xdr:col>3</xdr:col>
      <xdr:colOff>773430</xdr:colOff>
      <xdr:row>145</xdr:row>
      <xdr:rowOff>0</xdr:rowOff>
    </xdr:from>
    <xdr:to>
      <xdr:col>4</xdr:col>
      <xdr:colOff>207645</xdr:colOff>
      <xdr:row>146</xdr:row>
      <xdr:rowOff>22860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D6D8B5F-886E-4EA5-BD62-F6F726BC1206}"/>
            </a:ext>
          </a:extLst>
        </xdr:cNvPr>
        <xdr:cNvSpPr txBox="1"/>
      </xdr:nvSpPr>
      <xdr:spPr>
        <a:xfrm>
          <a:off x="3135630" y="7518400"/>
          <a:ext cx="38036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145</xdr:row>
      <xdr:rowOff>0</xdr:rowOff>
    </xdr:from>
    <xdr:to>
      <xdr:col>5</xdr:col>
      <xdr:colOff>127635</xdr:colOff>
      <xdr:row>146</xdr:row>
      <xdr:rowOff>22860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BD425CA-EDBA-4D4A-B8BF-9E4CC0A39BE0}"/>
            </a:ext>
          </a:extLst>
        </xdr:cNvPr>
        <xdr:cNvSpPr txBox="1"/>
      </xdr:nvSpPr>
      <xdr:spPr>
        <a:xfrm>
          <a:off x="4058920" y="7518400"/>
          <a:ext cx="32321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145</xdr:row>
      <xdr:rowOff>198120</xdr:rowOff>
    </xdr:from>
    <xdr:to>
      <xdr:col>4</xdr:col>
      <xdr:colOff>192405</xdr:colOff>
      <xdr:row>147</xdr:row>
      <xdr:rowOff>40005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B22665C-EC3E-4AF6-9ACE-3DC537491B5C}"/>
            </a:ext>
          </a:extLst>
        </xdr:cNvPr>
        <xdr:cNvSpPr txBox="1"/>
      </xdr:nvSpPr>
      <xdr:spPr>
        <a:xfrm>
          <a:off x="3129915" y="7716520"/>
          <a:ext cx="370840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145</xdr:row>
      <xdr:rowOff>198120</xdr:rowOff>
    </xdr:from>
    <xdr:to>
      <xdr:col>5</xdr:col>
      <xdr:colOff>112395</xdr:colOff>
      <xdr:row>147</xdr:row>
      <xdr:rowOff>40005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EF31D1A-78BA-4FE0-8AC2-769E90443BAB}"/>
            </a:ext>
          </a:extLst>
        </xdr:cNvPr>
        <xdr:cNvSpPr txBox="1"/>
      </xdr:nvSpPr>
      <xdr:spPr>
        <a:xfrm>
          <a:off x="4062730" y="7716520"/>
          <a:ext cx="304165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169545</xdr:colOff>
      <xdr:row>151</xdr:row>
      <xdr:rowOff>228600</xdr:rowOff>
    </xdr:from>
    <xdr:to>
      <xdr:col>8</xdr:col>
      <xdr:colOff>17145</xdr:colOff>
      <xdr:row>152</xdr:row>
      <xdr:rowOff>200025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6B21B84-9657-4334-B76E-A3AD21ACEC3D}"/>
            </a:ext>
          </a:extLst>
        </xdr:cNvPr>
        <xdr:cNvSpPr txBox="1"/>
      </xdr:nvSpPr>
      <xdr:spPr>
        <a:xfrm>
          <a:off x="6316345" y="9156700"/>
          <a:ext cx="79375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169545</xdr:colOff>
      <xdr:row>151</xdr:row>
      <xdr:rowOff>228600</xdr:rowOff>
    </xdr:from>
    <xdr:to>
      <xdr:col>8</xdr:col>
      <xdr:colOff>17145</xdr:colOff>
      <xdr:row>152</xdr:row>
      <xdr:rowOff>200025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99FED69-A09A-44FD-B503-89D6B755C74B}"/>
            </a:ext>
          </a:extLst>
        </xdr:cNvPr>
        <xdr:cNvSpPr txBox="1"/>
      </xdr:nvSpPr>
      <xdr:spPr>
        <a:xfrm>
          <a:off x="6316345" y="9156700"/>
          <a:ext cx="79375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1</xdr:col>
      <xdr:colOff>0</xdr:colOff>
      <xdr:row>422</xdr:row>
      <xdr:rowOff>0</xdr:rowOff>
    </xdr:from>
    <xdr:to>
      <xdr:col>4</xdr:col>
      <xdr:colOff>839303</xdr:colOff>
      <xdr:row>432</xdr:row>
      <xdr:rowOff>45147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46834B5-91E7-4630-810D-EA9121D40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390</xdr:row>
      <xdr:rowOff>0</xdr:rowOff>
    </xdr:from>
    <xdr:to>
      <xdr:col>8</xdr:col>
      <xdr:colOff>314462</xdr:colOff>
      <xdr:row>401</xdr:row>
      <xdr:rowOff>181940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68EAFF1-3246-4DB7-BB6E-E88DD488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422</xdr:row>
      <xdr:rowOff>0</xdr:rowOff>
    </xdr:from>
    <xdr:to>
      <xdr:col>8</xdr:col>
      <xdr:colOff>330310</xdr:colOff>
      <xdr:row>433</xdr:row>
      <xdr:rowOff>229251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41E2BAEE-7111-4DBA-B4A2-60F46485F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4</xdr:col>
      <xdr:colOff>839303</xdr:colOff>
      <xdr:row>401</xdr:row>
      <xdr:rowOff>45147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DB3282F4-DB15-4F05-8D01-A30E7924A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773430</xdr:colOff>
      <xdr:row>69</xdr:row>
      <xdr:rowOff>0</xdr:rowOff>
    </xdr:from>
    <xdr:to>
      <xdr:col>4</xdr:col>
      <xdr:colOff>207645</xdr:colOff>
      <xdr:row>70</xdr:row>
      <xdr:rowOff>22860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1A05FE93-F3D3-4D90-8DBA-CEA49D6020FB}"/>
            </a:ext>
          </a:extLst>
        </xdr:cNvPr>
        <xdr:cNvSpPr txBox="1"/>
      </xdr:nvSpPr>
      <xdr:spPr>
        <a:xfrm>
          <a:off x="3135630" y="25374600"/>
          <a:ext cx="38036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69</xdr:row>
      <xdr:rowOff>0</xdr:rowOff>
    </xdr:from>
    <xdr:to>
      <xdr:col>5</xdr:col>
      <xdr:colOff>127635</xdr:colOff>
      <xdr:row>70</xdr:row>
      <xdr:rowOff>22860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1C8C69A-8573-4743-8C35-8DE06D120B35}"/>
            </a:ext>
          </a:extLst>
        </xdr:cNvPr>
        <xdr:cNvSpPr txBox="1"/>
      </xdr:nvSpPr>
      <xdr:spPr>
        <a:xfrm>
          <a:off x="4058920" y="25374600"/>
          <a:ext cx="32321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69</xdr:row>
      <xdr:rowOff>198120</xdr:rowOff>
    </xdr:from>
    <xdr:to>
      <xdr:col>4</xdr:col>
      <xdr:colOff>192405</xdr:colOff>
      <xdr:row>71</xdr:row>
      <xdr:rowOff>40005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C7DB3A7-F99E-48E1-82EC-B11672C4388B}"/>
            </a:ext>
          </a:extLst>
        </xdr:cNvPr>
        <xdr:cNvSpPr txBox="1"/>
      </xdr:nvSpPr>
      <xdr:spPr>
        <a:xfrm>
          <a:off x="3129915" y="25572720"/>
          <a:ext cx="370840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69</xdr:row>
      <xdr:rowOff>198120</xdr:rowOff>
    </xdr:from>
    <xdr:to>
      <xdr:col>5</xdr:col>
      <xdr:colOff>112395</xdr:colOff>
      <xdr:row>71</xdr:row>
      <xdr:rowOff>40005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E2536B91-2AC1-478B-A316-34AC1C294CE3}"/>
            </a:ext>
          </a:extLst>
        </xdr:cNvPr>
        <xdr:cNvSpPr txBox="1"/>
      </xdr:nvSpPr>
      <xdr:spPr>
        <a:xfrm>
          <a:off x="4062730" y="25572720"/>
          <a:ext cx="304165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169545</xdr:colOff>
      <xdr:row>75</xdr:row>
      <xdr:rowOff>228600</xdr:rowOff>
    </xdr:from>
    <xdr:to>
      <xdr:col>8</xdr:col>
      <xdr:colOff>17145</xdr:colOff>
      <xdr:row>76</xdr:row>
      <xdr:rowOff>200025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AE7ED625-6825-4DBF-B588-307BE7AC39FF}"/>
            </a:ext>
          </a:extLst>
        </xdr:cNvPr>
        <xdr:cNvSpPr txBox="1"/>
      </xdr:nvSpPr>
      <xdr:spPr>
        <a:xfrm>
          <a:off x="6316345" y="27012900"/>
          <a:ext cx="79375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169545</xdr:colOff>
      <xdr:row>75</xdr:row>
      <xdr:rowOff>228600</xdr:rowOff>
    </xdr:from>
    <xdr:to>
      <xdr:col>8</xdr:col>
      <xdr:colOff>17145</xdr:colOff>
      <xdr:row>76</xdr:row>
      <xdr:rowOff>200025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EE43A0A7-9978-4CCC-90D4-CDF8AC839EF2}"/>
            </a:ext>
          </a:extLst>
        </xdr:cNvPr>
        <xdr:cNvSpPr txBox="1"/>
      </xdr:nvSpPr>
      <xdr:spPr>
        <a:xfrm>
          <a:off x="6316345" y="27012900"/>
          <a:ext cx="79375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 editAs="oneCell">
    <xdr:from>
      <xdr:col>1</xdr:col>
      <xdr:colOff>171450</xdr:colOff>
      <xdr:row>124</xdr:row>
      <xdr:rowOff>222250</xdr:rowOff>
    </xdr:from>
    <xdr:to>
      <xdr:col>5</xdr:col>
      <xdr:colOff>847520</xdr:colOff>
      <xdr:row>133</xdr:row>
      <xdr:rowOff>222574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F2BB4DB-8CE0-437E-945A-A8B819DF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1350" y="29356050"/>
          <a:ext cx="4460670" cy="2114874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162</xdr:row>
      <xdr:rowOff>165100</xdr:rowOff>
    </xdr:from>
    <xdr:to>
      <xdr:col>5</xdr:col>
      <xdr:colOff>887452</xdr:colOff>
      <xdr:row>171</xdr:row>
      <xdr:rowOff>198870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CE3E9E68-4E48-46FB-880F-A22D52C12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0550" y="38227000"/>
          <a:ext cx="4551402" cy="2148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87</xdr:row>
      <xdr:rowOff>0</xdr:rowOff>
    </xdr:from>
    <xdr:to>
      <xdr:col>5</xdr:col>
      <xdr:colOff>638706</xdr:colOff>
      <xdr:row>95</xdr:row>
      <xdr:rowOff>171174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DF8AB04-24B6-4747-8633-08FC5E5A8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6900" y="20440650"/>
          <a:ext cx="4296306" cy="2050774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48</xdr:row>
      <xdr:rowOff>203200</xdr:rowOff>
    </xdr:from>
    <xdr:to>
      <xdr:col>5</xdr:col>
      <xdr:colOff>655155</xdr:colOff>
      <xdr:row>57</xdr:row>
      <xdr:rowOff>165405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6CF351D8-D254-4105-8078-0DB1B66B4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9750" y="11480800"/>
          <a:ext cx="4369905" cy="2076755"/>
        </a:xfrm>
        <a:prstGeom prst="rect">
          <a:avLst/>
        </a:prstGeom>
      </xdr:spPr>
    </xdr:pic>
    <xdr:clientData/>
  </xdr:twoCellAnchor>
  <xdr:twoCellAnchor editAs="oneCell">
    <xdr:from>
      <xdr:col>1</xdr:col>
      <xdr:colOff>22413</xdr:colOff>
      <xdr:row>187</xdr:row>
      <xdr:rowOff>57150</xdr:rowOff>
    </xdr:from>
    <xdr:to>
      <xdr:col>6</xdr:col>
      <xdr:colOff>565049</xdr:colOff>
      <xdr:row>196</xdr:row>
      <xdr:rowOff>80011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24DD43D-711A-4C26-A41F-C9EC8D0B2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3060" y="43595738"/>
          <a:ext cx="5286460" cy="2107155"/>
        </a:xfrm>
        <a:prstGeom prst="rect">
          <a:avLst/>
        </a:prstGeom>
      </xdr:spPr>
    </xdr:pic>
    <xdr:clientData/>
  </xdr:twoCellAnchor>
  <xdr:twoCellAnchor editAs="oneCell">
    <xdr:from>
      <xdr:col>2</xdr:col>
      <xdr:colOff>297757</xdr:colOff>
      <xdr:row>457</xdr:row>
      <xdr:rowOff>97065</xdr:rowOff>
    </xdr:from>
    <xdr:to>
      <xdr:col>7</xdr:col>
      <xdr:colOff>321235</xdr:colOff>
      <xdr:row>466</xdr:row>
      <xdr:rowOff>210621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43E8946B-3A51-4109-ACC4-F16968459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807" y="107704165"/>
          <a:ext cx="4754228" cy="2228106"/>
        </a:xfrm>
        <a:prstGeom prst="rect">
          <a:avLst/>
        </a:prstGeom>
      </xdr:spPr>
    </xdr:pic>
    <xdr:clientData/>
  </xdr:twoCellAnchor>
  <xdr:twoCellAnchor editAs="oneCell">
    <xdr:from>
      <xdr:col>1</xdr:col>
      <xdr:colOff>52296</xdr:colOff>
      <xdr:row>228</xdr:row>
      <xdr:rowOff>0</xdr:rowOff>
    </xdr:from>
    <xdr:to>
      <xdr:col>6</xdr:col>
      <xdr:colOff>739590</xdr:colOff>
      <xdr:row>238</xdr:row>
      <xdr:rowOff>15091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5111092A-5E53-4CE1-92EF-BFDF06E4E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2943" y="53033706"/>
          <a:ext cx="5431118" cy="2330973"/>
        </a:xfrm>
        <a:prstGeom prst="rect">
          <a:avLst/>
        </a:prstGeom>
      </xdr:spPr>
    </xdr:pic>
    <xdr:clientData/>
  </xdr:twoCellAnchor>
  <xdr:twoCellAnchor>
    <xdr:from>
      <xdr:col>6</xdr:col>
      <xdr:colOff>842010</xdr:colOff>
      <xdr:row>455</xdr:row>
      <xdr:rowOff>22860</xdr:rowOff>
    </xdr:from>
    <xdr:to>
      <xdr:col>7</xdr:col>
      <xdr:colOff>189135</xdr:colOff>
      <xdr:row>455</xdr:row>
      <xdr:rowOff>220980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341336F-536C-4E2D-878F-92F67E23E211}"/>
            </a:ext>
          </a:extLst>
        </xdr:cNvPr>
        <xdr:cNvSpPr txBox="1"/>
      </xdr:nvSpPr>
      <xdr:spPr>
        <a:xfrm>
          <a:off x="6056481" y="95437213"/>
          <a:ext cx="295889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/>
            <a:t>- </a:t>
          </a:r>
          <a:endParaRPr lang="id-ID" sz="1100" b="1"/>
        </a:p>
      </xdr:txBody>
    </xdr:sp>
    <xdr:clientData/>
  </xdr:twoCellAnchor>
  <xdr:twoCellAnchor>
    <xdr:from>
      <xdr:col>6</xdr:col>
      <xdr:colOff>518160</xdr:colOff>
      <xdr:row>334</xdr:row>
      <xdr:rowOff>22860</xdr:rowOff>
    </xdr:from>
    <xdr:to>
      <xdr:col>6</xdr:col>
      <xdr:colOff>770160</xdr:colOff>
      <xdr:row>334</xdr:row>
      <xdr:rowOff>220980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CC03E93D-7820-483A-BCBD-16579588CEE1}"/>
            </a:ext>
          </a:extLst>
        </xdr:cNvPr>
        <xdr:cNvSpPr txBox="1"/>
      </xdr:nvSpPr>
      <xdr:spPr>
        <a:xfrm>
          <a:off x="5732631" y="69730919"/>
          <a:ext cx="25200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/>
            <a:t>- </a:t>
          </a:r>
          <a:endParaRPr lang="id-ID" sz="1100" b="1"/>
        </a:p>
      </xdr:txBody>
    </xdr:sp>
    <xdr:clientData/>
  </xdr:twoCellAnchor>
  <xdr:twoCellAnchor>
    <xdr:from>
      <xdr:col>6</xdr:col>
      <xdr:colOff>0</xdr:colOff>
      <xdr:row>334</xdr:row>
      <xdr:rowOff>28575</xdr:rowOff>
    </xdr:from>
    <xdr:to>
      <xdr:col>6</xdr:col>
      <xdr:colOff>252000</xdr:colOff>
      <xdr:row>334</xdr:row>
      <xdr:rowOff>226695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170C526-4069-475E-8973-F0A4C1AAD877}"/>
            </a:ext>
          </a:extLst>
        </xdr:cNvPr>
        <xdr:cNvSpPr txBox="1"/>
      </xdr:nvSpPr>
      <xdr:spPr>
        <a:xfrm>
          <a:off x="5214471" y="69736634"/>
          <a:ext cx="25200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/>
            <a:t>D</a:t>
          </a:r>
          <a:endParaRPr lang="id-ID" sz="1100" b="0"/>
        </a:p>
      </xdr:txBody>
    </xdr:sp>
    <xdr:clientData/>
  </xdr:twoCellAnchor>
  <xdr:twoCellAnchor>
    <xdr:from>
      <xdr:col>1</xdr:col>
      <xdr:colOff>320260</xdr:colOff>
      <xdr:row>467</xdr:row>
      <xdr:rowOff>182218</xdr:rowOff>
    </xdr:from>
    <xdr:to>
      <xdr:col>8</xdr:col>
      <xdr:colOff>237484</xdr:colOff>
      <xdr:row>479</xdr:row>
      <xdr:rowOff>177734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612AFDDB-6131-4AF2-B8EC-936F4FA01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459922</xdr:colOff>
      <xdr:row>10</xdr:row>
      <xdr:rowOff>1360</xdr:rowOff>
    </xdr:from>
    <xdr:to>
      <xdr:col>8</xdr:col>
      <xdr:colOff>109402</xdr:colOff>
      <xdr:row>10</xdr:row>
      <xdr:rowOff>214176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F9B710F-D5E5-419D-84F6-163D12E7B4C9}"/>
            </a:ext>
          </a:extLst>
        </xdr:cNvPr>
        <xdr:cNvSpPr txBox="1"/>
      </xdr:nvSpPr>
      <xdr:spPr>
        <a:xfrm>
          <a:off x="4117522" y="959303"/>
          <a:ext cx="259080" cy="21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476250</xdr:colOff>
      <xdr:row>15</xdr:row>
      <xdr:rowOff>228600</xdr:rowOff>
    </xdr:from>
    <xdr:to>
      <xdr:col>8</xdr:col>
      <xdr:colOff>125730</xdr:colOff>
      <xdr:row>16</xdr:row>
      <xdr:rowOff>206466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6E456D8-FD25-4C82-AA8B-EB165675B075}"/>
            </a:ext>
          </a:extLst>
        </xdr:cNvPr>
        <xdr:cNvSpPr txBox="1"/>
      </xdr:nvSpPr>
      <xdr:spPr>
        <a:xfrm>
          <a:off x="4641850" y="3752850"/>
          <a:ext cx="290830" cy="21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520700</xdr:colOff>
      <xdr:row>20</xdr:row>
      <xdr:rowOff>25400</xdr:rowOff>
    </xdr:from>
    <xdr:to>
      <xdr:col>6</xdr:col>
      <xdr:colOff>412750</xdr:colOff>
      <xdr:row>31</xdr:row>
      <xdr:rowOff>97735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67A8933-3D72-403C-B958-C2DC0EA2C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773430</xdr:colOff>
      <xdr:row>89</xdr:row>
      <xdr:rowOff>0</xdr:rowOff>
    </xdr:from>
    <xdr:to>
      <xdr:col>4</xdr:col>
      <xdr:colOff>207645</xdr:colOff>
      <xdr:row>90</xdr:row>
      <xdr:rowOff>22860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5DF423B-74AC-422F-9A60-9A4D4FAC81B0}"/>
            </a:ext>
          </a:extLst>
        </xdr:cNvPr>
        <xdr:cNvSpPr txBox="1"/>
      </xdr:nvSpPr>
      <xdr:spPr>
        <a:xfrm>
          <a:off x="3135630" y="7283450"/>
          <a:ext cx="38036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89</xdr:row>
      <xdr:rowOff>0</xdr:rowOff>
    </xdr:from>
    <xdr:to>
      <xdr:col>5</xdr:col>
      <xdr:colOff>127635</xdr:colOff>
      <xdr:row>90</xdr:row>
      <xdr:rowOff>22860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63B3724-5046-450D-9D5D-713F39EF2D7C}"/>
            </a:ext>
          </a:extLst>
        </xdr:cNvPr>
        <xdr:cNvSpPr txBox="1"/>
      </xdr:nvSpPr>
      <xdr:spPr>
        <a:xfrm>
          <a:off x="4058920" y="7283450"/>
          <a:ext cx="32321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89</xdr:row>
      <xdr:rowOff>198120</xdr:rowOff>
    </xdr:from>
    <xdr:to>
      <xdr:col>4</xdr:col>
      <xdr:colOff>192405</xdr:colOff>
      <xdr:row>91</xdr:row>
      <xdr:rowOff>40005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1E6D790-A2A4-44AF-BEBE-1515A57E29DB}"/>
            </a:ext>
          </a:extLst>
        </xdr:cNvPr>
        <xdr:cNvSpPr txBox="1"/>
      </xdr:nvSpPr>
      <xdr:spPr>
        <a:xfrm>
          <a:off x="3129915" y="7481570"/>
          <a:ext cx="370840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89</xdr:row>
      <xdr:rowOff>198120</xdr:rowOff>
    </xdr:from>
    <xdr:to>
      <xdr:col>5</xdr:col>
      <xdr:colOff>112395</xdr:colOff>
      <xdr:row>91</xdr:row>
      <xdr:rowOff>40005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EEA4EC7-C2FB-4A8C-B3A3-20CC5D94969F}"/>
            </a:ext>
          </a:extLst>
        </xdr:cNvPr>
        <xdr:cNvSpPr txBox="1"/>
      </xdr:nvSpPr>
      <xdr:spPr>
        <a:xfrm>
          <a:off x="4062730" y="7481570"/>
          <a:ext cx="304165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6</xdr:col>
      <xdr:colOff>690245</xdr:colOff>
      <xdr:row>95</xdr:row>
      <xdr:rowOff>228600</xdr:rowOff>
    </xdr:from>
    <xdr:to>
      <xdr:col>7</xdr:col>
      <xdr:colOff>537845</xdr:colOff>
      <xdr:row>96</xdr:row>
      <xdr:rowOff>200025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24532AD-6606-401E-8899-66DC92E04AD7}"/>
            </a:ext>
          </a:extLst>
        </xdr:cNvPr>
        <xdr:cNvSpPr txBox="1"/>
      </xdr:nvSpPr>
      <xdr:spPr>
        <a:xfrm>
          <a:off x="4690745" y="19500850"/>
          <a:ext cx="584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13970</xdr:colOff>
      <xdr:row>176</xdr:row>
      <xdr:rowOff>228600</xdr:rowOff>
    </xdr:from>
    <xdr:to>
      <xdr:col>7</xdr:col>
      <xdr:colOff>273050</xdr:colOff>
      <xdr:row>177</xdr:row>
      <xdr:rowOff>201930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E261F1F8-1A1C-43E3-BDF5-6C6BDEAB752A}"/>
            </a:ext>
          </a:extLst>
        </xdr:cNvPr>
        <xdr:cNvSpPr txBox="1"/>
      </xdr:nvSpPr>
      <xdr:spPr>
        <a:xfrm>
          <a:off x="4751070" y="37592000"/>
          <a:ext cx="259080" cy="208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3</xdr:col>
      <xdr:colOff>773430</xdr:colOff>
      <xdr:row>170</xdr:row>
      <xdr:rowOff>0</xdr:rowOff>
    </xdr:from>
    <xdr:to>
      <xdr:col>4</xdr:col>
      <xdr:colOff>207645</xdr:colOff>
      <xdr:row>171</xdr:row>
      <xdr:rowOff>22860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44168D4-8DEE-431C-9332-60249BFADE83}"/>
            </a:ext>
          </a:extLst>
        </xdr:cNvPr>
        <xdr:cNvSpPr txBox="1"/>
      </xdr:nvSpPr>
      <xdr:spPr>
        <a:xfrm>
          <a:off x="3135630" y="25374600"/>
          <a:ext cx="38036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170</xdr:row>
      <xdr:rowOff>0</xdr:rowOff>
    </xdr:from>
    <xdr:to>
      <xdr:col>5</xdr:col>
      <xdr:colOff>127635</xdr:colOff>
      <xdr:row>171</xdr:row>
      <xdr:rowOff>22860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763F91C-AE87-448B-B16E-9C453315CB2D}"/>
            </a:ext>
          </a:extLst>
        </xdr:cNvPr>
        <xdr:cNvSpPr txBox="1"/>
      </xdr:nvSpPr>
      <xdr:spPr>
        <a:xfrm>
          <a:off x="4058920" y="25374600"/>
          <a:ext cx="32321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170</xdr:row>
      <xdr:rowOff>198120</xdr:rowOff>
    </xdr:from>
    <xdr:to>
      <xdr:col>4</xdr:col>
      <xdr:colOff>192405</xdr:colOff>
      <xdr:row>172</xdr:row>
      <xdr:rowOff>40005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3B79CBB1-2A7C-443B-805A-076C9FA2B326}"/>
            </a:ext>
          </a:extLst>
        </xdr:cNvPr>
        <xdr:cNvSpPr txBox="1"/>
      </xdr:nvSpPr>
      <xdr:spPr>
        <a:xfrm>
          <a:off x="3129915" y="25572720"/>
          <a:ext cx="370840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170</xdr:row>
      <xdr:rowOff>198120</xdr:rowOff>
    </xdr:from>
    <xdr:to>
      <xdr:col>5</xdr:col>
      <xdr:colOff>112395</xdr:colOff>
      <xdr:row>172</xdr:row>
      <xdr:rowOff>40005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7DF9D7A-0B38-4929-BBAF-759C150EC932}"/>
            </a:ext>
          </a:extLst>
        </xdr:cNvPr>
        <xdr:cNvSpPr txBox="1"/>
      </xdr:nvSpPr>
      <xdr:spPr>
        <a:xfrm>
          <a:off x="4062730" y="25572720"/>
          <a:ext cx="304165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114300</xdr:colOff>
      <xdr:row>241</xdr:row>
      <xdr:rowOff>228600</xdr:rowOff>
    </xdr:from>
    <xdr:to>
      <xdr:col>6</xdr:col>
      <xdr:colOff>0</xdr:colOff>
      <xdr:row>242</xdr:row>
      <xdr:rowOff>228600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808B223E-0AAD-409D-A30D-E50B608C82A3}"/>
            </a:ext>
          </a:extLst>
        </xdr:cNvPr>
        <xdr:cNvSpPr txBox="1"/>
      </xdr:nvSpPr>
      <xdr:spPr>
        <a:xfrm>
          <a:off x="3378200" y="52393850"/>
          <a:ext cx="622300" cy="234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5</xdr:col>
      <xdr:colOff>114300</xdr:colOff>
      <xdr:row>242</xdr:row>
      <xdr:rowOff>228600</xdr:rowOff>
    </xdr:from>
    <xdr:to>
      <xdr:col>6</xdr:col>
      <xdr:colOff>0</xdr:colOff>
      <xdr:row>243</xdr:row>
      <xdr:rowOff>228600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A3B98F08-5137-4F89-865D-540AF9B21D90}"/>
            </a:ext>
          </a:extLst>
        </xdr:cNvPr>
        <xdr:cNvSpPr txBox="1"/>
      </xdr:nvSpPr>
      <xdr:spPr>
        <a:xfrm>
          <a:off x="3378200" y="52628800"/>
          <a:ext cx="622300" cy="234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339725</xdr:colOff>
      <xdr:row>247</xdr:row>
      <xdr:rowOff>228601</xdr:rowOff>
    </xdr:from>
    <xdr:to>
      <xdr:col>8</xdr:col>
      <xdr:colOff>571500</xdr:colOff>
      <xdr:row>249</xdr:row>
      <xdr:rowOff>0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A9C0105-5BE6-4B6C-AFEA-D726E44FDB38}"/>
            </a:ext>
          </a:extLst>
        </xdr:cNvPr>
        <xdr:cNvSpPr txBox="1"/>
      </xdr:nvSpPr>
      <xdr:spPr>
        <a:xfrm>
          <a:off x="5076825" y="54743351"/>
          <a:ext cx="968375" cy="241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290195</xdr:colOff>
      <xdr:row>248</xdr:row>
      <xdr:rowOff>228600</xdr:rowOff>
    </xdr:from>
    <xdr:to>
      <xdr:col>8</xdr:col>
      <xdr:colOff>25400</xdr:colOff>
      <xdr:row>251</xdr:row>
      <xdr:rowOff>20956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43C39C26-102D-4A89-8366-EF808D4895F2}"/>
            </a:ext>
          </a:extLst>
        </xdr:cNvPr>
        <xdr:cNvSpPr txBox="1"/>
      </xdr:nvSpPr>
      <xdr:spPr>
        <a:xfrm>
          <a:off x="5027295" y="54978300"/>
          <a:ext cx="471805" cy="497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5</xdr:col>
      <xdr:colOff>502920</xdr:colOff>
      <xdr:row>251</xdr:row>
      <xdr:rowOff>219075</xdr:rowOff>
    </xdr:from>
    <xdr:to>
      <xdr:col>6</xdr:col>
      <xdr:colOff>222250</xdr:colOff>
      <xdr:row>253</xdr:row>
      <xdr:rowOff>59056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44BE282C-A65E-4DDD-9359-5DD08312A393}"/>
            </a:ext>
          </a:extLst>
        </xdr:cNvPr>
        <xdr:cNvSpPr txBox="1"/>
      </xdr:nvSpPr>
      <xdr:spPr>
        <a:xfrm>
          <a:off x="3766820" y="55673625"/>
          <a:ext cx="455930" cy="309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+</a:t>
          </a:r>
          <a:endParaRPr lang="id-ID" sz="1100"/>
        </a:p>
      </xdr:txBody>
    </xdr:sp>
    <xdr:clientData/>
  </xdr:twoCellAnchor>
  <xdr:twoCellAnchor>
    <xdr:from>
      <xdr:col>6</xdr:col>
      <xdr:colOff>476885</xdr:colOff>
      <xdr:row>251</xdr:row>
      <xdr:rowOff>219075</xdr:rowOff>
    </xdr:from>
    <xdr:to>
      <xdr:col>8</xdr:col>
      <xdr:colOff>33655</xdr:colOff>
      <xdr:row>253</xdr:row>
      <xdr:rowOff>59056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95C6D52E-3776-4C44-A1D5-C09C52B07B5A}"/>
            </a:ext>
          </a:extLst>
        </xdr:cNvPr>
        <xdr:cNvSpPr txBox="1"/>
      </xdr:nvSpPr>
      <xdr:spPr>
        <a:xfrm>
          <a:off x="4458335" y="59940825"/>
          <a:ext cx="1023620" cy="316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* (c - d') / c </a:t>
          </a:r>
          <a:r>
            <a:rPr lang="en-US" sz="1100" baseline="0"/>
            <a:t>  </a:t>
          </a:r>
          <a:r>
            <a:rPr lang="en-US" sz="1100"/>
            <a:t>=</a:t>
          </a:r>
          <a:endParaRPr lang="id-ID" sz="1100"/>
        </a:p>
      </xdr:txBody>
    </xdr:sp>
    <xdr:clientData/>
  </xdr:twoCellAnchor>
  <xdr:twoCellAnchor>
    <xdr:from>
      <xdr:col>4</xdr:col>
      <xdr:colOff>420370</xdr:colOff>
      <xdr:row>252</xdr:row>
      <xdr:rowOff>219075</xdr:rowOff>
    </xdr:from>
    <xdr:to>
      <xdr:col>5</xdr:col>
      <xdr:colOff>438150</xdr:colOff>
      <xdr:row>254</xdr:row>
      <xdr:rowOff>25400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616049BF-FBA4-4BF4-A387-9C9178B3BA40}"/>
            </a:ext>
          </a:extLst>
        </xdr:cNvPr>
        <xdr:cNvSpPr txBox="1"/>
      </xdr:nvSpPr>
      <xdr:spPr>
        <a:xfrm>
          <a:off x="2947670" y="55908575"/>
          <a:ext cx="75438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</a:t>
          </a:r>
          <a:r>
            <a:rPr lang="en-US" sz="1100" baseline="30000"/>
            <a:t>2</a:t>
          </a:r>
          <a:r>
            <a:rPr lang="en-US" sz="1100"/>
            <a:t> +</a:t>
          </a:r>
          <a:endParaRPr lang="id-ID" sz="1100"/>
        </a:p>
      </xdr:txBody>
    </xdr:sp>
    <xdr:clientData/>
  </xdr:twoCellAnchor>
  <xdr:twoCellAnchor>
    <xdr:from>
      <xdr:col>5</xdr:col>
      <xdr:colOff>501650</xdr:colOff>
      <xdr:row>252</xdr:row>
      <xdr:rowOff>228600</xdr:rowOff>
    </xdr:from>
    <xdr:to>
      <xdr:col>6</xdr:col>
      <xdr:colOff>368299</xdr:colOff>
      <xdr:row>254</xdr:row>
      <xdr:rowOff>50800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C23019AD-4B1E-4518-9DE0-78D4B617D0E3}"/>
            </a:ext>
          </a:extLst>
        </xdr:cNvPr>
        <xdr:cNvSpPr txBox="1"/>
      </xdr:nvSpPr>
      <xdr:spPr>
        <a:xfrm>
          <a:off x="3765550" y="55918100"/>
          <a:ext cx="60324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+</a:t>
          </a:r>
          <a:endParaRPr lang="id-ID" sz="1100"/>
        </a:p>
      </xdr:txBody>
    </xdr:sp>
    <xdr:clientData/>
  </xdr:twoCellAnchor>
  <xdr:twoCellAnchor>
    <xdr:from>
      <xdr:col>5</xdr:col>
      <xdr:colOff>114299</xdr:colOff>
      <xdr:row>287</xdr:row>
      <xdr:rowOff>0</xdr:rowOff>
    </xdr:from>
    <xdr:to>
      <xdr:col>5</xdr:col>
      <xdr:colOff>396240</xdr:colOff>
      <xdr:row>287</xdr:row>
      <xdr:rowOff>226695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57484F8-D111-48D6-9242-CDC48A257898}"/>
            </a:ext>
          </a:extLst>
        </xdr:cNvPr>
        <xdr:cNvSpPr txBox="1"/>
      </xdr:nvSpPr>
      <xdr:spPr>
        <a:xfrm>
          <a:off x="4368799" y="51454050"/>
          <a:ext cx="281941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355600</xdr:colOff>
      <xdr:row>291</xdr:row>
      <xdr:rowOff>215901</xdr:rowOff>
    </xdr:from>
    <xdr:to>
      <xdr:col>8</xdr:col>
      <xdr:colOff>482600</xdr:colOff>
      <xdr:row>292</xdr:row>
      <xdr:rowOff>228601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D892F6CC-B475-4C33-879A-6B1786A27148}"/>
            </a:ext>
          </a:extLst>
        </xdr:cNvPr>
        <xdr:cNvSpPr txBox="1"/>
      </xdr:nvSpPr>
      <xdr:spPr>
        <a:xfrm>
          <a:off x="5092700" y="64598551"/>
          <a:ext cx="8636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384810</xdr:colOff>
      <xdr:row>293</xdr:row>
      <xdr:rowOff>0</xdr:rowOff>
    </xdr:from>
    <xdr:to>
      <xdr:col>7</xdr:col>
      <xdr:colOff>975360</xdr:colOff>
      <xdr:row>294</xdr:row>
      <xdr:rowOff>30481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5A33EB-EAE0-4108-9121-4C91DD3F5A4D}"/>
            </a:ext>
          </a:extLst>
        </xdr:cNvPr>
        <xdr:cNvSpPr txBox="1"/>
      </xdr:nvSpPr>
      <xdr:spPr>
        <a:xfrm>
          <a:off x="6531610" y="52628800"/>
          <a:ext cx="558800" cy="265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5</xdr:col>
      <xdr:colOff>527684</xdr:colOff>
      <xdr:row>295</xdr:row>
      <xdr:rowOff>222250</xdr:rowOff>
    </xdr:from>
    <xdr:to>
      <xdr:col>6</xdr:col>
      <xdr:colOff>298449</xdr:colOff>
      <xdr:row>297</xdr:row>
      <xdr:rowOff>62231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10D3C24A-B492-45F0-B1FA-B4B46F3F5F87}"/>
            </a:ext>
          </a:extLst>
        </xdr:cNvPr>
        <xdr:cNvSpPr txBox="1"/>
      </xdr:nvSpPr>
      <xdr:spPr>
        <a:xfrm>
          <a:off x="3791584" y="65544700"/>
          <a:ext cx="507365" cy="309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+</a:t>
          </a:r>
          <a:endParaRPr lang="id-ID" sz="1100"/>
        </a:p>
      </xdr:txBody>
    </xdr:sp>
    <xdr:clientData/>
  </xdr:twoCellAnchor>
  <xdr:twoCellAnchor>
    <xdr:from>
      <xdr:col>6</xdr:col>
      <xdr:colOff>590550</xdr:colOff>
      <xdr:row>295</xdr:row>
      <xdr:rowOff>219075</xdr:rowOff>
    </xdr:from>
    <xdr:to>
      <xdr:col>8</xdr:col>
      <xdr:colOff>273050</xdr:colOff>
      <xdr:row>297</xdr:row>
      <xdr:rowOff>59056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4D20806C-1533-4EFA-A314-D28B3678CD90}"/>
            </a:ext>
          </a:extLst>
        </xdr:cNvPr>
        <xdr:cNvSpPr txBox="1"/>
      </xdr:nvSpPr>
      <xdr:spPr>
        <a:xfrm>
          <a:off x="4591050" y="65541525"/>
          <a:ext cx="1155700" cy="309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     =</a:t>
          </a:r>
          <a:endParaRPr lang="id-ID" sz="1100"/>
        </a:p>
      </xdr:txBody>
    </xdr:sp>
    <xdr:clientData/>
  </xdr:twoCellAnchor>
  <xdr:twoCellAnchor>
    <xdr:from>
      <xdr:col>4</xdr:col>
      <xdr:colOff>502920</xdr:colOff>
      <xdr:row>297</xdr:row>
      <xdr:rowOff>1</xdr:rowOff>
    </xdr:from>
    <xdr:to>
      <xdr:col>5</xdr:col>
      <xdr:colOff>129540</xdr:colOff>
      <xdr:row>297</xdr:row>
      <xdr:rowOff>228601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4BD24072-39C3-4227-8142-CB68FB5A1583}"/>
            </a:ext>
          </a:extLst>
        </xdr:cNvPr>
        <xdr:cNvSpPr txBox="1"/>
      </xdr:nvSpPr>
      <xdr:spPr>
        <a:xfrm>
          <a:off x="3811270" y="53568601"/>
          <a:ext cx="57277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</a:t>
          </a:r>
          <a:r>
            <a:rPr lang="en-US" sz="1100" baseline="30000"/>
            <a:t>2</a:t>
          </a:r>
          <a:r>
            <a:rPr lang="en-US" sz="1100"/>
            <a:t> +</a:t>
          </a:r>
          <a:endParaRPr lang="id-ID" sz="1100"/>
        </a:p>
      </xdr:txBody>
    </xdr:sp>
    <xdr:clientData/>
  </xdr:twoCellAnchor>
  <xdr:twoCellAnchor>
    <xdr:from>
      <xdr:col>5</xdr:col>
      <xdr:colOff>539114</xdr:colOff>
      <xdr:row>296</xdr:row>
      <xdr:rowOff>228600</xdr:rowOff>
    </xdr:from>
    <xdr:to>
      <xdr:col>6</xdr:col>
      <xdr:colOff>317499</xdr:colOff>
      <xdr:row>298</xdr:row>
      <xdr:rowOff>31750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C86C8892-5111-421B-A86A-9ACA839F7ED7}"/>
            </a:ext>
          </a:extLst>
        </xdr:cNvPr>
        <xdr:cNvSpPr txBox="1"/>
      </xdr:nvSpPr>
      <xdr:spPr>
        <a:xfrm>
          <a:off x="3803014" y="65786000"/>
          <a:ext cx="514985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+</a:t>
          </a:r>
          <a:endParaRPr lang="id-ID" sz="1100"/>
        </a:p>
      </xdr:txBody>
    </xdr:sp>
    <xdr:clientData/>
  </xdr:twoCellAnchor>
  <xdr:twoCellAnchor>
    <xdr:from>
      <xdr:col>5</xdr:col>
      <xdr:colOff>106680</xdr:colOff>
      <xdr:row>287</xdr:row>
      <xdr:rowOff>219075</xdr:rowOff>
    </xdr:from>
    <xdr:to>
      <xdr:col>5</xdr:col>
      <xdr:colOff>388621</xdr:colOff>
      <xdr:row>288</xdr:row>
      <xdr:rowOff>226695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E6141598-8357-403D-95CA-5C2F6E824DA9}"/>
            </a:ext>
          </a:extLst>
        </xdr:cNvPr>
        <xdr:cNvSpPr txBox="1"/>
      </xdr:nvSpPr>
      <xdr:spPr>
        <a:xfrm>
          <a:off x="4361180" y="51673125"/>
          <a:ext cx="281941" cy="2425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4</xdr:col>
      <xdr:colOff>327660</xdr:colOff>
      <xdr:row>271</xdr:row>
      <xdr:rowOff>0</xdr:rowOff>
    </xdr:from>
    <xdr:to>
      <xdr:col>4</xdr:col>
      <xdr:colOff>725805</xdr:colOff>
      <xdr:row>272</xdr:row>
      <xdr:rowOff>30481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4D9ABEF-A78E-422C-85FD-A9DFF72EE395}"/>
            </a:ext>
          </a:extLst>
        </xdr:cNvPr>
        <xdr:cNvSpPr txBox="1"/>
      </xdr:nvSpPr>
      <xdr:spPr>
        <a:xfrm>
          <a:off x="3636010" y="48164750"/>
          <a:ext cx="398145" cy="265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/>
        </a:p>
      </xdr:txBody>
    </xdr:sp>
    <xdr:clientData/>
  </xdr:twoCellAnchor>
  <xdr:twoCellAnchor>
    <xdr:from>
      <xdr:col>4</xdr:col>
      <xdr:colOff>337185</xdr:colOff>
      <xdr:row>274</xdr:row>
      <xdr:rowOff>0</xdr:rowOff>
    </xdr:from>
    <xdr:to>
      <xdr:col>4</xdr:col>
      <xdr:colOff>735330</xdr:colOff>
      <xdr:row>275</xdr:row>
      <xdr:rowOff>30481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7DB2FC5F-456D-43AB-A485-2776380F68B4}"/>
            </a:ext>
          </a:extLst>
        </xdr:cNvPr>
        <xdr:cNvSpPr txBox="1"/>
      </xdr:nvSpPr>
      <xdr:spPr>
        <a:xfrm>
          <a:off x="3645535" y="48869600"/>
          <a:ext cx="398145" cy="265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315</xdr:row>
      <xdr:rowOff>0</xdr:rowOff>
    </xdr:from>
    <xdr:to>
      <xdr:col>4</xdr:col>
      <xdr:colOff>887730</xdr:colOff>
      <xdr:row>316</xdr:row>
      <xdr:rowOff>30481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B4688E38-44DF-42F2-B373-A9C6D6D87B07}"/>
            </a:ext>
          </a:extLst>
        </xdr:cNvPr>
        <xdr:cNvSpPr txBox="1"/>
      </xdr:nvSpPr>
      <xdr:spPr>
        <a:xfrm>
          <a:off x="3655060" y="57797700"/>
          <a:ext cx="541020" cy="265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318</xdr:row>
      <xdr:rowOff>0</xdr:rowOff>
    </xdr:from>
    <xdr:to>
      <xdr:col>4</xdr:col>
      <xdr:colOff>887730</xdr:colOff>
      <xdr:row>319</xdr:row>
      <xdr:rowOff>30481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7148612-D62D-43D5-9A61-68A4D75261BF}"/>
            </a:ext>
          </a:extLst>
        </xdr:cNvPr>
        <xdr:cNvSpPr txBox="1"/>
      </xdr:nvSpPr>
      <xdr:spPr>
        <a:xfrm>
          <a:off x="3655060" y="58502550"/>
          <a:ext cx="541020" cy="265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6</xdr:col>
      <xdr:colOff>518160</xdr:colOff>
      <xdr:row>375</xdr:row>
      <xdr:rowOff>22860</xdr:rowOff>
    </xdr:from>
    <xdr:to>
      <xdr:col>6</xdr:col>
      <xdr:colOff>770160</xdr:colOff>
      <xdr:row>375</xdr:row>
      <xdr:rowOff>220980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A1805425-2758-4F94-9E2C-7DF8092FE39B}"/>
            </a:ext>
          </a:extLst>
        </xdr:cNvPr>
        <xdr:cNvSpPr txBox="1"/>
      </xdr:nvSpPr>
      <xdr:spPr>
        <a:xfrm>
          <a:off x="5718810" y="70742810"/>
          <a:ext cx="25200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/>
            <a:t>- </a:t>
          </a:r>
          <a:endParaRPr lang="id-ID" sz="1100" b="1"/>
        </a:p>
      </xdr:txBody>
    </xdr:sp>
    <xdr:clientData/>
  </xdr:twoCellAnchor>
  <xdr:twoCellAnchor>
    <xdr:from>
      <xdr:col>6</xdr:col>
      <xdr:colOff>842010</xdr:colOff>
      <xdr:row>542</xdr:row>
      <xdr:rowOff>22860</xdr:rowOff>
    </xdr:from>
    <xdr:to>
      <xdr:col>7</xdr:col>
      <xdr:colOff>189135</xdr:colOff>
      <xdr:row>542</xdr:row>
      <xdr:rowOff>220980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B2DCCC48-ACD2-443D-9EA6-B1F31997984F}"/>
            </a:ext>
          </a:extLst>
        </xdr:cNvPr>
        <xdr:cNvSpPr txBox="1"/>
      </xdr:nvSpPr>
      <xdr:spPr>
        <a:xfrm>
          <a:off x="6042660" y="104575610"/>
          <a:ext cx="293275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/>
            <a:t>- </a:t>
          </a:r>
          <a:endParaRPr lang="id-ID" sz="1100" b="1"/>
        </a:p>
      </xdr:txBody>
    </xdr:sp>
    <xdr:clientData/>
  </xdr:twoCellAnchor>
  <xdr:twoCellAnchor>
    <xdr:from>
      <xdr:col>6</xdr:col>
      <xdr:colOff>0</xdr:colOff>
      <xdr:row>375</xdr:row>
      <xdr:rowOff>28575</xdr:rowOff>
    </xdr:from>
    <xdr:to>
      <xdr:col>6</xdr:col>
      <xdr:colOff>252000</xdr:colOff>
      <xdr:row>375</xdr:row>
      <xdr:rowOff>226695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6FD209EA-9E77-4593-A194-801AFB4D007C}"/>
            </a:ext>
          </a:extLst>
        </xdr:cNvPr>
        <xdr:cNvSpPr txBox="1"/>
      </xdr:nvSpPr>
      <xdr:spPr>
        <a:xfrm>
          <a:off x="5200650" y="70748525"/>
          <a:ext cx="25200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/>
            <a:t>D</a:t>
          </a:r>
          <a:endParaRPr lang="id-ID" sz="1100" b="0"/>
        </a:p>
      </xdr:txBody>
    </xdr:sp>
    <xdr:clientData/>
  </xdr:twoCellAnchor>
  <xdr:twoCellAnchor>
    <xdr:from>
      <xdr:col>3</xdr:col>
      <xdr:colOff>773430</xdr:colOff>
      <xdr:row>210</xdr:row>
      <xdr:rowOff>0</xdr:rowOff>
    </xdr:from>
    <xdr:to>
      <xdr:col>4</xdr:col>
      <xdr:colOff>207645</xdr:colOff>
      <xdr:row>211</xdr:row>
      <xdr:rowOff>22860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F5EDA634-8472-4EDE-899D-526B5BE069B7}"/>
            </a:ext>
          </a:extLst>
        </xdr:cNvPr>
        <xdr:cNvSpPr txBox="1"/>
      </xdr:nvSpPr>
      <xdr:spPr>
        <a:xfrm>
          <a:off x="3135630" y="34302700"/>
          <a:ext cx="38036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210</xdr:row>
      <xdr:rowOff>0</xdr:rowOff>
    </xdr:from>
    <xdr:to>
      <xdr:col>5</xdr:col>
      <xdr:colOff>127635</xdr:colOff>
      <xdr:row>211</xdr:row>
      <xdr:rowOff>22860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4442928A-1F8E-473F-B8AF-2E693A22EF23}"/>
            </a:ext>
          </a:extLst>
        </xdr:cNvPr>
        <xdr:cNvSpPr txBox="1"/>
      </xdr:nvSpPr>
      <xdr:spPr>
        <a:xfrm>
          <a:off x="4058920" y="34302700"/>
          <a:ext cx="32321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210</xdr:row>
      <xdr:rowOff>198120</xdr:rowOff>
    </xdr:from>
    <xdr:to>
      <xdr:col>4</xdr:col>
      <xdr:colOff>192405</xdr:colOff>
      <xdr:row>212</xdr:row>
      <xdr:rowOff>40005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6116336F-AB93-4450-8549-56FCC95D3F53}"/>
            </a:ext>
          </a:extLst>
        </xdr:cNvPr>
        <xdr:cNvSpPr txBox="1"/>
      </xdr:nvSpPr>
      <xdr:spPr>
        <a:xfrm>
          <a:off x="3129915" y="34500820"/>
          <a:ext cx="370840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210</xdr:row>
      <xdr:rowOff>198120</xdr:rowOff>
    </xdr:from>
    <xdr:to>
      <xdr:col>5</xdr:col>
      <xdr:colOff>112395</xdr:colOff>
      <xdr:row>212</xdr:row>
      <xdr:rowOff>40005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CAA5C6FE-0826-4421-BB60-A4E724CBFDC9}"/>
            </a:ext>
          </a:extLst>
        </xdr:cNvPr>
        <xdr:cNvSpPr txBox="1"/>
      </xdr:nvSpPr>
      <xdr:spPr>
        <a:xfrm>
          <a:off x="4062730" y="34500820"/>
          <a:ext cx="304165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6</xdr:col>
      <xdr:colOff>734695</xdr:colOff>
      <xdr:row>216</xdr:row>
      <xdr:rowOff>228600</xdr:rowOff>
    </xdr:from>
    <xdr:to>
      <xdr:col>7</xdr:col>
      <xdr:colOff>582295</xdr:colOff>
      <xdr:row>217</xdr:row>
      <xdr:rowOff>200025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D74C93A0-2412-4695-A247-484968BA7C2B}"/>
            </a:ext>
          </a:extLst>
        </xdr:cNvPr>
        <xdr:cNvSpPr txBox="1"/>
      </xdr:nvSpPr>
      <xdr:spPr>
        <a:xfrm>
          <a:off x="4735195" y="46520100"/>
          <a:ext cx="584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1</xdr:col>
      <xdr:colOff>0</xdr:colOff>
      <xdr:row>520</xdr:row>
      <xdr:rowOff>0</xdr:rowOff>
    </xdr:from>
    <xdr:to>
      <xdr:col>5</xdr:col>
      <xdr:colOff>1103</xdr:colOff>
      <xdr:row>530</xdr:row>
      <xdr:rowOff>45147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93272EAC-68E2-463D-8B92-59DE86999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480</xdr:row>
      <xdr:rowOff>0</xdr:rowOff>
    </xdr:from>
    <xdr:to>
      <xdr:col>8</xdr:col>
      <xdr:colOff>314462</xdr:colOff>
      <xdr:row>491</xdr:row>
      <xdr:rowOff>181940</xdr:rowOff>
    </xdr:to>
    <xdr:graphicFrame macro="">
      <xdr:nvGraphicFramePr>
        <xdr:cNvPr id="92" name="Chart 91">
          <a:extLst>
            <a:ext uri="{FF2B5EF4-FFF2-40B4-BE49-F238E27FC236}">
              <a16:creationId xmlns:a16="http://schemas.microsoft.com/office/drawing/2014/main" id="{7042F125-EDBB-4E10-854F-5557E86DC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520</xdr:row>
      <xdr:rowOff>0</xdr:rowOff>
    </xdr:from>
    <xdr:to>
      <xdr:col>8</xdr:col>
      <xdr:colOff>330310</xdr:colOff>
      <xdr:row>531</xdr:row>
      <xdr:rowOff>229251</xdr:rowOff>
    </xdr:to>
    <xdr:graphicFrame macro="">
      <xdr:nvGraphicFramePr>
        <xdr:cNvPr id="93" name="Chart 92">
          <a:extLst>
            <a:ext uri="{FF2B5EF4-FFF2-40B4-BE49-F238E27FC236}">
              <a16:creationId xmlns:a16="http://schemas.microsoft.com/office/drawing/2014/main" id="{FEA1EBEB-4B82-4CD7-8D00-9C79207B4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481</xdr:row>
      <xdr:rowOff>0</xdr:rowOff>
    </xdr:from>
    <xdr:to>
      <xdr:col>4</xdr:col>
      <xdr:colOff>839303</xdr:colOff>
      <xdr:row>491</xdr:row>
      <xdr:rowOff>45147</xdr:rowOff>
    </xdr:to>
    <xdr:graphicFrame macro="">
      <xdr:nvGraphicFramePr>
        <xdr:cNvPr id="94" name="Chart 93">
          <a:extLst>
            <a:ext uri="{FF2B5EF4-FFF2-40B4-BE49-F238E27FC236}">
              <a16:creationId xmlns:a16="http://schemas.microsoft.com/office/drawing/2014/main" id="{F906B3D8-FE09-44BB-8DEA-2B7897BA2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773430</xdr:colOff>
      <xdr:row>128</xdr:row>
      <xdr:rowOff>0</xdr:rowOff>
    </xdr:from>
    <xdr:to>
      <xdr:col>4</xdr:col>
      <xdr:colOff>207645</xdr:colOff>
      <xdr:row>129</xdr:row>
      <xdr:rowOff>22860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3E0242CB-3642-4541-B625-73F11F747C35}"/>
            </a:ext>
          </a:extLst>
        </xdr:cNvPr>
        <xdr:cNvSpPr txBox="1"/>
      </xdr:nvSpPr>
      <xdr:spPr>
        <a:xfrm>
          <a:off x="3135630" y="16211550"/>
          <a:ext cx="38036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128</xdr:row>
      <xdr:rowOff>0</xdr:rowOff>
    </xdr:from>
    <xdr:to>
      <xdr:col>5</xdr:col>
      <xdr:colOff>127635</xdr:colOff>
      <xdr:row>129</xdr:row>
      <xdr:rowOff>22860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BB8D46F-3738-4395-8A1D-F8A201AE3AC0}"/>
            </a:ext>
          </a:extLst>
        </xdr:cNvPr>
        <xdr:cNvSpPr txBox="1"/>
      </xdr:nvSpPr>
      <xdr:spPr>
        <a:xfrm>
          <a:off x="4058920" y="16211550"/>
          <a:ext cx="323215" cy="25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128</xdr:row>
      <xdr:rowOff>198120</xdr:rowOff>
    </xdr:from>
    <xdr:to>
      <xdr:col>4</xdr:col>
      <xdr:colOff>192405</xdr:colOff>
      <xdr:row>130</xdr:row>
      <xdr:rowOff>40005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96E70AA-B231-40CA-AD0A-7007696333F6}"/>
            </a:ext>
          </a:extLst>
        </xdr:cNvPr>
        <xdr:cNvSpPr txBox="1"/>
      </xdr:nvSpPr>
      <xdr:spPr>
        <a:xfrm>
          <a:off x="3129915" y="16409670"/>
          <a:ext cx="370840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128</xdr:row>
      <xdr:rowOff>198120</xdr:rowOff>
    </xdr:from>
    <xdr:to>
      <xdr:col>5</xdr:col>
      <xdr:colOff>112395</xdr:colOff>
      <xdr:row>130</xdr:row>
      <xdr:rowOff>40005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2C41C180-35AC-4965-9F7E-0348AE2BB766}"/>
            </a:ext>
          </a:extLst>
        </xdr:cNvPr>
        <xdr:cNvSpPr txBox="1"/>
      </xdr:nvSpPr>
      <xdr:spPr>
        <a:xfrm>
          <a:off x="4062730" y="16409670"/>
          <a:ext cx="304165" cy="311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6</xdr:col>
      <xdr:colOff>715645</xdr:colOff>
      <xdr:row>134</xdr:row>
      <xdr:rowOff>228600</xdr:rowOff>
    </xdr:from>
    <xdr:to>
      <xdr:col>7</xdr:col>
      <xdr:colOff>563245</xdr:colOff>
      <xdr:row>135</xdr:row>
      <xdr:rowOff>200025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6D0A8C11-75AE-4ECD-9CC3-BEC3757E583C}"/>
            </a:ext>
          </a:extLst>
        </xdr:cNvPr>
        <xdr:cNvSpPr txBox="1"/>
      </xdr:nvSpPr>
      <xdr:spPr>
        <a:xfrm>
          <a:off x="4716145" y="28428950"/>
          <a:ext cx="584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 editAs="oneCell">
    <xdr:from>
      <xdr:col>1</xdr:col>
      <xdr:colOff>107950</xdr:colOff>
      <xdr:row>187</xdr:row>
      <xdr:rowOff>158750</xdr:rowOff>
    </xdr:from>
    <xdr:to>
      <xdr:col>7</xdr:col>
      <xdr:colOff>149020</xdr:colOff>
      <xdr:row>196</xdr:row>
      <xdr:rowOff>159074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1D910F9-6EB1-49F2-BDDE-EA78C3E61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5450" y="40576500"/>
          <a:ext cx="4460670" cy="21148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227</xdr:row>
      <xdr:rowOff>139700</xdr:rowOff>
    </xdr:from>
    <xdr:to>
      <xdr:col>7</xdr:col>
      <xdr:colOff>150852</xdr:colOff>
      <xdr:row>236</xdr:row>
      <xdr:rowOff>173470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58CFF68A-A7E8-4D4F-BDBA-FD78C5ECA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6550" y="49955450"/>
          <a:ext cx="4551402" cy="2148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146</xdr:row>
      <xdr:rowOff>6350</xdr:rowOff>
    </xdr:from>
    <xdr:to>
      <xdr:col>6</xdr:col>
      <xdr:colOff>714906</xdr:colOff>
      <xdr:row>154</xdr:row>
      <xdr:rowOff>177524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76B219CB-4614-452F-BA7F-28949C82B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100" y="31730950"/>
          <a:ext cx="4296306" cy="20507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6</xdr:col>
      <xdr:colOff>686905</xdr:colOff>
      <xdr:row>115</xdr:row>
      <xdr:rowOff>197155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C8FDB1C6-BFF2-4A33-B6D8-44CD68FE6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9900" y="11512550"/>
          <a:ext cx="4369905" cy="2076755"/>
        </a:xfrm>
        <a:prstGeom prst="rect">
          <a:avLst/>
        </a:prstGeom>
      </xdr:spPr>
    </xdr:pic>
    <xdr:clientData/>
  </xdr:twoCellAnchor>
  <xdr:twoCellAnchor editAs="oneCell">
    <xdr:from>
      <xdr:col>1</xdr:col>
      <xdr:colOff>111313</xdr:colOff>
      <xdr:row>254</xdr:row>
      <xdr:rowOff>113227</xdr:rowOff>
    </xdr:from>
    <xdr:to>
      <xdr:col>7</xdr:col>
      <xdr:colOff>546100</xdr:colOff>
      <xdr:row>262</xdr:row>
      <xdr:rowOff>201209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6C52C52D-D857-4967-A4C0-753A01732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8813" y="56742527"/>
          <a:ext cx="4854387" cy="1967582"/>
        </a:xfrm>
        <a:prstGeom prst="rect">
          <a:avLst/>
        </a:prstGeom>
      </xdr:spPr>
    </xdr:pic>
    <xdr:clientData/>
  </xdr:twoCellAnchor>
  <xdr:twoCellAnchor editAs="oneCell">
    <xdr:from>
      <xdr:col>2</xdr:col>
      <xdr:colOff>297757</xdr:colOff>
      <xdr:row>560</xdr:row>
      <xdr:rowOff>97065</xdr:rowOff>
    </xdr:from>
    <xdr:to>
      <xdr:col>8</xdr:col>
      <xdr:colOff>632385</xdr:colOff>
      <xdr:row>569</xdr:row>
      <xdr:rowOff>210621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59BBCBE0-9907-44E8-8783-77B70B41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13807" y="107704165"/>
          <a:ext cx="4754228" cy="2228106"/>
        </a:xfrm>
        <a:prstGeom prst="rect">
          <a:avLst/>
        </a:prstGeom>
      </xdr:spPr>
    </xdr:pic>
    <xdr:clientData/>
  </xdr:twoCellAnchor>
  <xdr:twoCellAnchor editAs="oneCell">
    <xdr:from>
      <xdr:col>1</xdr:col>
      <xdr:colOff>71346</xdr:colOff>
      <xdr:row>297</xdr:row>
      <xdr:rowOff>190500</xdr:rowOff>
    </xdr:from>
    <xdr:to>
      <xdr:col>8</xdr:col>
      <xdr:colOff>333190</xdr:colOff>
      <xdr:row>307</xdr:row>
      <xdr:rowOff>205591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9B26CFCE-8E29-4C4C-9E9E-21D3DBC6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8846" y="65982850"/>
          <a:ext cx="5418044" cy="2364591"/>
        </a:xfrm>
        <a:prstGeom prst="rect">
          <a:avLst/>
        </a:prstGeom>
      </xdr:spPr>
    </xdr:pic>
    <xdr:clientData/>
  </xdr:twoCellAnchor>
  <xdr:twoCellAnchor>
    <xdr:from>
      <xdr:col>6</xdr:col>
      <xdr:colOff>842010</xdr:colOff>
      <xdr:row>553</xdr:row>
      <xdr:rowOff>22860</xdr:rowOff>
    </xdr:from>
    <xdr:to>
      <xdr:col>7</xdr:col>
      <xdr:colOff>189135</xdr:colOff>
      <xdr:row>553</xdr:row>
      <xdr:rowOff>220980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48164067-8428-4DEB-B65B-A1251FC4F005}"/>
            </a:ext>
          </a:extLst>
        </xdr:cNvPr>
        <xdr:cNvSpPr txBox="1"/>
      </xdr:nvSpPr>
      <xdr:spPr>
        <a:xfrm>
          <a:off x="6042660" y="107160060"/>
          <a:ext cx="293275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/>
            <a:t>- </a:t>
          </a:r>
          <a:endParaRPr lang="id-ID" sz="1100" b="1"/>
        </a:p>
      </xdr:txBody>
    </xdr:sp>
    <xdr:clientData/>
  </xdr:twoCellAnchor>
  <xdr:twoCellAnchor>
    <xdr:from>
      <xdr:col>6</xdr:col>
      <xdr:colOff>518160</xdr:colOff>
      <xdr:row>415</xdr:row>
      <xdr:rowOff>22860</xdr:rowOff>
    </xdr:from>
    <xdr:to>
      <xdr:col>6</xdr:col>
      <xdr:colOff>770160</xdr:colOff>
      <xdr:row>415</xdr:row>
      <xdr:rowOff>220980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145B52F1-ED64-4B6F-AEE3-B94AC9082DA6}"/>
            </a:ext>
          </a:extLst>
        </xdr:cNvPr>
        <xdr:cNvSpPr txBox="1"/>
      </xdr:nvSpPr>
      <xdr:spPr>
        <a:xfrm>
          <a:off x="5718810" y="78731110"/>
          <a:ext cx="25200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/>
            <a:t>- </a:t>
          </a:r>
          <a:endParaRPr lang="id-ID" sz="1100" b="1"/>
        </a:p>
      </xdr:txBody>
    </xdr:sp>
    <xdr:clientData/>
  </xdr:twoCellAnchor>
  <xdr:twoCellAnchor>
    <xdr:from>
      <xdr:col>6</xdr:col>
      <xdr:colOff>0</xdr:colOff>
      <xdr:row>415</xdr:row>
      <xdr:rowOff>28575</xdr:rowOff>
    </xdr:from>
    <xdr:to>
      <xdr:col>6</xdr:col>
      <xdr:colOff>252000</xdr:colOff>
      <xdr:row>415</xdr:row>
      <xdr:rowOff>226695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96C53BC7-91D9-464E-9EF9-A06C92B6A8EB}"/>
            </a:ext>
          </a:extLst>
        </xdr:cNvPr>
        <xdr:cNvSpPr txBox="1"/>
      </xdr:nvSpPr>
      <xdr:spPr>
        <a:xfrm>
          <a:off x="5200650" y="78736825"/>
          <a:ext cx="252000" cy="198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/>
            <a:t>D</a:t>
          </a:r>
          <a:endParaRPr lang="id-ID" sz="1100" b="0"/>
        </a:p>
      </xdr:txBody>
    </xdr:sp>
    <xdr:clientData/>
  </xdr:twoCellAnchor>
  <xdr:twoCellAnchor>
    <xdr:from>
      <xdr:col>1</xdr:col>
      <xdr:colOff>320260</xdr:colOff>
      <xdr:row>570</xdr:row>
      <xdr:rowOff>182218</xdr:rowOff>
    </xdr:from>
    <xdr:to>
      <xdr:col>8</xdr:col>
      <xdr:colOff>237484</xdr:colOff>
      <xdr:row>582</xdr:row>
      <xdr:rowOff>177734</xdr:rowOff>
    </xdr:to>
    <xdr:graphicFrame macro="">
      <xdr:nvGraphicFramePr>
        <xdr:cNvPr id="111" name="Chart 110">
          <a:extLst>
            <a:ext uri="{FF2B5EF4-FFF2-40B4-BE49-F238E27FC236}">
              <a16:creationId xmlns:a16="http://schemas.microsoft.com/office/drawing/2014/main" id="{CA9A86A8-ED31-4A5E-8345-48C98A838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2</xdr:row>
      <xdr:rowOff>9525</xdr:rowOff>
    </xdr:from>
    <xdr:to>
      <xdr:col>2</xdr:col>
      <xdr:colOff>509587</xdr:colOff>
      <xdr:row>10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D7E3EA-41B6-88D9-435B-E5D12C2B2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85775"/>
          <a:ext cx="1557337" cy="20764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inpetra.i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inpetra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668D-45E8-416F-9BE1-34BDCCDD1F76}">
  <sheetPr>
    <tabColor rgb="FFFFFF00"/>
  </sheetPr>
  <dimension ref="B1:J32"/>
  <sheetViews>
    <sheetView tabSelected="1" workbookViewId="0"/>
  </sheetViews>
  <sheetFormatPr defaultColWidth="9.140625" defaultRowHeight="18.75" customHeight="1" x14ac:dyDescent="0.25"/>
  <cols>
    <col min="1" max="1" width="4.28515625" style="154" customWidth="1"/>
    <col min="2" max="2" width="16.7109375" style="154" customWidth="1"/>
    <col min="3" max="3" width="2.85546875" style="157" customWidth="1"/>
    <col min="4" max="16384" width="9.140625" style="154"/>
  </cols>
  <sheetData>
    <row r="1" spans="2:10" s="274" customFormat="1" ht="18.75" customHeight="1" x14ac:dyDescent="0.25">
      <c r="C1" s="275"/>
    </row>
    <row r="2" spans="2:10" ht="18.75" customHeight="1" x14ac:dyDescent="0.25">
      <c r="B2" s="158" t="s">
        <v>294</v>
      </c>
      <c r="C2" s="157" t="s">
        <v>295</v>
      </c>
      <c r="D2" s="154" t="s">
        <v>300</v>
      </c>
    </row>
    <row r="3" spans="2:10" ht="18.75" customHeight="1" x14ac:dyDescent="0.25">
      <c r="B3" s="158" t="s">
        <v>296</v>
      </c>
      <c r="C3" s="157" t="s">
        <v>295</v>
      </c>
      <c r="D3" s="154" t="s">
        <v>488</v>
      </c>
    </row>
    <row r="4" spans="2:10" ht="18.75" customHeight="1" x14ac:dyDescent="0.25">
      <c r="B4" s="158" t="s">
        <v>307</v>
      </c>
      <c r="C4" s="157" t="s">
        <v>295</v>
      </c>
      <c r="D4" s="159" t="s">
        <v>308</v>
      </c>
    </row>
    <row r="5" spans="2:10" ht="18.75" customHeight="1" x14ac:dyDescent="0.25">
      <c r="B5" s="158"/>
    </row>
    <row r="6" spans="2:10" ht="18.75" customHeight="1" x14ac:dyDescent="0.25">
      <c r="B6" s="158" t="s">
        <v>297</v>
      </c>
      <c r="C6" s="157" t="s">
        <v>295</v>
      </c>
      <c r="D6" s="154" t="s">
        <v>491</v>
      </c>
    </row>
    <row r="7" spans="2:10" ht="18.75" customHeight="1" x14ac:dyDescent="0.25">
      <c r="D7" s="154" t="s">
        <v>492</v>
      </c>
    </row>
    <row r="8" spans="2:10" ht="18.75" customHeight="1" x14ac:dyDescent="0.25">
      <c r="B8" s="158" t="s">
        <v>490</v>
      </c>
      <c r="C8" s="157" t="s">
        <v>295</v>
      </c>
      <c r="D8" s="276" t="s">
        <v>493</v>
      </c>
    </row>
    <row r="9" spans="2:10" ht="18.75" customHeight="1" x14ac:dyDescent="0.25">
      <c r="C9" s="154"/>
      <c r="D9" s="154" t="s">
        <v>494</v>
      </c>
      <c r="J9" s="156"/>
    </row>
    <row r="11" spans="2:10" ht="18.75" customHeight="1" x14ac:dyDescent="0.25">
      <c r="B11" s="160" t="s">
        <v>301</v>
      </c>
      <c r="C11" s="161"/>
      <c r="D11" s="161"/>
      <c r="E11" s="161"/>
      <c r="F11" s="161"/>
      <c r="G11" s="161"/>
      <c r="H11" s="161"/>
      <c r="I11" s="161"/>
    </row>
    <row r="13" spans="2:10" ht="37.5" customHeight="1" x14ac:dyDescent="0.25"/>
    <row r="24" spans="2:10" ht="18.75" customHeight="1" x14ac:dyDescent="0.25">
      <c r="B24" s="154" t="s">
        <v>302</v>
      </c>
    </row>
    <row r="25" spans="2:10" ht="18.75" customHeight="1" x14ac:dyDescent="0.25">
      <c r="B25" s="154" t="s">
        <v>303</v>
      </c>
    </row>
    <row r="27" spans="2:10" ht="18.75" customHeight="1" x14ac:dyDescent="0.25">
      <c r="B27" s="154" t="s">
        <v>298</v>
      </c>
      <c r="C27" s="154"/>
    </row>
    <row r="28" spans="2:10" ht="18.75" customHeight="1" x14ac:dyDescent="0.25">
      <c r="B28" s="162" t="s">
        <v>299</v>
      </c>
      <c r="C28" s="155"/>
      <c r="D28" s="158" t="s">
        <v>489</v>
      </c>
      <c r="E28" s="155"/>
      <c r="F28" s="155"/>
      <c r="G28" s="155"/>
      <c r="H28" s="155"/>
      <c r="I28" s="155"/>
      <c r="J28" s="155"/>
    </row>
    <row r="30" spans="2:10" ht="18.75" customHeight="1" x14ac:dyDescent="0.25">
      <c r="B30" s="154" t="s">
        <v>305</v>
      </c>
    </row>
    <row r="31" spans="2:10" ht="18.75" customHeight="1" x14ac:dyDescent="0.25">
      <c r="B31" s="163">
        <v>44505</v>
      </c>
      <c r="D31" s="154" t="s">
        <v>304</v>
      </c>
      <c r="E31" s="154" t="s">
        <v>306</v>
      </c>
    </row>
    <row r="32" spans="2:10" ht="18.75" customHeight="1" x14ac:dyDescent="0.25">
      <c r="B32" s="163">
        <v>45544</v>
      </c>
      <c r="D32" s="154" t="s">
        <v>488</v>
      </c>
      <c r="E32" s="154" t="s">
        <v>495</v>
      </c>
    </row>
  </sheetData>
  <hyperlinks>
    <hyperlink ref="B28" r:id="rId1" xr:uid="{40A4140D-87C1-4B66-A3BF-4488F0BBB88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692EA-A9F6-4DCE-8FC4-D9E3002CAF0F}">
  <sheetPr>
    <tabColor theme="9" tint="-0.499984740745262"/>
  </sheetPr>
  <dimension ref="A1:N42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0" sqref="H20"/>
    </sheetView>
  </sheetViews>
  <sheetFormatPr defaultRowHeight="18.75" customHeight="1" x14ac:dyDescent="0.25"/>
  <cols>
    <col min="1" max="1" width="6.7109375" style="239" customWidth="1"/>
    <col min="2" max="6" width="13.5703125" customWidth="1"/>
    <col min="7" max="7" width="14.28515625" customWidth="1"/>
    <col min="8" max="8" width="17.140625" customWidth="1"/>
    <col min="9" max="9" width="11.42578125" customWidth="1"/>
  </cols>
  <sheetData>
    <row r="1" spans="1:9" ht="18.75" customHeight="1" x14ac:dyDescent="0.25">
      <c r="A1" s="25" t="s">
        <v>0</v>
      </c>
      <c r="B1" s="278" t="s">
        <v>1</v>
      </c>
      <c r="C1" s="278"/>
      <c r="D1" s="278"/>
      <c r="E1" s="278"/>
      <c r="F1" s="278"/>
      <c r="G1" s="25" t="s">
        <v>2</v>
      </c>
      <c r="H1" s="25" t="s">
        <v>3</v>
      </c>
      <c r="I1" s="25" t="s">
        <v>4</v>
      </c>
    </row>
    <row r="2" spans="1:9" ht="18.75" customHeight="1" x14ac:dyDescent="0.25">
      <c r="A2" s="166" t="s">
        <v>102</v>
      </c>
      <c r="B2" s="26" t="s">
        <v>103</v>
      </c>
      <c r="C2" s="27"/>
      <c r="D2" s="27"/>
      <c r="E2" s="27"/>
      <c r="F2" s="27"/>
      <c r="G2" s="28"/>
      <c r="H2" s="29"/>
      <c r="I2" s="30"/>
    </row>
    <row r="3" spans="1:9" ht="18.75" customHeight="1" x14ac:dyDescent="0.25">
      <c r="A3" s="167" t="s">
        <v>5</v>
      </c>
      <c r="B3" s="6" t="s">
        <v>6</v>
      </c>
      <c r="C3" s="7"/>
      <c r="D3" s="7"/>
      <c r="E3" s="7"/>
      <c r="F3" s="7"/>
      <c r="G3" s="8"/>
      <c r="H3" s="9"/>
      <c r="I3" s="10"/>
    </row>
    <row r="4" spans="1:9" ht="18.75" customHeight="1" x14ac:dyDescent="0.25">
      <c r="A4" s="169"/>
      <c r="B4" s="11" t="s">
        <v>7</v>
      </c>
      <c r="C4" s="11"/>
      <c r="D4" s="11"/>
      <c r="E4" s="11"/>
      <c r="F4" s="11"/>
      <c r="G4" s="12" t="s">
        <v>8</v>
      </c>
      <c r="H4" s="2">
        <v>30</v>
      </c>
      <c r="I4" s="13" t="s">
        <v>9</v>
      </c>
    </row>
    <row r="5" spans="1:9" ht="18.75" customHeight="1" x14ac:dyDescent="0.25">
      <c r="A5" s="169"/>
      <c r="B5" s="11" t="s">
        <v>10</v>
      </c>
      <c r="C5" s="11"/>
      <c r="D5" s="11"/>
      <c r="E5" s="11"/>
      <c r="F5" s="11"/>
      <c r="G5" s="12" t="s">
        <v>11</v>
      </c>
      <c r="H5" s="2">
        <v>420</v>
      </c>
      <c r="I5" s="13" t="s">
        <v>9</v>
      </c>
    </row>
    <row r="6" spans="1:9" ht="18.75" customHeight="1" x14ac:dyDescent="0.25">
      <c r="A6" s="169"/>
      <c r="B6" s="11" t="s">
        <v>446</v>
      </c>
      <c r="C6" s="11"/>
      <c r="D6" s="11"/>
      <c r="E6" s="11"/>
      <c r="F6" s="11"/>
      <c r="G6" s="12" t="s">
        <v>11</v>
      </c>
      <c r="H6" s="2">
        <v>420</v>
      </c>
      <c r="I6" s="13" t="s">
        <v>9</v>
      </c>
    </row>
    <row r="7" spans="1:9" ht="18.75" customHeight="1" x14ac:dyDescent="0.25">
      <c r="A7" s="169"/>
      <c r="B7" s="11" t="s">
        <v>13</v>
      </c>
      <c r="C7" s="11"/>
      <c r="D7" s="11"/>
      <c r="E7" s="11"/>
      <c r="F7" s="11"/>
      <c r="G7" s="12" t="s">
        <v>14</v>
      </c>
      <c r="H7" s="2">
        <v>200000</v>
      </c>
      <c r="I7" s="13" t="s">
        <v>9</v>
      </c>
    </row>
    <row r="8" spans="1:9" ht="18.75" customHeight="1" x14ac:dyDescent="0.25">
      <c r="A8" s="169"/>
      <c r="B8" s="11"/>
      <c r="C8" s="11"/>
      <c r="D8" s="11"/>
      <c r="E8" s="11"/>
      <c r="F8" s="11"/>
      <c r="G8" s="12"/>
      <c r="H8" s="14"/>
      <c r="I8" s="13"/>
    </row>
    <row r="9" spans="1:9" ht="18.75" customHeight="1" x14ac:dyDescent="0.25">
      <c r="A9" s="167" t="s">
        <v>15</v>
      </c>
      <c r="B9" s="6" t="s">
        <v>16</v>
      </c>
      <c r="C9" s="7"/>
      <c r="D9" s="7"/>
      <c r="E9" s="7"/>
      <c r="F9" s="7"/>
      <c r="G9" s="8"/>
      <c r="H9" s="9"/>
      <c r="I9" s="10"/>
    </row>
    <row r="10" spans="1:9" ht="18.75" customHeight="1" x14ac:dyDescent="0.25">
      <c r="A10" s="169"/>
      <c r="B10" s="89"/>
      <c r="C10" s="11"/>
      <c r="D10" s="11"/>
      <c r="E10" s="11"/>
      <c r="F10" s="11"/>
      <c r="G10" s="12"/>
      <c r="H10" s="14"/>
      <c r="I10" s="13"/>
    </row>
    <row r="11" spans="1:9" ht="18.75" customHeight="1" x14ac:dyDescent="0.25">
      <c r="A11" s="169"/>
      <c r="B11" s="89"/>
      <c r="C11" s="11"/>
      <c r="D11" s="11"/>
      <c r="E11" s="11"/>
      <c r="F11" s="11"/>
      <c r="G11" s="12"/>
      <c r="H11" s="14"/>
      <c r="I11" s="13"/>
    </row>
    <row r="12" spans="1:9" ht="18.75" customHeight="1" x14ac:dyDescent="0.25">
      <c r="A12" s="169"/>
      <c r="B12" s="89"/>
      <c r="C12" s="11"/>
      <c r="D12" s="11"/>
      <c r="E12" s="11"/>
      <c r="F12" s="11"/>
      <c r="G12" s="12"/>
      <c r="H12" s="14"/>
      <c r="I12" s="13"/>
    </row>
    <row r="13" spans="1:9" ht="18.75" customHeight="1" x14ac:dyDescent="0.25">
      <c r="A13" s="169"/>
      <c r="B13" s="89"/>
      <c r="C13" s="11"/>
      <c r="D13" s="11"/>
      <c r="E13" s="11"/>
      <c r="F13" s="11"/>
      <c r="G13" s="12"/>
      <c r="H13" s="14"/>
      <c r="I13" s="13"/>
    </row>
    <row r="14" spans="1:9" ht="18.75" customHeight="1" x14ac:dyDescent="0.25">
      <c r="A14" s="169"/>
      <c r="B14" s="89"/>
      <c r="C14" s="11"/>
      <c r="D14" s="11"/>
      <c r="E14" s="11"/>
      <c r="F14" s="11"/>
      <c r="G14" s="12"/>
      <c r="H14" s="14"/>
      <c r="I14" s="13"/>
    </row>
    <row r="15" spans="1:9" ht="18.75" customHeight="1" x14ac:dyDescent="0.25">
      <c r="A15" s="169"/>
      <c r="B15" s="89"/>
      <c r="C15" s="11"/>
      <c r="D15" s="11"/>
      <c r="E15" s="11"/>
      <c r="F15" s="11"/>
      <c r="G15" s="12"/>
      <c r="H15" s="14"/>
      <c r="I15" s="13"/>
    </row>
    <row r="16" spans="1:9" ht="18.75" customHeight="1" x14ac:dyDescent="0.25">
      <c r="A16" s="169"/>
      <c r="B16" s="89"/>
      <c r="C16" s="11"/>
      <c r="D16" s="11"/>
      <c r="E16" s="11"/>
      <c r="F16" s="11"/>
      <c r="G16" s="12"/>
      <c r="H16" s="14"/>
      <c r="I16" s="13"/>
    </row>
    <row r="17" spans="1:14" ht="18.75" customHeight="1" x14ac:dyDescent="0.25">
      <c r="A17" s="169"/>
      <c r="B17" s="89"/>
      <c r="C17" s="11"/>
      <c r="D17" s="11"/>
      <c r="E17" s="11"/>
      <c r="F17" s="11"/>
      <c r="G17" s="12"/>
      <c r="H17" s="14"/>
      <c r="I17" s="13"/>
    </row>
    <row r="18" spans="1:14" ht="18.75" customHeight="1" x14ac:dyDescent="0.25">
      <c r="A18" s="169"/>
      <c r="B18" s="89"/>
      <c r="C18" s="11"/>
      <c r="D18" s="11"/>
      <c r="E18" s="11"/>
      <c r="F18" s="11"/>
      <c r="G18" s="12"/>
      <c r="H18" s="14"/>
      <c r="I18" s="13"/>
    </row>
    <row r="19" spans="1:14" ht="18.75" customHeight="1" x14ac:dyDescent="0.25">
      <c r="A19" s="169"/>
      <c r="B19" s="89"/>
      <c r="C19" s="11"/>
      <c r="D19" s="11"/>
      <c r="E19" s="11"/>
      <c r="F19" s="11"/>
      <c r="G19" s="12"/>
      <c r="H19" s="14"/>
      <c r="I19" s="13"/>
    </row>
    <row r="20" spans="1:14" ht="18.75" customHeight="1" x14ac:dyDescent="0.25">
      <c r="A20" s="169"/>
      <c r="B20" s="11" t="s">
        <v>17</v>
      </c>
      <c r="C20" s="14"/>
      <c r="D20" s="14"/>
      <c r="E20" s="15"/>
      <c r="F20" s="16"/>
      <c r="G20" s="12" t="s">
        <v>18</v>
      </c>
      <c r="H20" s="4">
        <v>300</v>
      </c>
      <c r="I20" s="13" t="s">
        <v>19</v>
      </c>
    </row>
    <row r="21" spans="1:14" ht="18.75" customHeight="1" x14ac:dyDescent="0.25">
      <c r="A21" s="169"/>
      <c r="B21" s="11" t="s">
        <v>20</v>
      </c>
      <c r="C21" s="14"/>
      <c r="D21" s="14"/>
      <c r="E21" s="15"/>
      <c r="F21" s="16"/>
      <c r="G21" s="12" t="s">
        <v>21</v>
      </c>
      <c r="H21" s="4">
        <v>500</v>
      </c>
      <c r="I21" s="13" t="s">
        <v>19</v>
      </c>
    </row>
    <row r="22" spans="1:14" ht="18.75" customHeight="1" x14ac:dyDescent="0.25">
      <c r="A22" s="169"/>
      <c r="B22" s="11" t="s">
        <v>321</v>
      </c>
      <c r="C22" s="14"/>
      <c r="D22" s="14"/>
      <c r="E22" s="15"/>
      <c r="F22" s="16"/>
      <c r="G22" s="12" t="s">
        <v>322</v>
      </c>
      <c r="H22" s="4">
        <v>22</v>
      </c>
      <c r="I22" s="13" t="s">
        <v>19</v>
      </c>
    </row>
    <row r="23" spans="1:14" ht="18.75" customHeight="1" x14ac:dyDescent="0.25">
      <c r="A23" s="169"/>
      <c r="B23" s="11" t="s">
        <v>320</v>
      </c>
      <c r="C23" s="14"/>
      <c r="D23" s="14"/>
      <c r="E23" s="15"/>
      <c r="F23" s="16"/>
      <c r="G23" s="12" t="s">
        <v>323</v>
      </c>
      <c r="H23" s="4">
        <v>12</v>
      </c>
      <c r="I23" s="13" t="s">
        <v>19</v>
      </c>
    </row>
    <row r="24" spans="1:14" ht="18.75" customHeight="1" x14ac:dyDescent="0.25">
      <c r="A24" s="169"/>
      <c r="B24" s="11" t="s">
        <v>382</v>
      </c>
      <c r="C24" s="14"/>
      <c r="D24" s="14"/>
      <c r="E24" s="15"/>
      <c r="F24" s="16"/>
      <c r="G24" s="12" t="s">
        <v>383</v>
      </c>
      <c r="H24" s="4">
        <v>13</v>
      </c>
      <c r="I24" s="13" t="s">
        <v>19</v>
      </c>
    </row>
    <row r="25" spans="1:14" ht="18.75" customHeight="1" x14ac:dyDescent="0.25">
      <c r="A25" s="169"/>
      <c r="B25" s="11" t="s">
        <v>22</v>
      </c>
      <c r="C25" s="11"/>
      <c r="D25" s="14"/>
      <c r="E25" s="15"/>
      <c r="F25" s="16"/>
      <c r="G25" s="12" t="s">
        <v>324</v>
      </c>
      <c r="H25" s="4">
        <v>40</v>
      </c>
      <c r="I25" s="13" t="s">
        <v>19</v>
      </c>
    </row>
    <row r="26" spans="1:14" ht="18.75" customHeight="1" x14ac:dyDescent="0.25">
      <c r="A26" s="237"/>
      <c r="I26" s="17"/>
    </row>
    <row r="27" spans="1:14" ht="18.75" customHeight="1" x14ac:dyDescent="0.25">
      <c r="A27" s="167" t="s">
        <v>28</v>
      </c>
      <c r="B27" s="6" t="s">
        <v>265</v>
      </c>
      <c r="C27" s="7"/>
      <c r="D27" s="7"/>
      <c r="E27" s="7"/>
      <c r="F27" s="7"/>
      <c r="G27" s="8"/>
      <c r="H27" s="9"/>
      <c r="I27" s="10"/>
    </row>
    <row r="28" spans="1:14" ht="18.75" customHeight="1" x14ac:dyDescent="0.25">
      <c r="A28" s="169"/>
      <c r="B28" s="18" t="s">
        <v>377</v>
      </c>
      <c r="C28" s="14"/>
      <c r="D28" s="14"/>
      <c r="E28" s="12"/>
      <c r="F28" s="19"/>
      <c r="G28" s="19"/>
      <c r="H28" s="19"/>
      <c r="I28" s="13"/>
    </row>
    <row r="29" spans="1:14" ht="18.75" customHeight="1" x14ac:dyDescent="0.25">
      <c r="A29" s="169"/>
      <c r="B29" s="18" t="s">
        <v>263</v>
      </c>
      <c r="C29" s="11"/>
      <c r="D29" s="11"/>
      <c r="E29" s="11"/>
      <c r="F29" s="11"/>
      <c r="G29" s="12" t="s">
        <v>23</v>
      </c>
      <c r="H29" s="2">
        <v>12.6</v>
      </c>
      <c r="I29" s="13" t="s">
        <v>24</v>
      </c>
    </row>
    <row r="30" spans="1:14" ht="18.75" customHeight="1" x14ac:dyDescent="0.25">
      <c r="A30" s="169"/>
      <c r="B30" s="18" t="s">
        <v>264</v>
      </c>
      <c r="C30" s="11"/>
      <c r="D30" s="11"/>
      <c r="E30" s="11"/>
      <c r="F30" s="11"/>
      <c r="G30" s="12" t="s">
        <v>26</v>
      </c>
      <c r="H30" s="2">
        <v>24.2</v>
      </c>
      <c r="I30" s="13" t="s">
        <v>27</v>
      </c>
    </row>
    <row r="31" spans="1:14" ht="18.75" customHeight="1" x14ac:dyDescent="0.25">
      <c r="A31" s="169"/>
      <c r="B31" s="11" t="s">
        <v>427</v>
      </c>
      <c r="C31" s="11"/>
      <c r="D31" s="11"/>
      <c r="E31" s="11"/>
      <c r="F31" s="11"/>
      <c r="G31" s="12"/>
      <c r="H31" s="12"/>
      <c r="I31" s="13"/>
    </row>
    <row r="32" spans="1:14" ht="18.75" customHeight="1" x14ac:dyDescent="0.25">
      <c r="A32" s="169"/>
      <c r="B32" s="128" t="s">
        <v>423</v>
      </c>
      <c r="C32" s="11"/>
      <c r="D32" s="11"/>
      <c r="E32" s="11"/>
      <c r="F32" s="11"/>
      <c r="G32" s="12" t="s">
        <v>425</v>
      </c>
      <c r="H32" s="2">
        <v>68.42</v>
      </c>
      <c r="I32" s="13" t="s">
        <v>24</v>
      </c>
      <c r="N32" t="s">
        <v>289</v>
      </c>
    </row>
    <row r="33" spans="1:10" ht="18.75" customHeight="1" x14ac:dyDescent="0.25">
      <c r="A33" s="169"/>
      <c r="B33" s="128" t="s">
        <v>412</v>
      </c>
      <c r="C33" s="14"/>
      <c r="D33" s="14"/>
      <c r="E33" s="12"/>
      <c r="F33" s="19"/>
      <c r="G33" s="12" t="s">
        <v>378</v>
      </c>
      <c r="H33" s="2">
        <v>143.04</v>
      </c>
      <c r="I33" s="13" t="s">
        <v>27</v>
      </c>
      <c r="J33" s="40" t="s">
        <v>419</v>
      </c>
    </row>
    <row r="34" spans="1:10" ht="18.75" customHeight="1" x14ac:dyDescent="0.25">
      <c r="A34" s="169"/>
      <c r="B34" s="128" t="s">
        <v>413</v>
      </c>
      <c r="C34" s="14"/>
      <c r="D34" s="14"/>
      <c r="E34" s="12"/>
      <c r="F34" s="19"/>
      <c r="G34" s="12" t="s">
        <v>379</v>
      </c>
      <c r="H34" s="3">
        <v>85.53</v>
      </c>
      <c r="I34" s="13" t="s">
        <v>27</v>
      </c>
    </row>
    <row r="35" spans="1:10" ht="18.75" customHeight="1" x14ac:dyDescent="0.25">
      <c r="A35" s="169"/>
      <c r="B35" s="11" t="s">
        <v>427</v>
      </c>
      <c r="C35" s="11"/>
      <c r="D35" s="11"/>
      <c r="E35" s="11"/>
      <c r="F35" s="11"/>
      <c r="G35" s="12"/>
      <c r="H35" s="12"/>
      <c r="I35" s="13"/>
    </row>
    <row r="36" spans="1:10" ht="18.75" customHeight="1" x14ac:dyDescent="0.25">
      <c r="A36" s="169"/>
      <c r="B36" s="128" t="s">
        <v>424</v>
      </c>
      <c r="C36" s="11"/>
      <c r="D36" s="11"/>
      <c r="E36" s="11"/>
      <c r="F36" s="11"/>
      <c r="G36" s="12" t="s">
        <v>426</v>
      </c>
      <c r="H36" s="2">
        <v>47.26</v>
      </c>
      <c r="I36" s="13" t="s">
        <v>24</v>
      </c>
    </row>
    <row r="37" spans="1:10" ht="18.75" customHeight="1" x14ac:dyDescent="0.25">
      <c r="A37" s="169"/>
      <c r="B37" s="128" t="s">
        <v>414</v>
      </c>
      <c r="C37" s="14"/>
      <c r="D37" s="14"/>
      <c r="E37" s="12"/>
      <c r="F37" s="19"/>
      <c r="G37" s="12" t="s">
        <v>380</v>
      </c>
      <c r="H37" s="2">
        <v>143.04</v>
      </c>
      <c r="I37" s="13" t="s">
        <v>27</v>
      </c>
    </row>
    <row r="38" spans="1:10" ht="18.75" customHeight="1" x14ac:dyDescent="0.25">
      <c r="A38" s="169"/>
      <c r="B38" s="128" t="s">
        <v>415</v>
      </c>
      <c r="C38" s="14"/>
      <c r="D38" s="14"/>
      <c r="E38" s="12"/>
      <c r="F38" s="19"/>
      <c r="G38" s="12" t="s">
        <v>381</v>
      </c>
      <c r="H38" s="3">
        <v>85.53</v>
      </c>
      <c r="I38" s="13" t="s">
        <v>27</v>
      </c>
    </row>
    <row r="39" spans="1:10" ht="18.75" customHeight="1" x14ac:dyDescent="0.25">
      <c r="A39" s="169"/>
      <c r="B39" s="18"/>
      <c r="C39" s="14"/>
      <c r="D39" s="14"/>
      <c r="E39" s="12"/>
      <c r="F39" s="19"/>
      <c r="G39" s="12"/>
      <c r="H39" s="12"/>
      <c r="I39" s="13"/>
    </row>
    <row r="40" spans="1:10" ht="18.75" customHeight="1" x14ac:dyDescent="0.25">
      <c r="A40" s="169"/>
      <c r="B40" s="18"/>
      <c r="C40" s="14"/>
      <c r="D40" s="14"/>
      <c r="E40" s="12"/>
      <c r="F40" s="19"/>
      <c r="G40" s="12"/>
      <c r="H40" s="12"/>
      <c r="I40" s="13"/>
    </row>
    <row r="41" spans="1:10" ht="18.75" customHeight="1" x14ac:dyDescent="0.25">
      <c r="A41" s="238"/>
      <c r="B41" s="20"/>
      <c r="C41" s="20"/>
      <c r="D41" s="21"/>
      <c r="E41" s="22"/>
      <c r="F41" s="23"/>
      <c r="G41" s="22"/>
      <c r="H41" s="24"/>
      <c r="I41" s="13"/>
    </row>
    <row r="42" spans="1:10" ht="18.75" customHeight="1" x14ac:dyDescent="0.25">
      <c r="I42" s="206"/>
    </row>
  </sheetData>
  <mergeCells count="1">
    <mergeCell ref="B1:F1"/>
  </mergeCells>
  <phoneticPr fontId="38" type="noConversion"/>
  <dataValidations count="5">
    <dataValidation type="whole" operator="greaterThan" allowBlank="1" showInputMessage="1" showErrorMessage="1" sqref="H20:H21" xr:uid="{236FE4A3-B03B-4381-9D2A-98E7B2DFC187}">
      <formula1>0</formula1>
    </dataValidation>
    <dataValidation type="custom" operator="greaterThanOrEqual" allowBlank="1" showInputMessage="1" showErrorMessage="1" sqref="H37:H38 H32" xr:uid="{CD335B4D-1264-4F86-8D77-E37D2ADD6F39}">
      <formula1>H32:H39&gt;=0</formula1>
    </dataValidation>
    <dataValidation type="custom" operator="greaterThanOrEqual" allowBlank="1" showInputMessage="1" showErrorMessage="1" sqref="H29 H33:H34" xr:uid="{150A2466-87DE-4455-A79B-419CD654BF68}">
      <formula1>H29:H38&gt;=0</formula1>
    </dataValidation>
    <dataValidation type="custom" operator="greaterThanOrEqual" allowBlank="1" showInputMessage="1" showErrorMessage="1" sqref="H30" xr:uid="{EFA270BA-CFD5-425E-B145-2620BFADACE3}">
      <formula1>H30:H41&gt;=0</formula1>
    </dataValidation>
    <dataValidation type="custom" operator="greaterThanOrEqual" allowBlank="1" showInputMessage="1" showErrorMessage="1" sqref="H36" xr:uid="{DA05D336-0ACE-4187-8D63-624CC4E3A5D7}">
      <formula1>H36:H40&gt;=0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417E-3FE7-4418-96A4-60D8B54416B6}">
  <dimension ref="A1:X123"/>
  <sheetViews>
    <sheetView topLeftCell="A43" zoomScaleNormal="100" workbookViewId="0">
      <selection activeCell="V67" sqref="V67"/>
    </sheetView>
  </sheetViews>
  <sheetFormatPr defaultRowHeight="15" x14ac:dyDescent="0.25"/>
  <cols>
    <col min="1" max="3" width="8.7109375" style="99"/>
    <col min="4" max="4" width="11.5703125" style="99" bestFit="1" customWidth="1"/>
    <col min="5" max="19" width="8.7109375" style="99"/>
  </cols>
  <sheetData>
    <row r="1" spans="1:24" x14ac:dyDescent="0.25">
      <c r="A1" s="211"/>
      <c r="B1" s="212" t="s">
        <v>326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4"/>
      <c r="U1" s="214"/>
      <c r="V1" s="214"/>
      <c r="W1" s="214"/>
      <c r="X1" s="215"/>
    </row>
    <row r="2" spans="1:24" x14ac:dyDescent="0.25">
      <c r="A2" s="216"/>
      <c r="X2" s="217"/>
    </row>
    <row r="3" spans="1:24" x14ac:dyDescent="0.25">
      <c r="A3" s="216" t="s">
        <v>373</v>
      </c>
      <c r="B3" s="171">
        <f>60-0.5*$C$4</f>
        <v>30</v>
      </c>
      <c r="C3" s="171">
        <v>10</v>
      </c>
      <c r="X3" s="217"/>
    </row>
    <row r="4" spans="1:24" x14ac:dyDescent="0.25">
      <c r="A4" s="216"/>
      <c r="B4" s="171"/>
      <c r="C4" s="171">
        <f>Input!H20/Input!H21*'Pic database'!C5</f>
        <v>60</v>
      </c>
      <c r="X4" s="217"/>
    </row>
    <row r="5" spans="1:24" x14ac:dyDescent="0.25">
      <c r="A5" s="216"/>
      <c r="B5" s="171">
        <v>0</v>
      </c>
      <c r="C5" s="172">
        <v>100</v>
      </c>
      <c r="X5" s="217"/>
    </row>
    <row r="6" spans="1:24" x14ac:dyDescent="0.25">
      <c r="A6" s="216"/>
      <c r="B6" s="165" t="s">
        <v>353</v>
      </c>
      <c r="C6" s="165" t="s">
        <v>354</v>
      </c>
      <c r="H6" s="99">
        <f>Input!$H$25/Input!$H$21*$C$5</f>
        <v>8</v>
      </c>
      <c r="X6" s="217"/>
    </row>
    <row r="7" spans="1:24" ht="18" x14ac:dyDescent="0.25">
      <c r="A7" s="216"/>
      <c r="B7" s="173">
        <f>B3</f>
        <v>30</v>
      </c>
      <c r="C7" s="174">
        <f>C3</f>
        <v>10</v>
      </c>
      <c r="D7" s="283" t="s">
        <v>327</v>
      </c>
      <c r="G7" s="175"/>
      <c r="H7" s="176" t="s">
        <v>328</v>
      </c>
      <c r="I7" s="176" t="s">
        <v>329</v>
      </c>
      <c r="J7" s="176" t="s">
        <v>330</v>
      </c>
      <c r="K7" s="176" t="s">
        <v>328</v>
      </c>
      <c r="L7" s="176" t="s">
        <v>329</v>
      </c>
      <c r="M7" s="176" t="s">
        <v>330</v>
      </c>
      <c r="P7" s="175"/>
      <c r="Q7" s="176" t="s">
        <v>328</v>
      </c>
      <c r="R7" s="176" t="s">
        <v>329</v>
      </c>
      <c r="S7" s="176" t="s">
        <v>330</v>
      </c>
      <c r="T7" s="176" t="s">
        <v>328</v>
      </c>
      <c r="U7" s="176" t="s">
        <v>329</v>
      </c>
      <c r="V7" s="176" t="s">
        <v>330</v>
      </c>
      <c r="W7" s="99"/>
      <c r="X7" s="217"/>
    </row>
    <row r="8" spans="1:24" x14ac:dyDescent="0.25">
      <c r="A8" s="216"/>
      <c r="B8" s="177">
        <f>B3</f>
        <v>30</v>
      </c>
      <c r="C8" s="178">
        <f>C10</f>
        <v>110</v>
      </c>
      <c r="D8" s="283"/>
      <c r="G8" s="176" t="s">
        <v>331</v>
      </c>
      <c r="H8" s="179">
        <f>Input!$H$25/Input!$H$21*$C$5</f>
        <v>8</v>
      </c>
      <c r="I8" s="180"/>
      <c r="J8" s="180"/>
      <c r="K8" s="180"/>
      <c r="L8" s="180"/>
      <c r="M8" s="180"/>
      <c r="P8" s="176" t="s">
        <v>331</v>
      </c>
      <c r="Q8" s="179">
        <f>Input!$H$25/Input!$H$21*$C$5</f>
        <v>8</v>
      </c>
      <c r="R8" s="180"/>
      <c r="S8" s="180"/>
      <c r="T8" s="180"/>
      <c r="U8" s="180"/>
      <c r="V8" s="180"/>
      <c r="W8" s="99"/>
      <c r="X8" s="217"/>
    </row>
    <row r="9" spans="1:24" x14ac:dyDescent="0.25">
      <c r="A9" s="216"/>
      <c r="B9" s="173">
        <f>C4+B3</f>
        <v>90</v>
      </c>
      <c r="C9" s="174">
        <f>C3</f>
        <v>10</v>
      </c>
      <c r="D9" s="283" t="s">
        <v>332</v>
      </c>
      <c r="G9" s="176" t="s">
        <v>333</v>
      </c>
      <c r="H9" s="179">
        <f>IF(Process!$D$387=1,0,($C$4-2*$H$8)/(Process!$D$387-1))</f>
        <v>14.666666666666666</v>
      </c>
      <c r="I9" s="179">
        <f>IF(Process!$D$388=1,0,($C$4-2*$H$8)/(Process!$D$388-1))</f>
        <v>-44</v>
      </c>
      <c r="J9" s="179">
        <f>IF(Process!$D$389=1,0,($C$4-2*$H$8)/(Process!$D$389-1))</f>
        <v>-44</v>
      </c>
      <c r="K9" s="179">
        <f>IF(Process!$H$387=1,0,($C$4-2*$H$8)/(Process!$H$387-1))</f>
        <v>22</v>
      </c>
      <c r="L9" s="179">
        <f>IF(Process!$H$388=1,0,($C$4-2*$H$8)/(Process!$H$388-1))</f>
        <v>-44</v>
      </c>
      <c r="M9" s="179">
        <f>IF(Process!$H$389=1,0,($C$4-2*$H$8)/(Process!$H$389-1))</f>
        <v>-44</v>
      </c>
      <c r="P9" s="176" t="s">
        <v>333</v>
      </c>
      <c r="Q9" s="179">
        <f>IF(Process!$D$419=1,0,($C$4-2*$H$8)/(Process!$D$419-1))</f>
        <v>22</v>
      </c>
      <c r="R9" s="179">
        <f>IF(Process!$D$420=1,0,($C$4-2*$H$8)/(Process!$D$420-1))</f>
        <v>-44</v>
      </c>
      <c r="S9" s="179">
        <f>IF(Process!$D$421=1,0,($C$4-2*$H$8)/(Process!$D$421-1))</f>
        <v>-44</v>
      </c>
      <c r="T9" s="179">
        <f>IF(Process!$H$419=1,0,($C$4-2*$H$8)/(Process!$H$419-1))</f>
        <v>14.666666666666666</v>
      </c>
      <c r="U9" s="179">
        <f>IF(Process!$H$420=1,0,($C$4-2*$H$8)/(Process!$H$420-1))</f>
        <v>-44</v>
      </c>
      <c r="V9" s="179">
        <f>IF(Process!$H$421=1,0,($C$4-2*$H$8)/(Process!$H$421-1))</f>
        <v>-44</v>
      </c>
      <c r="W9" s="99"/>
      <c r="X9" s="217"/>
    </row>
    <row r="10" spans="1:24" x14ac:dyDescent="0.25">
      <c r="A10" s="216"/>
      <c r="B10" s="177">
        <f>C4+B3</f>
        <v>90</v>
      </c>
      <c r="C10" s="178">
        <f>C5+C3</f>
        <v>110</v>
      </c>
      <c r="D10" s="283"/>
      <c r="G10" s="176" t="s">
        <v>334</v>
      </c>
      <c r="H10" s="181">
        <f>Process!$H$21/Input!$H$21*$C$5</f>
        <v>9.4</v>
      </c>
      <c r="I10" s="182"/>
      <c r="J10" s="181"/>
      <c r="K10" s="181"/>
      <c r="L10" s="181"/>
      <c r="M10" s="181"/>
      <c r="P10" s="176" t="s">
        <v>334</v>
      </c>
      <c r="Q10" s="181">
        <f>Process!$H$21/Input!$H$21*$C$5</f>
        <v>9.4</v>
      </c>
      <c r="R10" s="182"/>
      <c r="S10" s="181"/>
      <c r="T10" s="181"/>
      <c r="U10" s="181"/>
      <c r="V10" s="181"/>
      <c r="W10" s="99"/>
      <c r="X10" s="217"/>
    </row>
    <row r="11" spans="1:24" x14ac:dyDescent="0.25">
      <c r="A11" s="216"/>
      <c r="B11" s="173">
        <f>B7</f>
        <v>30</v>
      </c>
      <c r="C11" s="183">
        <f>C10</f>
        <v>110</v>
      </c>
      <c r="D11" s="283" t="s">
        <v>335</v>
      </c>
      <c r="H11" s="179">
        <f>IF(Input!$H$20/$C$4*H9&lt;0,"",Input!$H$20/$C$4*H9)</f>
        <v>73.333333333333329</v>
      </c>
      <c r="I11" s="179" t="str">
        <f>IF(Input!$H$20/$C$4*I9&lt;0,"",Input!$H$20/$C$4*I9)</f>
        <v/>
      </c>
      <c r="J11" s="179" t="str">
        <f>IF(Input!$H$20/$C$4*J9&lt;0,"",Input!$H$20/$C$4*J9)</f>
        <v/>
      </c>
      <c r="K11" s="179">
        <f>IF(Input!$H$20/$C$4*K9&lt;0,"",Input!$H$20/$C$4*K9)</f>
        <v>110</v>
      </c>
      <c r="L11" s="179" t="str">
        <f>IF(Input!$H$20/$C$4*L9&lt;0,"",Input!$H$20/$C$4*L9)</f>
        <v/>
      </c>
      <c r="M11" s="179" t="str">
        <f>IF(Input!$H$20/$C$4*M9&lt;0,"",Input!$H$20/$C$4*M9)</f>
        <v/>
      </c>
      <c r="N11" s="184">
        <f>MIN(H11:M11)</f>
        <v>73.333333333333329</v>
      </c>
      <c r="Q11" s="179">
        <f>IF(Input!$H$20/$C$4*Q9&lt;0,"",Input!$H$20/$C$4*Q9)</f>
        <v>110</v>
      </c>
      <c r="R11" s="179" t="str">
        <f>IF(Input!$H$20/$C$4*R9&lt;0,"",Input!$H$20/$C$4*R9)</f>
        <v/>
      </c>
      <c r="S11" s="179" t="str">
        <f>IF(Input!$H$20/$C$4*S9&lt;0,"",Input!$H$20/$C$4*S9)</f>
        <v/>
      </c>
      <c r="T11" s="179">
        <f>IF(Input!$H$20/$C$4*T9&lt;0,"",Input!$H$20/$C$4*T9)</f>
        <v>73.333333333333329</v>
      </c>
      <c r="U11" s="179" t="str">
        <f>IF(Input!$H$20/$C$4*U9&lt;0,"",Input!$H$20/$C$4*U9)</f>
        <v/>
      </c>
      <c r="V11" s="179" t="str">
        <f>IF(Input!$H$20/$C$4*V9&lt;0,"",Input!$H$20/$C$4*V9)</f>
        <v/>
      </c>
      <c r="W11" s="184">
        <f>MIN(Q11:V11)</f>
        <v>73.333333333333329</v>
      </c>
      <c r="X11" s="217"/>
    </row>
    <row r="12" spans="1:24" x14ac:dyDescent="0.25">
      <c r="A12" s="216"/>
      <c r="B12" s="177">
        <f>B10</f>
        <v>90</v>
      </c>
      <c r="C12" s="178">
        <f>C11</f>
        <v>110</v>
      </c>
      <c r="D12" s="283"/>
      <c r="X12" s="217"/>
    </row>
    <row r="13" spans="1:24" x14ac:dyDescent="0.25">
      <c r="A13" s="216"/>
      <c r="B13" s="173">
        <f>B11</f>
        <v>30</v>
      </c>
      <c r="C13" s="174">
        <f>C3</f>
        <v>10</v>
      </c>
      <c r="D13" s="283" t="s">
        <v>336</v>
      </c>
      <c r="X13" s="217"/>
    </row>
    <row r="14" spans="1:24" x14ac:dyDescent="0.25">
      <c r="A14" s="216"/>
      <c r="B14" s="177">
        <f>B12</f>
        <v>90</v>
      </c>
      <c r="C14" s="185">
        <f>C3</f>
        <v>10</v>
      </c>
      <c r="D14" s="283"/>
      <c r="X14" s="217"/>
    </row>
    <row r="15" spans="1:24" x14ac:dyDescent="0.25">
      <c r="A15" s="216"/>
      <c r="X15" s="217"/>
    </row>
    <row r="16" spans="1:24" x14ac:dyDescent="0.25">
      <c r="A16" s="216"/>
      <c r="B16" s="119" t="s">
        <v>355</v>
      </c>
      <c r="M16" s="119" t="s">
        <v>375</v>
      </c>
      <c r="T16" s="99"/>
      <c r="U16" s="99"/>
      <c r="X16" s="217"/>
    </row>
    <row r="17" spans="1:24" ht="18" x14ac:dyDescent="0.25">
      <c r="A17" s="216" t="s">
        <v>369</v>
      </c>
      <c r="B17" s="186" t="s">
        <v>328</v>
      </c>
      <c r="C17" s="187" t="s">
        <v>333</v>
      </c>
      <c r="D17" s="188" t="s">
        <v>334</v>
      </c>
      <c r="E17" s="186" t="s">
        <v>337</v>
      </c>
      <c r="F17" s="187" t="s">
        <v>333</v>
      </c>
      <c r="G17" s="188" t="s">
        <v>334</v>
      </c>
      <c r="H17" s="186" t="s">
        <v>338</v>
      </c>
      <c r="I17" s="187" t="s">
        <v>333</v>
      </c>
      <c r="J17" s="188" t="s">
        <v>334</v>
      </c>
      <c r="L17" s="99" t="s">
        <v>369</v>
      </c>
      <c r="M17" s="186" t="s">
        <v>328</v>
      </c>
      <c r="N17" s="187" t="s">
        <v>333</v>
      </c>
      <c r="O17" s="188" t="s">
        <v>334</v>
      </c>
      <c r="P17" s="186" t="s">
        <v>337</v>
      </c>
      <c r="Q17" s="187" t="s">
        <v>333</v>
      </c>
      <c r="R17" s="188" t="s">
        <v>334</v>
      </c>
      <c r="S17" s="186" t="s">
        <v>338</v>
      </c>
      <c r="T17" s="187" t="s">
        <v>333</v>
      </c>
      <c r="U17" s="188" t="s">
        <v>334</v>
      </c>
      <c r="X17" s="217"/>
    </row>
    <row r="18" spans="1:24" x14ac:dyDescent="0.25">
      <c r="A18" s="216"/>
      <c r="B18" s="189">
        <v>1</v>
      </c>
      <c r="C18" s="190">
        <f>$B$7+$H$8</f>
        <v>38</v>
      </c>
      <c r="D18" s="191">
        <f>IF(Process!$D$387&gt;B18-1,$C$8-$H$8,-100)</f>
        <v>102</v>
      </c>
      <c r="E18" s="189">
        <v>1</v>
      </c>
      <c r="F18" s="190">
        <f>$B$7+$H$8</f>
        <v>38</v>
      </c>
      <c r="G18" s="191">
        <f>IF(Process!$D$388&gt;=E18,$C$8-$H$8-$H$10,-100)</f>
        <v>-100</v>
      </c>
      <c r="H18" s="189">
        <v>1</v>
      </c>
      <c r="I18" s="190">
        <f>$B$7+$H$8</f>
        <v>38</v>
      </c>
      <c r="J18" s="191">
        <f>IF(Process!$D$389&gt;=H18,$C$8-$H$8-2*$H$10,-100)</f>
        <v>-100</v>
      </c>
      <c r="M18" s="189">
        <v>1</v>
      </c>
      <c r="N18" s="190">
        <f>$B$7+$H$8</f>
        <v>38</v>
      </c>
      <c r="O18" s="191">
        <f>IF(Process!$D$419&gt;M18-1,$C$8-$H$8,-100)</f>
        <v>102</v>
      </c>
      <c r="P18" s="189">
        <v>1</v>
      </c>
      <c r="Q18" s="190">
        <f>$B$7+$H$8</f>
        <v>38</v>
      </c>
      <c r="R18" s="191">
        <f>IF(Process!$D$420&gt;=P18,$C$8-$H$8-$Q$10,-100)</f>
        <v>-100</v>
      </c>
      <c r="S18" s="189">
        <v>1</v>
      </c>
      <c r="T18" s="190">
        <f>$B$7+$H$8</f>
        <v>38</v>
      </c>
      <c r="U18" s="191">
        <f>IF(Process!$D$421&gt;=S18,$C$8-$H$8-2*$Q$10,-100)</f>
        <v>-100</v>
      </c>
      <c r="X18" s="217"/>
    </row>
    <row r="19" spans="1:24" x14ac:dyDescent="0.25">
      <c r="A19" s="216"/>
      <c r="B19" s="189">
        <v>2</v>
      </c>
      <c r="C19" s="190">
        <f>IF(D19&gt;=0,$C$18+B18*$H$9,-100)</f>
        <v>52.666666666666664</v>
      </c>
      <c r="D19" s="191">
        <f>IF(Process!$D$387&gt;=B19,$D$18,-100)</f>
        <v>102</v>
      </c>
      <c r="E19" s="189">
        <v>2</v>
      </c>
      <c r="F19" s="190">
        <f>IF(G19&gt;=0,$F$18+E18*$I$9,-100)</f>
        <v>-100</v>
      </c>
      <c r="G19" s="191">
        <f>IF(Process!$D$388&gt;=E19,$G$18,-100)</f>
        <v>-100</v>
      </c>
      <c r="H19" s="189">
        <v>2</v>
      </c>
      <c r="I19" s="190">
        <f>IF(J19&gt;=0,$I$18+H18*$J$9,-100)</f>
        <v>-100</v>
      </c>
      <c r="J19" s="191">
        <f>IF(Process!$D$389&gt;=H19,$J$18,-100)</f>
        <v>-100</v>
      </c>
      <c r="M19" s="189">
        <v>2</v>
      </c>
      <c r="N19" s="190">
        <f>IF(O19&gt;=0,$N$18+M18*$Q$9,-100)</f>
        <v>60</v>
      </c>
      <c r="O19" s="191">
        <f>IF(Process!$D$419&gt;=M19,$O$18,-100)</f>
        <v>102</v>
      </c>
      <c r="P19" s="189">
        <v>2</v>
      </c>
      <c r="Q19" s="190">
        <f>IF(R19&gt;=0,$Q$18+P18*$R$9,-100)</f>
        <v>-100</v>
      </c>
      <c r="R19" s="191">
        <f>IF(Process!$D$420&gt;=P19,$R$18,-100)</f>
        <v>-100</v>
      </c>
      <c r="S19" s="189">
        <v>2</v>
      </c>
      <c r="T19" s="190">
        <f>IF(U19&gt;=0,$T$18+S18*$S$9,-100)</f>
        <v>-100</v>
      </c>
      <c r="U19" s="191">
        <f>IF(Process!$D$421&gt;=S19,$U$18,-100)</f>
        <v>-100</v>
      </c>
      <c r="X19" s="217"/>
    </row>
    <row r="20" spans="1:24" x14ac:dyDescent="0.25">
      <c r="A20" s="216"/>
      <c r="B20" s="189">
        <v>3</v>
      </c>
      <c r="C20" s="190">
        <f t="shared" ref="C20:C27" si="0">IF(D20&gt;=0,$C$18+B19*$H$9,-100)</f>
        <v>67.333333333333329</v>
      </c>
      <c r="D20" s="191">
        <f>IF(Process!$D$387&gt;=B20,$D$18,-100)</f>
        <v>102</v>
      </c>
      <c r="E20" s="189">
        <v>3</v>
      </c>
      <c r="F20" s="190">
        <f t="shared" ref="F20:F27" si="1">IF(G20&gt;=0,$F$18+E19*$I$9,-100)</f>
        <v>-100</v>
      </c>
      <c r="G20" s="191">
        <f>IF(Process!$D$388&gt;=E20,$G$18,-100)</f>
        <v>-100</v>
      </c>
      <c r="H20" s="189">
        <v>3</v>
      </c>
      <c r="I20" s="190">
        <f t="shared" ref="I20:I27" si="2">IF(J20&gt;=0,$I$18+H19*$J$9,-100)</f>
        <v>-100</v>
      </c>
      <c r="J20" s="191">
        <f>IF(Process!$D$389&gt;=H20,$J$18,-100)</f>
        <v>-100</v>
      </c>
      <c r="M20" s="189">
        <v>3</v>
      </c>
      <c r="N20" s="190">
        <f t="shared" ref="N20:N27" si="3">IF(O20&gt;=0,$N$18+M19*$Q$9,-100)</f>
        <v>82</v>
      </c>
      <c r="O20" s="191">
        <f>IF(Process!$D$419&gt;=M20,$O$18,-100)</f>
        <v>102</v>
      </c>
      <c r="P20" s="189">
        <v>3</v>
      </c>
      <c r="Q20" s="190">
        <f t="shared" ref="Q20:Q27" si="4">IF(R20&gt;=0,$Q$18+P19*$R$9,-100)</f>
        <v>-100</v>
      </c>
      <c r="R20" s="191">
        <f>IF(Process!$D$420&gt;=P20,$R$18,-100)</f>
        <v>-100</v>
      </c>
      <c r="S20" s="189">
        <v>3</v>
      </c>
      <c r="T20" s="190">
        <f t="shared" ref="T20:T27" si="5">IF(U20&gt;=0,$T$18+S19*$S$9,-100)</f>
        <v>-100</v>
      </c>
      <c r="U20" s="191">
        <f>IF(Process!$D$421&gt;=S20,$U$18,-100)</f>
        <v>-100</v>
      </c>
      <c r="X20" s="217"/>
    </row>
    <row r="21" spans="1:24" x14ac:dyDescent="0.25">
      <c r="A21" s="216"/>
      <c r="B21" s="189">
        <v>4</v>
      </c>
      <c r="C21" s="190">
        <f t="shared" si="0"/>
        <v>82</v>
      </c>
      <c r="D21" s="191">
        <f>IF(Process!$D$387&gt;=B21,$D$18,-100)</f>
        <v>102</v>
      </c>
      <c r="E21" s="189">
        <v>4</v>
      </c>
      <c r="F21" s="190">
        <f t="shared" si="1"/>
        <v>-100</v>
      </c>
      <c r="G21" s="191">
        <f>IF(Process!$D$388&gt;=E21,$G$18,-100)</f>
        <v>-100</v>
      </c>
      <c r="H21" s="189">
        <v>4</v>
      </c>
      <c r="I21" s="190">
        <f t="shared" si="2"/>
        <v>-100</v>
      </c>
      <c r="J21" s="191">
        <f>IF(Process!$D$389&gt;=H21,$J$18,-100)</f>
        <v>-100</v>
      </c>
      <c r="M21" s="189">
        <v>4</v>
      </c>
      <c r="N21" s="190">
        <f t="shared" si="3"/>
        <v>-100</v>
      </c>
      <c r="O21" s="191">
        <f>IF(Process!$D$419&gt;=M21,$O$18,-100)</f>
        <v>-100</v>
      </c>
      <c r="P21" s="189">
        <v>4</v>
      </c>
      <c r="Q21" s="190">
        <f t="shared" si="4"/>
        <v>-100</v>
      </c>
      <c r="R21" s="191">
        <f>IF(Process!$D$420&gt;=P21,$R$18,-100)</f>
        <v>-100</v>
      </c>
      <c r="S21" s="189">
        <v>4</v>
      </c>
      <c r="T21" s="190">
        <f t="shared" si="5"/>
        <v>-100</v>
      </c>
      <c r="U21" s="191">
        <f>IF(Process!$D$421&gt;=S21,$U$18,-100)</f>
        <v>-100</v>
      </c>
      <c r="X21" s="217"/>
    </row>
    <row r="22" spans="1:24" x14ac:dyDescent="0.25">
      <c r="A22" s="216"/>
      <c r="B22" s="189">
        <v>5</v>
      </c>
      <c r="C22" s="190">
        <f t="shared" si="0"/>
        <v>-100</v>
      </c>
      <c r="D22" s="191">
        <f>IF(Process!$D$387&gt;=B22,$D$18,-100)</f>
        <v>-100</v>
      </c>
      <c r="E22" s="189">
        <v>5</v>
      </c>
      <c r="F22" s="190">
        <f t="shared" si="1"/>
        <v>-100</v>
      </c>
      <c r="G22" s="191">
        <f>IF(Process!$D$388&gt;=E22,$G$18,-100)</f>
        <v>-100</v>
      </c>
      <c r="H22" s="189">
        <v>5</v>
      </c>
      <c r="I22" s="190">
        <f t="shared" si="2"/>
        <v>-100</v>
      </c>
      <c r="J22" s="191">
        <f>IF(Process!$D$389&gt;=H22,$J$18,-100)</f>
        <v>-100</v>
      </c>
      <c r="M22" s="189">
        <v>5</v>
      </c>
      <c r="N22" s="190">
        <f t="shared" si="3"/>
        <v>-100</v>
      </c>
      <c r="O22" s="191">
        <f>IF(Process!$D$419&gt;=M22,$O$18,-100)</f>
        <v>-100</v>
      </c>
      <c r="P22" s="189">
        <v>5</v>
      </c>
      <c r="Q22" s="190">
        <f t="shared" si="4"/>
        <v>-100</v>
      </c>
      <c r="R22" s="191">
        <f>IF(Process!$D$420&gt;=P22,$R$18,-100)</f>
        <v>-100</v>
      </c>
      <c r="S22" s="189">
        <v>5</v>
      </c>
      <c r="T22" s="190">
        <f t="shared" si="5"/>
        <v>-100</v>
      </c>
      <c r="U22" s="191">
        <f>IF(Process!$D$421&gt;=S22,$U$18,-100)</f>
        <v>-100</v>
      </c>
      <c r="X22" s="217"/>
    </row>
    <row r="23" spans="1:24" x14ac:dyDescent="0.25">
      <c r="A23" s="218"/>
      <c r="B23" s="189">
        <v>6</v>
      </c>
      <c r="C23" s="190">
        <f t="shared" si="0"/>
        <v>-100</v>
      </c>
      <c r="D23" s="191">
        <f>IF(Process!$D$387&gt;=B23,$D$18,-100)</f>
        <v>-100</v>
      </c>
      <c r="E23" s="189">
        <v>6</v>
      </c>
      <c r="F23" s="190">
        <f t="shared" si="1"/>
        <v>-100</v>
      </c>
      <c r="G23" s="191">
        <f>IF(Process!$D$388&gt;=E23,$G$18,-100)</f>
        <v>-100</v>
      </c>
      <c r="H23" s="189">
        <v>6</v>
      </c>
      <c r="I23" s="190">
        <f t="shared" si="2"/>
        <v>-100</v>
      </c>
      <c r="J23" s="191">
        <f>IF(Process!$D$389&gt;=H23,$J$18,-100)</f>
        <v>-100</v>
      </c>
      <c r="K23"/>
      <c r="L23"/>
      <c r="M23" s="189">
        <v>6</v>
      </c>
      <c r="N23" s="190">
        <f t="shared" si="3"/>
        <v>-100</v>
      </c>
      <c r="O23" s="191">
        <f>IF(Process!$D$419&gt;=M23,$O$18,-100)</f>
        <v>-100</v>
      </c>
      <c r="P23" s="189">
        <v>6</v>
      </c>
      <c r="Q23" s="190">
        <f t="shared" si="4"/>
        <v>-100</v>
      </c>
      <c r="R23" s="191">
        <f>IF(Process!$D$420&gt;=P23,$R$18,-100)</f>
        <v>-100</v>
      </c>
      <c r="S23" s="189">
        <v>6</v>
      </c>
      <c r="T23" s="190">
        <f t="shared" si="5"/>
        <v>-100</v>
      </c>
      <c r="U23" s="191">
        <f>IF(Process!$D$421&gt;=S23,$U$18,-100)</f>
        <v>-100</v>
      </c>
      <c r="X23" s="217"/>
    </row>
    <row r="24" spans="1:24" x14ac:dyDescent="0.25">
      <c r="A24" s="218"/>
      <c r="B24" s="189">
        <v>7</v>
      </c>
      <c r="C24" s="190">
        <f t="shared" si="0"/>
        <v>-100</v>
      </c>
      <c r="D24" s="191">
        <f>IF(Process!$D$387&gt;=B24,$D$18,-100)</f>
        <v>-100</v>
      </c>
      <c r="E24" s="189">
        <v>7</v>
      </c>
      <c r="F24" s="190">
        <f t="shared" si="1"/>
        <v>-100</v>
      </c>
      <c r="G24" s="191">
        <f>IF(Process!$D$388&gt;=E24,$G$18,-100)</f>
        <v>-100</v>
      </c>
      <c r="H24" s="189">
        <v>7</v>
      </c>
      <c r="I24" s="190">
        <f t="shared" si="2"/>
        <v>-100</v>
      </c>
      <c r="J24" s="191">
        <f>IF(Process!$D$389&gt;=H24,$J$18,-100)</f>
        <v>-100</v>
      </c>
      <c r="K24"/>
      <c r="L24"/>
      <c r="M24" s="189">
        <v>7</v>
      </c>
      <c r="N24" s="190">
        <f t="shared" si="3"/>
        <v>-100</v>
      </c>
      <c r="O24" s="191">
        <f>IF(Process!$D$419&gt;=M24,$O$18,-100)</f>
        <v>-100</v>
      </c>
      <c r="P24" s="189">
        <v>7</v>
      </c>
      <c r="Q24" s="190">
        <f t="shared" si="4"/>
        <v>-100</v>
      </c>
      <c r="R24" s="191">
        <f>IF(Process!$D$420&gt;=P24,$R$18,-100)</f>
        <v>-100</v>
      </c>
      <c r="S24" s="189">
        <v>7</v>
      </c>
      <c r="T24" s="190">
        <f t="shared" si="5"/>
        <v>-100</v>
      </c>
      <c r="U24" s="191">
        <f>IF(Process!$D$421&gt;=S24,$U$18,-100)</f>
        <v>-100</v>
      </c>
      <c r="X24" s="217"/>
    </row>
    <row r="25" spans="1:24" x14ac:dyDescent="0.25">
      <c r="A25" s="218"/>
      <c r="B25" s="189">
        <v>8</v>
      </c>
      <c r="C25" s="190">
        <f t="shared" si="0"/>
        <v>-100</v>
      </c>
      <c r="D25" s="191">
        <f>IF(Process!$D$387&gt;=B25,$D$18,-100)</f>
        <v>-100</v>
      </c>
      <c r="E25" s="189">
        <v>8</v>
      </c>
      <c r="F25" s="190">
        <f t="shared" si="1"/>
        <v>-100</v>
      </c>
      <c r="G25" s="191">
        <f>IF(Process!$D$388&gt;=E25,$G$18,-100)</f>
        <v>-100</v>
      </c>
      <c r="H25" s="189">
        <v>8</v>
      </c>
      <c r="I25" s="190">
        <f t="shared" si="2"/>
        <v>-100</v>
      </c>
      <c r="J25" s="191">
        <f>IF(Process!$D$389&gt;=H25,$J$18,-100)</f>
        <v>-100</v>
      </c>
      <c r="K25"/>
      <c r="L25"/>
      <c r="M25" s="189">
        <v>8</v>
      </c>
      <c r="N25" s="190">
        <f t="shared" si="3"/>
        <v>-100</v>
      </c>
      <c r="O25" s="191">
        <f>IF(Process!$D$419&gt;=M25,$O$18,-100)</f>
        <v>-100</v>
      </c>
      <c r="P25" s="189">
        <v>8</v>
      </c>
      <c r="Q25" s="190">
        <f t="shared" si="4"/>
        <v>-100</v>
      </c>
      <c r="R25" s="191">
        <f>IF(Process!$D$420&gt;=P25,$R$18,-100)</f>
        <v>-100</v>
      </c>
      <c r="S25" s="189">
        <v>8</v>
      </c>
      <c r="T25" s="190">
        <f t="shared" si="5"/>
        <v>-100</v>
      </c>
      <c r="U25" s="191">
        <f>IF(Process!$D$421&gt;=S25,$U$18,-100)</f>
        <v>-100</v>
      </c>
      <c r="X25" s="217"/>
    </row>
    <row r="26" spans="1:24" x14ac:dyDescent="0.25">
      <c r="A26" s="218"/>
      <c r="B26" s="189">
        <v>9</v>
      </c>
      <c r="C26" s="190">
        <f t="shared" si="0"/>
        <v>-100</v>
      </c>
      <c r="D26" s="191">
        <f>IF(Process!$D$387&gt;=B26,$D$18,-100)</f>
        <v>-100</v>
      </c>
      <c r="E26" s="189">
        <v>9</v>
      </c>
      <c r="F26" s="190">
        <f t="shared" si="1"/>
        <v>-100</v>
      </c>
      <c r="G26" s="191">
        <f>IF(Process!$D$388&gt;=E26,$G$18,-100)</f>
        <v>-100</v>
      </c>
      <c r="H26" s="189">
        <v>9</v>
      </c>
      <c r="I26" s="190">
        <f t="shared" si="2"/>
        <v>-100</v>
      </c>
      <c r="J26" s="191">
        <f>IF(Process!$D$389&gt;=H26,$J$18,-100)</f>
        <v>-100</v>
      </c>
      <c r="K26"/>
      <c r="L26"/>
      <c r="M26" s="189">
        <v>9</v>
      </c>
      <c r="N26" s="190">
        <f t="shared" si="3"/>
        <v>-100</v>
      </c>
      <c r="O26" s="191">
        <f>IF(Process!$D$419&gt;=M26,$O$18,-100)</f>
        <v>-100</v>
      </c>
      <c r="P26" s="189">
        <v>9</v>
      </c>
      <c r="Q26" s="190">
        <f t="shared" si="4"/>
        <v>-100</v>
      </c>
      <c r="R26" s="191">
        <f>IF(Process!$D$420&gt;=P26,$R$18,-100)</f>
        <v>-100</v>
      </c>
      <c r="S26" s="189">
        <v>9</v>
      </c>
      <c r="T26" s="190">
        <f t="shared" si="5"/>
        <v>-100</v>
      </c>
      <c r="U26" s="191">
        <f>IF(Process!$D$421&gt;=S26,$U$18,-100)</f>
        <v>-100</v>
      </c>
      <c r="X26" s="217"/>
    </row>
    <row r="27" spans="1:24" x14ac:dyDescent="0.25">
      <c r="A27" s="216"/>
      <c r="B27" s="177">
        <v>10</v>
      </c>
      <c r="C27" s="190">
        <f t="shared" si="0"/>
        <v>-100</v>
      </c>
      <c r="D27" s="191">
        <f>IF(Process!$D$387&gt;=B27,$D$18,-100)</f>
        <v>-100</v>
      </c>
      <c r="E27" s="177">
        <v>10</v>
      </c>
      <c r="F27" s="190">
        <f t="shared" si="1"/>
        <v>-100</v>
      </c>
      <c r="G27" s="191">
        <f>IF(Process!$D$388&gt;=E27,$G$18,-100)</f>
        <v>-100</v>
      </c>
      <c r="H27" s="177">
        <v>10</v>
      </c>
      <c r="I27" s="190">
        <f t="shared" si="2"/>
        <v>-100</v>
      </c>
      <c r="J27" s="191">
        <f>IF(Process!$D$389&gt;=H27,$J$18,-100)</f>
        <v>-100</v>
      </c>
      <c r="M27" s="177">
        <v>10</v>
      </c>
      <c r="N27" s="190">
        <f t="shared" si="3"/>
        <v>-100</v>
      </c>
      <c r="O27" s="191">
        <f>IF(Process!$D$419&gt;=M27,$O$18,-100)</f>
        <v>-100</v>
      </c>
      <c r="P27" s="177">
        <v>10</v>
      </c>
      <c r="Q27" s="190">
        <f t="shared" si="4"/>
        <v>-100</v>
      </c>
      <c r="R27" s="191">
        <f>IF(Process!$D$420&gt;=P27,$R$18,-100)</f>
        <v>-100</v>
      </c>
      <c r="S27" s="177">
        <v>10</v>
      </c>
      <c r="T27" s="190">
        <f t="shared" si="5"/>
        <v>-100</v>
      </c>
      <c r="U27" s="191">
        <f>IF(Process!$D$421&gt;=S27,$U$18,-100)</f>
        <v>-100</v>
      </c>
      <c r="X27" s="217"/>
    </row>
    <row r="28" spans="1:24" ht="18" x14ac:dyDescent="0.25">
      <c r="A28" s="216" t="s">
        <v>370</v>
      </c>
      <c r="B28" s="186" t="s">
        <v>328</v>
      </c>
      <c r="C28" s="187" t="s">
        <v>333</v>
      </c>
      <c r="D28" s="188" t="s">
        <v>334</v>
      </c>
      <c r="E28" s="186" t="s">
        <v>337</v>
      </c>
      <c r="F28" s="187" t="s">
        <v>333</v>
      </c>
      <c r="G28" s="188" t="s">
        <v>334</v>
      </c>
      <c r="H28" s="186" t="s">
        <v>338</v>
      </c>
      <c r="I28" s="187" t="s">
        <v>333</v>
      </c>
      <c r="J28" s="188" t="s">
        <v>334</v>
      </c>
      <c r="L28" s="99" t="s">
        <v>370</v>
      </c>
      <c r="M28" s="186" t="s">
        <v>328</v>
      </c>
      <c r="N28" s="187" t="s">
        <v>333</v>
      </c>
      <c r="O28" s="188" t="s">
        <v>334</v>
      </c>
      <c r="P28" s="186" t="s">
        <v>337</v>
      </c>
      <c r="Q28" s="187" t="s">
        <v>333</v>
      </c>
      <c r="R28" s="188" t="s">
        <v>334</v>
      </c>
      <c r="S28" s="186" t="s">
        <v>338</v>
      </c>
      <c r="T28" s="187" t="s">
        <v>333</v>
      </c>
      <c r="U28" s="188" t="s">
        <v>334</v>
      </c>
      <c r="X28" s="217"/>
    </row>
    <row r="29" spans="1:24" x14ac:dyDescent="0.25">
      <c r="A29" s="216"/>
      <c r="B29" s="193">
        <v>1</v>
      </c>
      <c r="C29" s="190">
        <f>$B$7+$H$8</f>
        <v>38</v>
      </c>
      <c r="D29" s="194">
        <f>IF(Process!$H$387&gt;=B29,$C$14+$H$8,-100)</f>
        <v>18</v>
      </c>
      <c r="E29" s="193">
        <v>1</v>
      </c>
      <c r="F29" s="190">
        <f>$B$7+$H$8</f>
        <v>38</v>
      </c>
      <c r="G29" s="194">
        <f>IF(Process!$H$388&gt;=E29,$C$14+$H$8+$H$10,-100)</f>
        <v>-100</v>
      </c>
      <c r="H29" s="193">
        <v>1</v>
      </c>
      <c r="I29" s="190">
        <f>$B$7+$H$8</f>
        <v>38</v>
      </c>
      <c r="J29" s="194">
        <f>IF(Process!$H$389&gt;=H29,$C$14+$H$8+2*$H$10,-100)</f>
        <v>-100</v>
      </c>
      <c r="M29" s="193">
        <v>1</v>
      </c>
      <c r="N29" s="190">
        <f>$B$7+$H$8</f>
        <v>38</v>
      </c>
      <c r="O29" s="194">
        <f>IF(Process!$H$419&gt;=M29,$C$14+$H$8,-100)</f>
        <v>18</v>
      </c>
      <c r="P29" s="193">
        <v>1</v>
      </c>
      <c r="Q29" s="190">
        <f>$B$7+$H$8</f>
        <v>38</v>
      </c>
      <c r="R29" s="194">
        <f>IF(Process!$H$420&gt;=P29,$C$14+$H$8+$Q$10,-100)</f>
        <v>-100</v>
      </c>
      <c r="S29" s="193">
        <v>1</v>
      </c>
      <c r="T29" s="190">
        <f>$B$7+$H$8</f>
        <v>38</v>
      </c>
      <c r="U29" s="194">
        <f>IF(Process!$H$421&gt;=S29,$C$14+$H$8+2*$Q$10,-100)</f>
        <v>-100</v>
      </c>
      <c r="X29" s="217"/>
    </row>
    <row r="30" spans="1:24" x14ac:dyDescent="0.25">
      <c r="A30" s="216"/>
      <c r="B30" s="193">
        <v>2</v>
      </c>
      <c r="C30" s="219">
        <f>IF(D30&gt;=0,$C$29+B29*$K$9,-100)</f>
        <v>60</v>
      </c>
      <c r="D30" s="194">
        <f>IF(Process!$H$387&gt;=B30,$D$29,-100)</f>
        <v>18</v>
      </c>
      <c r="E30" s="193">
        <v>2</v>
      </c>
      <c r="F30" s="219">
        <f>IF(G30&gt;=0,$F$29+E29*$L$9,-100)</f>
        <v>-100</v>
      </c>
      <c r="G30" s="194">
        <f>IF(Process!$H$388&gt;=E30,$G$29,-100)</f>
        <v>-100</v>
      </c>
      <c r="H30" s="193">
        <v>2</v>
      </c>
      <c r="I30" s="219">
        <f>IF(J30&gt;=0,$I$29+H29*$M$9,-100)</f>
        <v>-100</v>
      </c>
      <c r="J30" s="194">
        <f>IF(Process!$H$389&gt;=H30,$J$29,-100)</f>
        <v>-100</v>
      </c>
      <c r="M30" s="193">
        <v>2</v>
      </c>
      <c r="N30" s="219">
        <f>IF(O30&gt;=0,$N$29+M29*$T$9,-100)</f>
        <v>52.666666666666664</v>
      </c>
      <c r="O30" s="194">
        <f>IF(Process!$H$419&gt;=M30,$O$29,-100)</f>
        <v>18</v>
      </c>
      <c r="P30" s="193">
        <v>2</v>
      </c>
      <c r="Q30" s="219">
        <f>IF(R30&gt;=0,$Q$29+P29*$U$9,-100)</f>
        <v>-100</v>
      </c>
      <c r="R30" s="194">
        <f>IF(Process!$H$420&gt;=P30,$R$29,-100)</f>
        <v>-100</v>
      </c>
      <c r="S30" s="193">
        <v>2</v>
      </c>
      <c r="T30" s="219">
        <f>IF(U30&gt;=0,$T$29+S29*$V$9,-100)</f>
        <v>-100</v>
      </c>
      <c r="U30" s="194">
        <f>IF(Process!$H$421&gt;=S30,$U$29,-100)</f>
        <v>-100</v>
      </c>
      <c r="X30" s="217"/>
    </row>
    <row r="31" spans="1:24" x14ac:dyDescent="0.25">
      <c r="A31" s="216"/>
      <c r="B31" s="193">
        <v>3</v>
      </c>
      <c r="C31" s="219">
        <f>IF(D31&gt;=0,$C$29+B30*$K$9,-100)</f>
        <v>82</v>
      </c>
      <c r="D31" s="194">
        <f>IF(Process!$H$387&gt;=B31,$D$29,-100)</f>
        <v>18</v>
      </c>
      <c r="E31" s="193">
        <v>3</v>
      </c>
      <c r="F31" s="219">
        <f t="shared" ref="F31:F38" si="6">IF(G31&gt;=0,$F$29+E30*$L$9,-100)</f>
        <v>-100</v>
      </c>
      <c r="G31" s="194">
        <f>IF(Process!$H$388&gt;=E31,$G$29,-100)</f>
        <v>-100</v>
      </c>
      <c r="H31" s="193">
        <v>3</v>
      </c>
      <c r="I31" s="219">
        <f t="shared" ref="I31:I38" si="7">IF(J31&gt;=0,$I$29+H30*$M$9,-100)</f>
        <v>-100</v>
      </c>
      <c r="J31" s="194">
        <f>IF(Process!$H$389&gt;=H31,$J$29,-100)</f>
        <v>-100</v>
      </c>
      <c r="M31" s="193">
        <v>3</v>
      </c>
      <c r="N31" s="219">
        <f t="shared" ref="N31:N38" si="8">IF(O31&gt;=0,$N$29+M30*$T$9,-100)</f>
        <v>67.333333333333329</v>
      </c>
      <c r="O31" s="194">
        <f>IF(Process!$H$419&gt;=M31,$O$29,-100)</f>
        <v>18</v>
      </c>
      <c r="P31" s="193">
        <v>3</v>
      </c>
      <c r="Q31" s="219">
        <f t="shared" ref="Q31:Q38" si="9">IF(R31&gt;=0,$Q$29+P30*$U$9,-100)</f>
        <v>-100</v>
      </c>
      <c r="R31" s="194">
        <f>IF(Process!$H$420&gt;=P31,$R$29,-100)</f>
        <v>-100</v>
      </c>
      <c r="S31" s="193">
        <v>3</v>
      </c>
      <c r="T31" s="219">
        <f t="shared" ref="T31:T38" si="10">IF(U31&gt;=0,$T$29+S30*$V$9,-100)</f>
        <v>-100</v>
      </c>
      <c r="U31" s="194">
        <f>IF(Process!$H$421&gt;=S31,$U$29,-100)</f>
        <v>-100</v>
      </c>
      <c r="X31" s="217"/>
    </row>
    <row r="32" spans="1:24" x14ac:dyDescent="0.25">
      <c r="A32" s="216"/>
      <c r="B32" s="193">
        <v>4</v>
      </c>
      <c r="C32" s="219">
        <f t="shared" ref="C32:C38" si="11">IF(D32&gt;=0,$C$29+B31*$K$9,-100)</f>
        <v>-100</v>
      </c>
      <c r="D32" s="194">
        <f>IF(Process!$H$387&gt;=B32,$D$29,-100)</f>
        <v>-100</v>
      </c>
      <c r="E32" s="193">
        <v>4</v>
      </c>
      <c r="F32" s="219">
        <f t="shared" si="6"/>
        <v>-100</v>
      </c>
      <c r="G32" s="194">
        <f>IF(Process!$H$388&gt;=E32,$G$29,-100)</f>
        <v>-100</v>
      </c>
      <c r="H32" s="193">
        <v>4</v>
      </c>
      <c r="I32" s="219">
        <f t="shared" si="7"/>
        <v>-100</v>
      </c>
      <c r="J32" s="194">
        <f>IF(Process!$H$389&gt;=H32,$J$29,-100)</f>
        <v>-100</v>
      </c>
      <c r="M32" s="193">
        <v>4</v>
      </c>
      <c r="N32" s="219">
        <f t="shared" si="8"/>
        <v>82</v>
      </c>
      <c r="O32" s="194">
        <f>IF(Process!$H$419&gt;=M32,$O$29,-100)</f>
        <v>18</v>
      </c>
      <c r="P32" s="193">
        <v>4</v>
      </c>
      <c r="Q32" s="219">
        <f t="shared" si="9"/>
        <v>-100</v>
      </c>
      <c r="R32" s="194">
        <f>IF(Process!$H$420&gt;=P32,$R$29,-100)</f>
        <v>-100</v>
      </c>
      <c r="S32" s="193">
        <v>4</v>
      </c>
      <c r="T32" s="219">
        <f t="shared" si="10"/>
        <v>-100</v>
      </c>
      <c r="U32" s="194">
        <f>IF(Process!$H$421&gt;=S32,$U$29,-100)</f>
        <v>-100</v>
      </c>
      <c r="X32" s="217"/>
    </row>
    <row r="33" spans="1:24" x14ac:dyDescent="0.25">
      <c r="A33" s="216"/>
      <c r="B33" s="193">
        <v>5</v>
      </c>
      <c r="C33" s="219">
        <f t="shared" si="11"/>
        <v>-100</v>
      </c>
      <c r="D33" s="194">
        <f>IF(Process!$H$387&gt;=B33,$D$29,-100)</f>
        <v>-100</v>
      </c>
      <c r="E33" s="193">
        <v>5</v>
      </c>
      <c r="F33" s="219">
        <f t="shared" si="6"/>
        <v>-100</v>
      </c>
      <c r="G33" s="194">
        <f>IF(Process!$H$388&gt;=E33,$G$29,-100)</f>
        <v>-100</v>
      </c>
      <c r="H33" s="193">
        <v>5</v>
      </c>
      <c r="I33" s="219">
        <f t="shared" si="7"/>
        <v>-100</v>
      </c>
      <c r="J33" s="194">
        <f>IF(Process!$H$389&gt;=H33,$J$29,-100)</f>
        <v>-100</v>
      </c>
      <c r="M33" s="193">
        <v>5</v>
      </c>
      <c r="N33" s="219">
        <f t="shared" si="8"/>
        <v>-100</v>
      </c>
      <c r="O33" s="194">
        <f>IF(Process!$H$419&gt;=M33,$O$29,-100)</f>
        <v>-100</v>
      </c>
      <c r="P33" s="193">
        <v>5</v>
      </c>
      <c r="Q33" s="219">
        <f t="shared" si="9"/>
        <v>-100</v>
      </c>
      <c r="R33" s="194">
        <f>IF(Process!$H$420&gt;=P33,$R$29,-100)</f>
        <v>-100</v>
      </c>
      <c r="S33" s="193">
        <v>5</v>
      </c>
      <c r="T33" s="219">
        <f t="shared" si="10"/>
        <v>-100</v>
      </c>
      <c r="U33" s="194">
        <f>IF(Process!$H$421&gt;=S33,$U$29,-100)</f>
        <v>-100</v>
      </c>
      <c r="X33" s="217"/>
    </row>
    <row r="34" spans="1:24" x14ac:dyDescent="0.25">
      <c r="A34" s="216"/>
      <c r="B34" s="193">
        <v>6</v>
      </c>
      <c r="C34" s="219">
        <f t="shared" si="11"/>
        <v>-100</v>
      </c>
      <c r="D34" s="194">
        <f>IF(Process!$H$387&gt;=B34,$D$29,-100)</f>
        <v>-100</v>
      </c>
      <c r="E34" s="193">
        <v>6</v>
      </c>
      <c r="F34" s="219">
        <f t="shared" si="6"/>
        <v>-100</v>
      </c>
      <c r="G34" s="194">
        <f>IF(Process!$H$388&gt;=E34,$G$29,-100)</f>
        <v>-100</v>
      </c>
      <c r="H34" s="193">
        <v>6</v>
      </c>
      <c r="I34" s="219">
        <f t="shared" si="7"/>
        <v>-100</v>
      </c>
      <c r="J34" s="194">
        <f>IF(Process!$H$389&gt;=H34,$J$29,-100)</f>
        <v>-100</v>
      </c>
      <c r="M34" s="193">
        <v>6</v>
      </c>
      <c r="N34" s="219">
        <f t="shared" si="8"/>
        <v>-100</v>
      </c>
      <c r="O34" s="194">
        <f>IF(Process!$H$419&gt;=M34,$O$29,-100)</f>
        <v>-100</v>
      </c>
      <c r="P34" s="193">
        <v>6</v>
      </c>
      <c r="Q34" s="219">
        <f t="shared" si="9"/>
        <v>-100</v>
      </c>
      <c r="R34" s="194">
        <f>IF(Process!$H$420&gt;=P34,$R$29,-100)</f>
        <v>-100</v>
      </c>
      <c r="S34" s="193">
        <v>6</v>
      </c>
      <c r="T34" s="219">
        <f t="shared" si="10"/>
        <v>-100</v>
      </c>
      <c r="U34" s="194">
        <f>IF(Process!$H$421&gt;=S34,$U$29,-100)</f>
        <v>-100</v>
      </c>
      <c r="X34" s="217"/>
    </row>
    <row r="35" spans="1:24" x14ac:dyDescent="0.25">
      <c r="A35" s="216"/>
      <c r="B35" s="193">
        <v>7</v>
      </c>
      <c r="C35" s="219">
        <f t="shared" si="11"/>
        <v>-100</v>
      </c>
      <c r="D35" s="194">
        <f>IF(Process!$H$387&gt;=B35,$D$29,-100)</f>
        <v>-100</v>
      </c>
      <c r="E35" s="193">
        <v>7</v>
      </c>
      <c r="F35" s="219">
        <f t="shared" si="6"/>
        <v>-100</v>
      </c>
      <c r="G35" s="194">
        <f>IF(Process!$H$388&gt;=E35,$G$29,-100)</f>
        <v>-100</v>
      </c>
      <c r="H35" s="193">
        <v>7</v>
      </c>
      <c r="I35" s="219">
        <f t="shared" si="7"/>
        <v>-100</v>
      </c>
      <c r="J35" s="194">
        <f>IF(Process!$H$389&gt;=H35,$J$29,-100)</f>
        <v>-100</v>
      </c>
      <c r="M35" s="193">
        <v>7</v>
      </c>
      <c r="N35" s="219">
        <f t="shared" si="8"/>
        <v>-100</v>
      </c>
      <c r="O35" s="194">
        <f>IF(Process!$H$419&gt;=M35,$O$29,-100)</f>
        <v>-100</v>
      </c>
      <c r="P35" s="193">
        <v>7</v>
      </c>
      <c r="Q35" s="219">
        <f t="shared" si="9"/>
        <v>-100</v>
      </c>
      <c r="R35" s="194">
        <f>IF(Process!$H$420&gt;=P35,$R$29,-100)</f>
        <v>-100</v>
      </c>
      <c r="S35" s="193">
        <v>7</v>
      </c>
      <c r="T35" s="219">
        <f t="shared" si="10"/>
        <v>-100</v>
      </c>
      <c r="U35" s="194">
        <f>IF(Process!$H$421&gt;=S35,$U$29,-100)</f>
        <v>-100</v>
      </c>
      <c r="X35" s="217"/>
    </row>
    <row r="36" spans="1:24" x14ac:dyDescent="0.25">
      <c r="A36" s="216"/>
      <c r="B36" s="193">
        <v>8</v>
      </c>
      <c r="C36" s="219">
        <f t="shared" si="11"/>
        <v>-100</v>
      </c>
      <c r="D36" s="194">
        <f>IF(Process!$H$387&gt;=B36,$D$29,-100)</f>
        <v>-100</v>
      </c>
      <c r="E36" s="193">
        <v>8</v>
      </c>
      <c r="F36" s="219">
        <f t="shared" si="6"/>
        <v>-100</v>
      </c>
      <c r="G36" s="194">
        <f>IF(Process!$H$388&gt;=E36,$G$29,-100)</f>
        <v>-100</v>
      </c>
      <c r="H36" s="193">
        <v>8</v>
      </c>
      <c r="I36" s="219">
        <f t="shared" si="7"/>
        <v>-100</v>
      </c>
      <c r="J36" s="194">
        <f>IF(Process!$H$389&gt;=H36,$J$29,-100)</f>
        <v>-100</v>
      </c>
      <c r="M36" s="193">
        <v>8</v>
      </c>
      <c r="N36" s="219">
        <f t="shared" si="8"/>
        <v>-100</v>
      </c>
      <c r="O36" s="194">
        <f>IF(Process!$H$419&gt;=M36,$O$29,-100)</f>
        <v>-100</v>
      </c>
      <c r="P36" s="193">
        <v>8</v>
      </c>
      <c r="Q36" s="219">
        <f t="shared" si="9"/>
        <v>-100</v>
      </c>
      <c r="R36" s="194">
        <f>IF(Process!$H$420&gt;=P36,$R$29,-100)</f>
        <v>-100</v>
      </c>
      <c r="S36" s="193">
        <v>8</v>
      </c>
      <c r="T36" s="219">
        <f t="shared" si="10"/>
        <v>-100</v>
      </c>
      <c r="U36" s="194">
        <f>IF(Process!$H$421&gt;=S36,$U$29,-100)</f>
        <v>-100</v>
      </c>
      <c r="X36" s="217"/>
    </row>
    <row r="37" spans="1:24" x14ac:dyDescent="0.25">
      <c r="A37" s="216"/>
      <c r="B37" s="193">
        <v>9</v>
      </c>
      <c r="C37" s="219">
        <f t="shared" si="11"/>
        <v>-100</v>
      </c>
      <c r="D37" s="194">
        <f>IF(Process!$H$387&gt;=B37,$D$29,-100)</f>
        <v>-100</v>
      </c>
      <c r="E37" s="193">
        <v>9</v>
      </c>
      <c r="F37" s="219">
        <f t="shared" si="6"/>
        <v>-100</v>
      </c>
      <c r="G37" s="194">
        <f>IF(Process!$H$388&gt;=E37,$G$29,-100)</f>
        <v>-100</v>
      </c>
      <c r="H37" s="193">
        <v>9</v>
      </c>
      <c r="I37" s="219">
        <f t="shared" si="7"/>
        <v>-100</v>
      </c>
      <c r="J37" s="194">
        <f>IF(Process!$H$389&gt;=H37,$J$29,-100)</f>
        <v>-100</v>
      </c>
      <c r="M37" s="193">
        <v>9</v>
      </c>
      <c r="N37" s="219">
        <f t="shared" si="8"/>
        <v>-100</v>
      </c>
      <c r="O37" s="194">
        <f>IF(Process!$H$419&gt;=M37,$O$29,-100)</f>
        <v>-100</v>
      </c>
      <c r="P37" s="193">
        <v>9</v>
      </c>
      <c r="Q37" s="219">
        <f t="shared" si="9"/>
        <v>-100</v>
      </c>
      <c r="R37" s="194">
        <f>IF(Process!$H$420&gt;=P37,$R$29,-100)</f>
        <v>-100</v>
      </c>
      <c r="S37" s="193">
        <v>9</v>
      </c>
      <c r="T37" s="219">
        <f t="shared" si="10"/>
        <v>-100</v>
      </c>
      <c r="U37" s="194">
        <f>IF(Process!$H$421&gt;=S37,$U$29,-100)</f>
        <v>-100</v>
      </c>
      <c r="X37" s="217"/>
    </row>
    <row r="38" spans="1:24" x14ac:dyDescent="0.25">
      <c r="A38" s="216"/>
      <c r="B38" s="195">
        <v>10</v>
      </c>
      <c r="C38" s="219">
        <f t="shared" si="11"/>
        <v>-100</v>
      </c>
      <c r="D38" s="194">
        <f>IF(Process!$H$387&gt;=B38,$D$29,-100)</f>
        <v>-100</v>
      </c>
      <c r="E38" s="195">
        <v>10</v>
      </c>
      <c r="F38" s="219">
        <f t="shared" si="6"/>
        <v>-100</v>
      </c>
      <c r="G38" s="194">
        <f>IF(Process!$H$388&gt;=E38,$G$29,-100)</f>
        <v>-100</v>
      </c>
      <c r="H38" s="195">
        <v>10</v>
      </c>
      <c r="I38" s="219">
        <f t="shared" si="7"/>
        <v>-100</v>
      </c>
      <c r="J38" s="194">
        <f>IF(Process!$H$389&gt;=H38,$J$29,-100)</f>
        <v>-100</v>
      </c>
      <c r="M38" s="195">
        <v>10</v>
      </c>
      <c r="N38" s="219">
        <f t="shared" si="8"/>
        <v>-100</v>
      </c>
      <c r="O38" s="194">
        <f>IF(Process!$H$419&gt;=M38,$O$29,-100)</f>
        <v>-100</v>
      </c>
      <c r="P38" s="195">
        <v>10</v>
      </c>
      <c r="Q38" s="219">
        <f t="shared" si="9"/>
        <v>-100</v>
      </c>
      <c r="R38" s="194">
        <f>IF(Process!$H$420&gt;=P38,$R$29,-100)</f>
        <v>-100</v>
      </c>
      <c r="S38" s="195">
        <v>10</v>
      </c>
      <c r="T38" s="219">
        <f t="shared" si="10"/>
        <v>-100</v>
      </c>
      <c r="U38" s="194">
        <f>IF(Process!$H$421&gt;=S38,$U$29,-100)</f>
        <v>-100</v>
      </c>
      <c r="X38" s="217"/>
    </row>
    <row r="39" spans="1:24" x14ac:dyDescent="0.25">
      <c r="A39" s="216"/>
      <c r="X39" s="217"/>
    </row>
    <row r="40" spans="1:24" x14ac:dyDescent="0.25">
      <c r="A40" s="216"/>
      <c r="B40" s="119" t="s">
        <v>385</v>
      </c>
      <c r="H40" s="99" t="s">
        <v>339</v>
      </c>
      <c r="X40" s="217"/>
    </row>
    <row r="41" spans="1:24" ht="18" x14ac:dyDescent="0.25">
      <c r="A41" s="216"/>
      <c r="C41" s="196" t="s">
        <v>340</v>
      </c>
      <c r="D41" s="196" t="s">
        <v>334</v>
      </c>
      <c r="E41" s="196" t="s">
        <v>341</v>
      </c>
      <c r="H41" s="284" t="s">
        <v>342</v>
      </c>
      <c r="I41" s="284"/>
      <c r="J41" s="281" t="s">
        <v>343</v>
      </c>
      <c r="K41" s="282"/>
      <c r="L41" s="282"/>
      <c r="X41" s="217"/>
    </row>
    <row r="42" spans="1:24" x14ac:dyDescent="0.25">
      <c r="A42" s="220" t="s">
        <v>344</v>
      </c>
      <c r="B42" s="196" t="s">
        <v>345</v>
      </c>
      <c r="C42" s="197">
        <f>$C$18</f>
        <v>38</v>
      </c>
      <c r="D42" s="198">
        <f>IF(Process!$H$375=2,$C$5/2+$C$3,IF(Process!$H$375=4,$D$43+1/3*$C$45,IF(Process!$H$375=6,0.5*$C$5+$C$3+1/4*$C$45,-25)))</f>
        <v>60</v>
      </c>
      <c r="E42" s="199">
        <f>$C$42+($C$4-2*$H$8)</f>
        <v>82</v>
      </c>
      <c r="G42" s="165" t="s">
        <v>333</v>
      </c>
      <c r="H42" s="200">
        <f>C18</f>
        <v>38</v>
      </c>
      <c r="I42" s="200">
        <f>MAX(C18:C27)</f>
        <v>82</v>
      </c>
      <c r="J42" s="200">
        <f>MAX(C18:C27)+(13/Input!H21*'Pic database'!C5)</f>
        <v>84.6</v>
      </c>
      <c r="K42" s="200">
        <f>J42</f>
        <v>84.6</v>
      </c>
      <c r="L42" s="200">
        <f>K42</f>
        <v>84.6</v>
      </c>
      <c r="X42" s="217"/>
    </row>
    <row r="43" spans="1:24" x14ac:dyDescent="0.25">
      <c r="A43" s="220" t="s">
        <v>346</v>
      </c>
      <c r="B43" s="196" t="s">
        <v>347</v>
      </c>
      <c r="C43" s="201">
        <f>$C$42</f>
        <v>38</v>
      </c>
      <c r="D43" s="202">
        <f>IF(Process!$H$375=4,(0.5*$C$5+$C$3)-0.5*1/3*$C$45,IF(Process!$H$375=6,0.5*$C$5+$C$3,-25))</f>
        <v>-25</v>
      </c>
      <c r="E43" s="192">
        <f>$E$42</f>
        <v>82</v>
      </c>
      <c r="G43" s="165" t="s">
        <v>334</v>
      </c>
      <c r="H43" s="171">
        <f>(1+0.02)*D18</f>
        <v>104.04</v>
      </c>
      <c r="I43" s="171">
        <f>H43</f>
        <v>104.04</v>
      </c>
      <c r="J43" s="200">
        <f>MAX(D18:D27)</f>
        <v>102</v>
      </c>
      <c r="K43" s="190">
        <f>(J43-L43)/2+$C$3</f>
        <v>52</v>
      </c>
      <c r="L43" s="200">
        <f>MAX(D29:D38)</f>
        <v>18</v>
      </c>
      <c r="X43" s="217"/>
    </row>
    <row r="44" spans="1:24" x14ac:dyDescent="0.25">
      <c r="A44" s="220" t="s">
        <v>348</v>
      </c>
      <c r="B44" s="196" t="s">
        <v>349</v>
      </c>
      <c r="C44" s="197">
        <f>$C$43</f>
        <v>38</v>
      </c>
      <c r="D44" s="198">
        <f>IF(Process!$H$375=6,$D$43-0.25*$C$45,-25)</f>
        <v>-25</v>
      </c>
      <c r="E44" s="199">
        <f>$E$43</f>
        <v>82</v>
      </c>
      <c r="G44" s="165"/>
      <c r="H44" s="284" t="s">
        <v>350</v>
      </c>
      <c r="I44" s="284"/>
      <c r="J44" s="279" t="s">
        <v>351</v>
      </c>
      <c r="K44" s="280"/>
      <c r="X44" s="217"/>
    </row>
    <row r="45" spans="1:24" x14ac:dyDescent="0.25">
      <c r="A45" s="216"/>
      <c r="B45" s="203" t="s">
        <v>352</v>
      </c>
      <c r="C45" s="171">
        <f>IF((Process!$D$389+Process!$H$389)&gt;0,($C$8-$H$8-2*$H$10)-($C$14+$H$8+2*$H$10),IF((Process!$D$388+Process!$H$388)&gt;0,($C$8-$H$8-$H$10)-($C$14+$H$8+$H$10),IF((Process!$D$387+Process!$H$387)&gt;0,($C$8-$H$8)-($C$14+$H$8),"[ EROR ]")))</f>
        <v>84</v>
      </c>
      <c r="G45" s="165" t="s">
        <v>333</v>
      </c>
      <c r="H45" s="200">
        <f>H42</f>
        <v>38</v>
      </c>
      <c r="I45" s="200">
        <f>I42</f>
        <v>82</v>
      </c>
      <c r="J45" s="200">
        <f>C18-(13/Input!H21*'Pic database'!C5)</f>
        <v>35.4</v>
      </c>
      <c r="K45" s="200">
        <f>J45</f>
        <v>35.4</v>
      </c>
      <c r="X45" s="217"/>
    </row>
    <row r="46" spans="1:24" x14ac:dyDescent="0.25">
      <c r="A46" s="216"/>
      <c r="G46" s="165" t="s">
        <v>334</v>
      </c>
      <c r="H46" s="171">
        <f>((1-0.2)*C3+H8)</f>
        <v>16</v>
      </c>
      <c r="I46" s="171">
        <f>H46</f>
        <v>16</v>
      </c>
      <c r="J46" s="200">
        <f>J43</f>
        <v>102</v>
      </c>
      <c r="K46" s="200">
        <f>L43</f>
        <v>18</v>
      </c>
      <c r="X46" s="217"/>
    </row>
    <row r="47" spans="1:24" x14ac:dyDescent="0.25">
      <c r="A47" s="216"/>
      <c r="B47" s="119" t="s">
        <v>386</v>
      </c>
      <c r="G47" s="221"/>
      <c r="H47" s="279"/>
      <c r="I47" s="280"/>
      <c r="J47" s="279"/>
      <c r="K47" s="280"/>
      <c r="L47" s="279"/>
      <c r="M47" s="280"/>
      <c r="X47" s="217"/>
    </row>
    <row r="48" spans="1:24" ht="18" x14ac:dyDescent="0.25">
      <c r="A48" s="216"/>
      <c r="C48" s="196" t="s">
        <v>340</v>
      </c>
      <c r="D48" s="196" t="s">
        <v>334</v>
      </c>
      <c r="E48" s="196" t="s">
        <v>341</v>
      </c>
      <c r="G48" s="165"/>
      <c r="H48" s="200"/>
      <c r="I48" s="200"/>
      <c r="J48" s="200"/>
      <c r="K48" s="200"/>
      <c r="L48" s="200"/>
      <c r="M48" s="200"/>
      <c r="X48" s="217"/>
    </row>
    <row r="49" spans="1:24" x14ac:dyDescent="0.25">
      <c r="A49" s="220" t="s">
        <v>344</v>
      </c>
      <c r="B49" s="196" t="s">
        <v>345</v>
      </c>
      <c r="C49" s="197">
        <f>$C$18</f>
        <v>38</v>
      </c>
      <c r="D49" s="198">
        <f>IF(Process!$H$407=2,$C$5/2+$C$3,IF(Process!$H$407=4,$D$43+1/3*$C$45,IF(Process!$H$407=6,0.5*$C$5+$C$3+1/4*$C$45,-25)))</f>
        <v>60</v>
      </c>
      <c r="E49" s="199">
        <f>$C$42+($C$4-2*$H$8)</f>
        <v>82</v>
      </c>
      <c r="G49" s="165"/>
      <c r="H49" s="200"/>
      <c r="I49" s="200"/>
      <c r="J49" s="200"/>
      <c r="K49" s="200"/>
      <c r="L49" s="200"/>
      <c r="M49" s="200"/>
      <c r="X49" s="217"/>
    </row>
    <row r="50" spans="1:24" x14ac:dyDescent="0.25">
      <c r="A50" s="220" t="s">
        <v>346</v>
      </c>
      <c r="B50" s="196" t="s">
        <v>347</v>
      </c>
      <c r="C50" s="201">
        <f>$C$42</f>
        <v>38</v>
      </c>
      <c r="D50" s="202">
        <f>IF(Process!$H$375=4,(0.5*$C$5+$C$3)-0.5*1/3*$C$45,IF(Process!$H$375=6,0.5*$C$5+$C$3,-25))</f>
        <v>-25</v>
      </c>
      <c r="E50" s="192">
        <f>$E$42</f>
        <v>82</v>
      </c>
      <c r="X50" s="217"/>
    </row>
    <row r="51" spans="1:24" x14ac:dyDescent="0.25">
      <c r="A51" s="220" t="s">
        <v>348</v>
      </c>
      <c r="B51" s="196" t="s">
        <v>349</v>
      </c>
      <c r="C51" s="197">
        <f>$C$43</f>
        <v>38</v>
      </c>
      <c r="D51" s="198">
        <f>IF(Process!$H$375=6,$D$43-0.25*$C$45,-25)</f>
        <v>-25</v>
      </c>
      <c r="E51" s="199">
        <f>$E$43</f>
        <v>82</v>
      </c>
      <c r="X51" s="217"/>
    </row>
    <row r="52" spans="1:24" x14ac:dyDescent="0.25">
      <c r="A52" s="216"/>
      <c r="B52" s="203" t="s">
        <v>352</v>
      </c>
      <c r="C52" s="171">
        <f>IF((Process!$D$389+Process!$H$389)&gt;0,($C$8-$H$8-2*$H$10)-($C$14+$H$8+2*$H$10),IF((Process!$D$388+Process!$H$388)&gt;0,($C$8-$H$8-$H$10)-($C$14+$H$8+$H$10),IF((Process!$D$387+Process!$H$387)&gt;0,($C$8-$H$8)-($C$14+$H$8),"[ EROR ]")))</f>
        <v>84</v>
      </c>
      <c r="X52" s="217"/>
    </row>
    <row r="53" spans="1:24" x14ac:dyDescent="0.25">
      <c r="A53" s="216"/>
      <c r="X53" s="217"/>
    </row>
    <row r="54" spans="1:24" x14ac:dyDescent="0.25">
      <c r="A54" s="216"/>
      <c r="B54" s="99" t="s">
        <v>371</v>
      </c>
      <c r="D54" s="99" t="s">
        <v>372</v>
      </c>
      <c r="F54" s="99" t="s">
        <v>374</v>
      </c>
      <c r="X54" s="217"/>
    </row>
    <row r="55" spans="1:24" x14ac:dyDescent="0.25">
      <c r="A55" s="216"/>
      <c r="B55" s="187" t="s">
        <v>333</v>
      </c>
      <c r="C55" s="188" t="s">
        <v>334</v>
      </c>
      <c r="D55" s="187" t="s">
        <v>333</v>
      </c>
      <c r="E55" s="188" t="s">
        <v>334</v>
      </c>
      <c r="F55" s="187" t="s">
        <v>333</v>
      </c>
      <c r="G55" s="188" t="s">
        <v>334</v>
      </c>
      <c r="X55" s="217"/>
    </row>
    <row r="56" spans="1:24" x14ac:dyDescent="0.25">
      <c r="A56" s="216"/>
      <c r="B56" s="219">
        <f>B7</f>
        <v>30</v>
      </c>
      <c r="C56" s="194">
        <f>C7*-0.5</f>
        <v>-5</v>
      </c>
      <c r="D56" s="219">
        <f>B7-20</f>
        <v>10</v>
      </c>
      <c r="E56" s="194">
        <f>C7</f>
        <v>10</v>
      </c>
      <c r="F56" s="219">
        <f>B9*1.1</f>
        <v>99.000000000000014</v>
      </c>
      <c r="G56" s="194">
        <f>C3</f>
        <v>10</v>
      </c>
      <c r="X56" s="217"/>
    </row>
    <row r="57" spans="1:24" x14ac:dyDescent="0.25">
      <c r="A57" s="216"/>
      <c r="B57" s="190">
        <f>(B58-B56)/2+$B$3</f>
        <v>60</v>
      </c>
      <c r="C57" s="190">
        <f>C56</f>
        <v>-5</v>
      </c>
      <c r="D57" s="190">
        <f>D56</f>
        <v>10</v>
      </c>
      <c r="E57" s="190">
        <f>(E58-E56)/2+$C$3</f>
        <v>60</v>
      </c>
      <c r="F57" s="190">
        <f>F56</f>
        <v>99.000000000000014</v>
      </c>
      <c r="G57" s="190">
        <f>(G58-G56)/2+$C$3</f>
        <v>13</v>
      </c>
      <c r="X57" s="217"/>
    </row>
    <row r="58" spans="1:24" x14ac:dyDescent="0.25">
      <c r="A58" s="216"/>
      <c r="B58" s="219">
        <f>B9</f>
        <v>90</v>
      </c>
      <c r="C58" s="194">
        <f>C57</f>
        <v>-5</v>
      </c>
      <c r="D58" s="219">
        <f>D57</f>
        <v>10</v>
      </c>
      <c r="E58" s="194">
        <f>C8</f>
        <v>110</v>
      </c>
      <c r="F58" s="219">
        <f>F57</f>
        <v>99.000000000000014</v>
      </c>
      <c r="G58" s="194">
        <f>H46</f>
        <v>16</v>
      </c>
      <c r="X58" s="217"/>
    </row>
    <row r="59" spans="1:24" ht="15.75" thickBot="1" x14ac:dyDescent="0.3">
      <c r="A59" s="222"/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4"/>
      <c r="U59" s="224"/>
      <c r="V59" s="224"/>
      <c r="W59" s="224"/>
      <c r="X59" s="225"/>
    </row>
    <row r="60" spans="1:24" x14ac:dyDescent="0.25">
      <c r="B60" s="212" t="s">
        <v>387</v>
      </c>
    </row>
    <row r="61" spans="1:24" x14ac:dyDescent="0.25">
      <c r="F61" s="119" t="s">
        <v>402</v>
      </c>
      <c r="J61" s="119" t="s">
        <v>420</v>
      </c>
      <c r="N61" s="119" t="s">
        <v>435</v>
      </c>
      <c r="T61" t="s">
        <v>440</v>
      </c>
    </row>
    <row r="62" spans="1:24" x14ac:dyDescent="0.25">
      <c r="B62" s="186"/>
      <c r="C62" s="187" t="s">
        <v>333</v>
      </c>
      <c r="D62" s="188" t="s">
        <v>334</v>
      </c>
      <c r="F62" s="186"/>
      <c r="G62" s="187" t="s">
        <v>333</v>
      </c>
      <c r="H62" s="188" t="s">
        <v>334</v>
      </c>
      <c r="J62" s="186"/>
      <c r="K62" s="187" t="s">
        <v>333</v>
      </c>
      <c r="L62" s="188" t="s">
        <v>334</v>
      </c>
      <c r="N62" s="186"/>
      <c r="O62" s="187" t="s">
        <v>333</v>
      </c>
      <c r="P62" s="188" t="s">
        <v>334</v>
      </c>
      <c r="T62" s="186"/>
      <c r="U62" s="187" t="s">
        <v>333</v>
      </c>
      <c r="V62" s="188" t="s">
        <v>334</v>
      </c>
    </row>
    <row r="63" spans="1:24" x14ac:dyDescent="0.25">
      <c r="B63" s="189" t="s">
        <v>388</v>
      </c>
      <c r="C63" s="190">
        <v>-15</v>
      </c>
      <c r="D63" s="191">
        <v>-1</v>
      </c>
      <c r="F63" s="189">
        <v>1</v>
      </c>
      <c r="G63" s="190">
        <v>0</v>
      </c>
      <c r="H63" s="191">
        <f>D63-2</f>
        <v>-3</v>
      </c>
      <c r="J63" s="189">
        <v>1</v>
      </c>
      <c r="K63" s="190">
        <f>C63+1</f>
        <v>-14</v>
      </c>
      <c r="L63" s="191">
        <v>-1.5</v>
      </c>
      <c r="N63" s="189" t="s">
        <v>436</v>
      </c>
      <c r="O63" s="190">
        <f>IF(Process!$H$445=Process!$H$456,-100,IF(Process!$H$445&gt;Process!$H$456,(K63-0.5),K81-0.5))</f>
        <v>-100</v>
      </c>
      <c r="P63" s="191">
        <v>-1.5</v>
      </c>
      <c r="T63" s="189" t="s">
        <v>441</v>
      </c>
      <c r="U63" s="190">
        <f>K67</f>
        <v>-12</v>
      </c>
      <c r="V63" s="191">
        <v>0</v>
      </c>
    </row>
    <row r="64" spans="1:24" x14ac:dyDescent="0.25">
      <c r="B64" s="189" t="s">
        <v>389</v>
      </c>
      <c r="C64" s="190">
        <f>C63</f>
        <v>-15</v>
      </c>
      <c r="D64" s="191">
        <f>-D63</f>
        <v>1</v>
      </c>
      <c r="F64" s="189"/>
      <c r="G64" s="190">
        <f>G63</f>
        <v>0</v>
      </c>
      <c r="H64" s="191">
        <f>D64+2</f>
        <v>3</v>
      </c>
      <c r="J64" s="189"/>
      <c r="K64" s="190">
        <f>K63</f>
        <v>-14</v>
      </c>
      <c r="L64" s="191">
        <v>1.5</v>
      </c>
      <c r="N64" s="189"/>
      <c r="O64" s="190">
        <f>IF(Process!$H$445=Process!$H$456,-100,IF(Process!$H$445&gt;Process!$H$456,(K64-0.5),K82-0.5))</f>
        <v>-100</v>
      </c>
      <c r="P64" s="191">
        <v>1.5</v>
      </c>
      <c r="T64" s="189" t="s">
        <v>421</v>
      </c>
      <c r="U64" s="190">
        <f>0</f>
        <v>0</v>
      </c>
      <c r="V64" s="191">
        <f>V63</f>
        <v>0</v>
      </c>
    </row>
    <row r="65" spans="2:22" x14ac:dyDescent="0.25">
      <c r="B65" s="189" t="s">
        <v>390</v>
      </c>
      <c r="C65" s="190">
        <f>-C64</f>
        <v>15</v>
      </c>
      <c r="D65" s="191">
        <f>D64</f>
        <v>1</v>
      </c>
      <c r="F65" s="189">
        <v>2</v>
      </c>
      <c r="G65" s="190">
        <f>G63</f>
        <v>0</v>
      </c>
      <c r="H65" s="191">
        <f>H63</f>
        <v>-3</v>
      </c>
      <c r="J65" s="189">
        <v>2</v>
      </c>
      <c r="K65" s="190">
        <f>K63+1</f>
        <v>-13</v>
      </c>
      <c r="L65" s="191">
        <f>L63</f>
        <v>-1.5</v>
      </c>
      <c r="N65" s="189" t="s">
        <v>437</v>
      </c>
      <c r="O65" s="190">
        <f>IF(Process!$H$445=Process!$H$456,-100,IF(Process!$H$445&gt;Process!$H$456,(K65-0.5),K83-0.5))</f>
        <v>-100</v>
      </c>
      <c r="P65" s="191">
        <f>P63</f>
        <v>-1.5</v>
      </c>
      <c r="T65" s="189" t="s">
        <v>439</v>
      </c>
      <c r="U65" s="190">
        <f>K115</f>
        <v>12</v>
      </c>
      <c r="V65" s="191">
        <f>V64</f>
        <v>0</v>
      </c>
    </row>
    <row r="66" spans="2:22" x14ac:dyDescent="0.25">
      <c r="B66" s="189" t="s">
        <v>391</v>
      </c>
      <c r="C66" s="190">
        <f>C65</f>
        <v>15</v>
      </c>
      <c r="D66" s="191">
        <f>-D65</f>
        <v>-1</v>
      </c>
      <c r="F66" s="189"/>
      <c r="G66" s="190">
        <f>G65+1</f>
        <v>1</v>
      </c>
      <c r="H66" s="191">
        <f>H65</f>
        <v>-3</v>
      </c>
      <c r="J66" s="189"/>
      <c r="K66" s="190">
        <f>K65</f>
        <v>-13</v>
      </c>
      <c r="L66" s="191">
        <f>L64</f>
        <v>1.5</v>
      </c>
      <c r="N66" s="189"/>
      <c r="O66" s="190">
        <f>IF(Process!$H$445=Process!$H$456,-100,IF(Process!$H$445&gt;Process!$H$456,(K66-0.5),K84-0.5))</f>
        <v>-100</v>
      </c>
      <c r="P66" s="191">
        <f>P64</f>
        <v>1.5</v>
      </c>
      <c r="T66" s="189" t="s">
        <v>442</v>
      </c>
      <c r="U66" s="190">
        <v>-9.5</v>
      </c>
      <c r="V66" s="191">
        <f>D63</f>
        <v>-1</v>
      </c>
    </row>
    <row r="67" spans="2:22" x14ac:dyDescent="0.25">
      <c r="B67" s="189"/>
      <c r="C67" s="190">
        <f>C63</f>
        <v>-15</v>
      </c>
      <c r="D67" s="191">
        <f>D63</f>
        <v>-1</v>
      </c>
      <c r="F67" s="189">
        <v>3</v>
      </c>
      <c r="G67" s="190">
        <f>G65</f>
        <v>0</v>
      </c>
      <c r="H67" s="191">
        <f>H64</f>
        <v>3</v>
      </c>
      <c r="J67" s="189">
        <v>3</v>
      </c>
      <c r="K67" s="190">
        <f t="shared" ref="K67" si="12">K65+1</f>
        <v>-12</v>
      </c>
      <c r="L67" s="191">
        <f t="shared" ref="L67:L92" si="13">L65</f>
        <v>-1.5</v>
      </c>
      <c r="N67" s="189" t="s">
        <v>438</v>
      </c>
      <c r="O67" s="190">
        <f>IF(Process!$H$445=Process!$H$456,-100,IF(Process!$H$445&gt;Process!$H$456,(K67-0.5),K85-0.5))</f>
        <v>-100</v>
      </c>
      <c r="P67" s="191">
        <f t="shared" ref="P67:P74" si="14">P65</f>
        <v>-1.5</v>
      </c>
      <c r="T67" s="189" t="s">
        <v>443</v>
      </c>
      <c r="U67" s="241">
        <f>-U66</f>
        <v>9.5</v>
      </c>
      <c r="V67" s="241">
        <v>0</v>
      </c>
    </row>
    <row r="68" spans="2:22" x14ac:dyDescent="0.25">
      <c r="G68" s="190">
        <f>G66</f>
        <v>1</v>
      </c>
      <c r="H68" s="190">
        <f>H67</f>
        <v>3</v>
      </c>
      <c r="J68" s="189"/>
      <c r="K68" s="190">
        <f t="shared" ref="K68" si="15">K67</f>
        <v>-12</v>
      </c>
      <c r="L68" s="191">
        <f t="shared" si="13"/>
        <v>1.5</v>
      </c>
      <c r="N68" s="189"/>
      <c r="O68" s="190">
        <f>IF(Process!$H$445=Process!$H$456,-100,IF(Process!$H$445&gt;Process!$H$456,(K68-0.5),K86-0.5))</f>
        <v>-100</v>
      </c>
      <c r="P68" s="191">
        <f t="shared" si="14"/>
        <v>1.5</v>
      </c>
      <c r="T68" s="189"/>
      <c r="U68" s="190"/>
      <c r="V68" s="191"/>
    </row>
    <row r="69" spans="2:22" x14ac:dyDescent="0.25">
      <c r="B69" s="119" t="s">
        <v>392</v>
      </c>
      <c r="J69" s="189">
        <v>4</v>
      </c>
      <c r="K69" s="190">
        <f t="shared" ref="K69" si="16">K67+1</f>
        <v>-11</v>
      </c>
      <c r="L69" s="191">
        <f t="shared" si="13"/>
        <v>-1.5</v>
      </c>
      <c r="N69" s="189">
        <v>4</v>
      </c>
      <c r="O69" s="190">
        <f>IF(Process!$H$445=Process!$H$456,-100,IF(Process!$H$445&gt;Process!$H$456,(K69-0.5),K87-0.5))</f>
        <v>-100</v>
      </c>
      <c r="P69" s="191">
        <f t="shared" si="14"/>
        <v>-1.5</v>
      </c>
      <c r="T69" s="189"/>
      <c r="U69" s="190"/>
      <c r="V69" s="191"/>
    </row>
    <row r="70" spans="2:22" x14ac:dyDescent="0.25">
      <c r="B70" s="186"/>
      <c r="C70" s="187" t="s">
        <v>333</v>
      </c>
      <c r="D70" s="188" t="s">
        <v>334</v>
      </c>
      <c r="F70" s="189">
        <v>1</v>
      </c>
      <c r="G70" s="190">
        <f>C63*0.75</f>
        <v>-11.25</v>
      </c>
      <c r="H70" s="191">
        <f>H63</f>
        <v>-3</v>
      </c>
      <c r="J70" s="189"/>
      <c r="K70" s="190">
        <f t="shared" ref="K70" si="17">K69</f>
        <v>-11</v>
      </c>
      <c r="L70" s="191">
        <f t="shared" si="13"/>
        <v>1.5</v>
      </c>
      <c r="N70" s="189"/>
      <c r="O70" s="190">
        <f>IF(Process!$H$445=Process!$H$456,-100,IF(Process!$H$445&gt;Process!$H$456,(K70-0.5),K88-0.5))</f>
        <v>-100</v>
      </c>
      <c r="P70" s="191">
        <f t="shared" si="14"/>
        <v>1.5</v>
      </c>
      <c r="T70" s="189"/>
      <c r="U70" s="190"/>
      <c r="V70" s="191"/>
    </row>
    <row r="71" spans="2:22" x14ac:dyDescent="0.25">
      <c r="B71" s="189" t="s">
        <v>393</v>
      </c>
      <c r="C71" s="190">
        <v>-15</v>
      </c>
      <c r="D71" s="191">
        <f>-3</f>
        <v>-3</v>
      </c>
      <c r="F71" s="189"/>
      <c r="G71" s="190">
        <f>G70</f>
        <v>-11.25</v>
      </c>
      <c r="H71" s="191">
        <f t="shared" ref="H71:H75" si="18">H64</f>
        <v>3</v>
      </c>
      <c r="J71" s="189">
        <v>5</v>
      </c>
      <c r="K71" s="190">
        <f t="shared" ref="K71" si="19">K69+1</f>
        <v>-10</v>
      </c>
      <c r="L71" s="191">
        <f t="shared" si="13"/>
        <v>-1.5</v>
      </c>
      <c r="N71" s="189">
        <v>5</v>
      </c>
      <c r="O71" s="190">
        <f>IF(Process!$H$445=Process!$H$456,-100,IF(Process!$H$445&gt;Process!$H$456,(K71-0.5),K89-0.5))</f>
        <v>-100</v>
      </c>
      <c r="P71" s="191">
        <f t="shared" si="14"/>
        <v>-1.5</v>
      </c>
    </row>
    <row r="72" spans="2:22" x14ac:dyDescent="0.25">
      <c r="B72" s="189"/>
      <c r="C72" s="190">
        <f>C71</f>
        <v>-15</v>
      </c>
      <c r="D72" s="191">
        <f>-D71</f>
        <v>3</v>
      </c>
      <c r="F72" s="189">
        <v>2</v>
      </c>
      <c r="G72" s="190">
        <f>G70</f>
        <v>-11.25</v>
      </c>
      <c r="H72" s="191">
        <f t="shared" si="18"/>
        <v>-3</v>
      </c>
      <c r="J72" s="189"/>
      <c r="K72" s="190">
        <f t="shared" ref="K72" si="20">K71</f>
        <v>-10</v>
      </c>
      <c r="L72" s="191">
        <f t="shared" si="13"/>
        <v>1.5</v>
      </c>
      <c r="N72" s="189"/>
      <c r="O72" s="190">
        <f>IF(Process!$H$445=Process!$H$456,-100,IF(Process!$H$445&gt;Process!$H$456,(K72-0.5),K90-0.5))</f>
        <v>-100</v>
      </c>
      <c r="P72" s="191">
        <f t="shared" si="14"/>
        <v>1.5</v>
      </c>
    </row>
    <row r="73" spans="2:22" x14ac:dyDescent="0.25">
      <c r="B73" s="189" t="s">
        <v>394</v>
      </c>
      <c r="C73" s="190">
        <f>C65</f>
        <v>15</v>
      </c>
      <c r="D73" s="191">
        <f>D71</f>
        <v>-3</v>
      </c>
      <c r="F73" s="189"/>
      <c r="G73" s="190">
        <f>G72+1</f>
        <v>-10.25</v>
      </c>
      <c r="H73" s="191">
        <f t="shared" si="18"/>
        <v>-3</v>
      </c>
      <c r="J73" s="189">
        <v>6</v>
      </c>
      <c r="K73" s="190">
        <f t="shared" ref="K73" si="21">K71+1</f>
        <v>-9</v>
      </c>
      <c r="L73" s="191">
        <f t="shared" si="13"/>
        <v>-1.5</v>
      </c>
      <c r="N73" s="189">
        <v>6</v>
      </c>
      <c r="O73" s="190">
        <f>IF(Process!$H$445=Process!$H$456,-100,IF(Process!$H$445&gt;Process!$H$456,(K73-0.5),K91-0.5))</f>
        <v>-100</v>
      </c>
      <c r="P73" s="191">
        <f t="shared" si="14"/>
        <v>-1.5</v>
      </c>
    </row>
    <row r="74" spans="2:22" x14ac:dyDescent="0.25">
      <c r="B74" s="189"/>
      <c r="C74" s="190">
        <f>C73</f>
        <v>15</v>
      </c>
      <c r="D74" s="191">
        <f>D72</f>
        <v>3</v>
      </c>
      <c r="F74" s="189">
        <v>3</v>
      </c>
      <c r="G74" s="190">
        <f>G72</f>
        <v>-11.25</v>
      </c>
      <c r="H74" s="191">
        <f t="shared" si="18"/>
        <v>3</v>
      </c>
      <c r="J74" s="189"/>
      <c r="K74" s="190">
        <f t="shared" ref="K74" si="22">K73</f>
        <v>-9</v>
      </c>
      <c r="L74" s="191">
        <f t="shared" si="13"/>
        <v>1.5</v>
      </c>
      <c r="N74" s="189"/>
      <c r="O74" s="190">
        <f>IF(Process!$H$445=Process!$H$456,-100,IF(Process!$H$445&gt;Process!$H$456,(K74-0.5),K92-0.5))</f>
        <v>-100</v>
      </c>
      <c r="P74" s="191">
        <f t="shared" si="14"/>
        <v>1.5</v>
      </c>
    </row>
    <row r="75" spans="2:22" x14ac:dyDescent="0.25">
      <c r="B75" s="189"/>
      <c r="C75" s="190"/>
      <c r="D75" s="191"/>
      <c r="G75" s="190">
        <f>G73</f>
        <v>-10.25</v>
      </c>
      <c r="H75" s="191">
        <f t="shared" si="18"/>
        <v>3</v>
      </c>
      <c r="J75" s="189">
        <v>7</v>
      </c>
      <c r="K75" s="190">
        <f t="shared" ref="K75" si="23">K73+1</f>
        <v>-8</v>
      </c>
      <c r="L75" s="191">
        <f t="shared" si="13"/>
        <v>-1.5</v>
      </c>
      <c r="N75" s="189">
        <v>7</v>
      </c>
      <c r="O75" s="190">
        <f>IF(Process!$H$445=Process!$H$456,-100,IF(Process!$H$445&gt;Process!$H$456,(K75-0.5),K93-0.5))</f>
        <v>-100</v>
      </c>
      <c r="P75" s="191">
        <f t="shared" ref="P75:P80" si="24">P73</f>
        <v>-1.5</v>
      </c>
    </row>
    <row r="76" spans="2:22" x14ac:dyDescent="0.25">
      <c r="B76" s="119" t="s">
        <v>395</v>
      </c>
      <c r="J76" s="189"/>
      <c r="K76" s="190">
        <f t="shared" ref="K76" si="25">K75</f>
        <v>-8</v>
      </c>
      <c r="L76" s="191">
        <f t="shared" si="13"/>
        <v>1.5</v>
      </c>
      <c r="N76" s="189"/>
      <c r="O76" s="190">
        <f>IF(Process!$H$445=Process!$H$456,-100,IF(Process!$H$445&gt;Process!$H$456,(K76-0.5),K94-0.5))</f>
        <v>-100</v>
      </c>
      <c r="P76" s="191">
        <f t="shared" si="24"/>
        <v>1.5</v>
      </c>
    </row>
    <row r="77" spans="2:22" x14ac:dyDescent="0.25">
      <c r="B77" s="186"/>
      <c r="C77" s="187" t="s">
        <v>333</v>
      </c>
      <c r="D77" s="188" t="s">
        <v>334</v>
      </c>
      <c r="J77" s="189">
        <v>8</v>
      </c>
      <c r="K77" s="190">
        <f t="shared" ref="K77:K91" si="26">K75+1</f>
        <v>-7</v>
      </c>
      <c r="L77" s="191">
        <f t="shared" si="13"/>
        <v>-1.5</v>
      </c>
      <c r="N77" s="189">
        <v>8</v>
      </c>
      <c r="O77" s="190">
        <f>IF(Process!$H$445=Process!$H$456,-100,IF(Process!$H$445&gt;Process!$H$456,(K77-0.5),K95-0.5))</f>
        <v>-100</v>
      </c>
      <c r="P77" s="191">
        <f t="shared" si="24"/>
        <v>-1.5</v>
      </c>
    </row>
    <row r="78" spans="2:22" x14ac:dyDescent="0.25">
      <c r="B78" s="189" t="s">
        <v>396</v>
      </c>
      <c r="C78" s="190">
        <v>-15</v>
      </c>
      <c r="D78" s="191">
        <f>D72-1</f>
        <v>2</v>
      </c>
      <c r="F78" s="119" t="s">
        <v>422</v>
      </c>
      <c r="J78" s="189"/>
      <c r="K78" s="190">
        <f>K77</f>
        <v>-7</v>
      </c>
      <c r="L78" s="191">
        <f t="shared" si="13"/>
        <v>1.5</v>
      </c>
      <c r="N78" s="189"/>
      <c r="O78" s="190">
        <f>IF(Process!$H$445=Process!$H$456,-100,IF(Process!$H$445&gt;Process!$H$456,(K78-0.5),K96-0.5))</f>
        <v>-100</v>
      </c>
      <c r="P78" s="191">
        <f t="shared" si="24"/>
        <v>1.5</v>
      </c>
    </row>
    <row r="79" spans="2:22" x14ac:dyDescent="0.25">
      <c r="B79" s="189"/>
      <c r="C79" s="190">
        <f>C78-1</f>
        <v>-16</v>
      </c>
      <c r="D79" s="191">
        <f>D78-1.5</f>
        <v>0.5</v>
      </c>
      <c r="F79" s="186"/>
      <c r="G79" s="187" t="s">
        <v>333</v>
      </c>
      <c r="H79" s="188" t="s">
        <v>334</v>
      </c>
      <c r="J79" s="189">
        <v>9</v>
      </c>
      <c r="K79" s="190">
        <f t="shared" si="26"/>
        <v>-6</v>
      </c>
      <c r="L79" s="191">
        <f t="shared" si="13"/>
        <v>-1.5</v>
      </c>
      <c r="N79" s="189">
        <v>9</v>
      </c>
      <c r="O79" s="190">
        <f>IF(Process!$H$445=Process!$H$456,-100,IF(Process!$H$445&gt;Process!$H$456,(K79-0.5),K97-0.5))</f>
        <v>-100</v>
      </c>
      <c r="P79" s="191">
        <f t="shared" si="24"/>
        <v>-1.5</v>
      </c>
    </row>
    <row r="80" spans="2:22" x14ac:dyDescent="0.25">
      <c r="B80" s="189" t="s">
        <v>397</v>
      </c>
      <c r="C80" s="190">
        <f>C78</f>
        <v>-15</v>
      </c>
      <c r="D80" s="191">
        <v>0</v>
      </c>
      <c r="F80" s="189" t="s">
        <v>388</v>
      </c>
      <c r="G80" s="190">
        <v>-15</v>
      </c>
      <c r="H80" s="191">
        <v>-2</v>
      </c>
      <c r="J80" s="189"/>
      <c r="K80" s="190">
        <f t="shared" ref="K80" si="27">K79</f>
        <v>-6</v>
      </c>
      <c r="L80" s="191">
        <f t="shared" si="13"/>
        <v>1.5</v>
      </c>
      <c r="N80" s="189"/>
      <c r="O80" s="190">
        <f>IF(Process!$H$445=Process!$H$456,-100,IF(Process!$H$445&gt;Process!$H$456,(K80-0.5),K98-0.5))</f>
        <v>-100</v>
      </c>
      <c r="P80" s="191">
        <f t="shared" si="24"/>
        <v>1.5</v>
      </c>
    </row>
    <row r="81" spans="2:17" x14ac:dyDescent="0.25">
      <c r="B81" s="189"/>
      <c r="C81" s="190">
        <f>C79</f>
        <v>-16</v>
      </c>
      <c r="D81" s="191">
        <f>D80-1.5</f>
        <v>-1.5</v>
      </c>
      <c r="F81" s="189"/>
      <c r="G81" s="190">
        <f>-G80</f>
        <v>15</v>
      </c>
      <c r="H81" s="191">
        <f>H80</f>
        <v>-2</v>
      </c>
      <c r="I81" s="204" t="s">
        <v>421</v>
      </c>
      <c r="J81" s="189">
        <v>10</v>
      </c>
      <c r="K81" s="190">
        <f t="shared" si="26"/>
        <v>-5</v>
      </c>
      <c r="L81" s="191">
        <f t="shared" si="13"/>
        <v>-1.5</v>
      </c>
      <c r="N81" s="189">
        <v>10</v>
      </c>
      <c r="O81" s="190">
        <f>IF(Process!$H$445=Process!$H$456,-100,IF(Process!$H$445&gt;Process!$H$456,(K105-0.5),K99-0.5))</f>
        <v>-100</v>
      </c>
      <c r="P81" s="191">
        <f t="shared" ref="P81:P98" si="28">L93</f>
        <v>-1.5</v>
      </c>
      <c r="Q81" s="99" t="s">
        <v>439</v>
      </c>
    </row>
    <row r="82" spans="2:17" x14ac:dyDescent="0.25">
      <c r="B82" s="165" t="s">
        <v>398</v>
      </c>
      <c r="C82" s="190">
        <f>C80</f>
        <v>-15</v>
      </c>
      <c r="D82" s="190">
        <f>-D78</f>
        <v>-2</v>
      </c>
      <c r="F82" s="189" t="s">
        <v>389</v>
      </c>
      <c r="G82" s="190">
        <f>-G81</f>
        <v>-15</v>
      </c>
      <c r="H82" s="191">
        <f>-H81</f>
        <v>2</v>
      </c>
      <c r="J82" s="189"/>
      <c r="K82" s="190">
        <f t="shared" ref="K82" si="29">K81</f>
        <v>-5</v>
      </c>
      <c r="L82" s="191">
        <f t="shared" si="13"/>
        <v>1.5</v>
      </c>
      <c r="N82" s="189"/>
      <c r="O82" s="190">
        <f>IF(Process!$H$445=Process!$H$456,-100,IF(Process!$H$445&gt;Process!$H$456,(K106-0.5),K100-0.5))</f>
        <v>-100</v>
      </c>
      <c r="P82" s="191">
        <f t="shared" si="28"/>
        <v>1.5</v>
      </c>
    </row>
    <row r="83" spans="2:17" x14ac:dyDescent="0.25">
      <c r="C83" s="190">
        <f>C81</f>
        <v>-16</v>
      </c>
      <c r="D83" s="190">
        <f>D82-1.5</f>
        <v>-3.5</v>
      </c>
      <c r="F83" s="189"/>
      <c r="G83" s="190">
        <f>-G82</f>
        <v>15</v>
      </c>
      <c r="H83" s="191">
        <f>H82</f>
        <v>2</v>
      </c>
      <c r="J83" s="189">
        <v>11</v>
      </c>
      <c r="K83" s="190">
        <f t="shared" si="26"/>
        <v>-4</v>
      </c>
      <c r="L83" s="191">
        <f t="shared" si="13"/>
        <v>-1.5</v>
      </c>
      <c r="N83" s="189">
        <v>11</v>
      </c>
      <c r="O83" s="190">
        <f>IF(Process!$H$445=Process!$H$456,-100,IF(Process!$H$445&gt;Process!$H$456,(K107-0.5),K101-0.5))</f>
        <v>-100</v>
      </c>
      <c r="P83" s="191">
        <f t="shared" si="28"/>
        <v>-1.5</v>
      </c>
    </row>
    <row r="84" spans="2:17" x14ac:dyDescent="0.25">
      <c r="B84" s="189" t="s">
        <v>399</v>
      </c>
      <c r="C84" s="190">
        <f>-C78</f>
        <v>15</v>
      </c>
      <c r="D84" s="191">
        <f>D78-1</f>
        <v>1</v>
      </c>
      <c r="F84" s="189"/>
      <c r="G84" s="190"/>
      <c r="H84" s="191"/>
      <c r="J84" s="189"/>
      <c r="K84" s="190">
        <f t="shared" ref="K84" si="30">K83</f>
        <v>-4</v>
      </c>
      <c r="L84" s="191">
        <f t="shared" si="13"/>
        <v>1.5</v>
      </c>
      <c r="N84" s="189"/>
      <c r="O84" s="190">
        <f>IF(Process!$H$445=Process!$H$456,-100,IF(Process!$H$445&gt;Process!$H$456,(K108-0.5),K102-0.5))</f>
        <v>-100</v>
      </c>
      <c r="P84" s="191">
        <f t="shared" si="28"/>
        <v>1.5</v>
      </c>
    </row>
    <row r="85" spans="2:17" x14ac:dyDescent="0.25">
      <c r="B85" s="189"/>
      <c r="C85" s="190">
        <f>-C79</f>
        <v>16</v>
      </c>
      <c r="D85" s="191">
        <f>D84+1.5</f>
        <v>2.5</v>
      </c>
      <c r="F85" s="119" t="s">
        <v>434</v>
      </c>
      <c r="J85" s="189">
        <v>12</v>
      </c>
      <c r="K85" s="190">
        <f t="shared" si="26"/>
        <v>-3</v>
      </c>
      <c r="L85" s="191">
        <f t="shared" si="13"/>
        <v>-1.5</v>
      </c>
      <c r="N85" s="189">
        <v>12</v>
      </c>
      <c r="O85" s="190">
        <f>IF(Process!$H$445=Process!$H$456,-100,IF(Process!$H$445&gt;Process!$H$456,(K109-0.5),K103-0.5))</f>
        <v>-100</v>
      </c>
      <c r="P85" s="191">
        <f t="shared" si="28"/>
        <v>-1.5</v>
      </c>
    </row>
    <row r="86" spans="2:17" x14ac:dyDescent="0.25">
      <c r="B86" s="189" t="s">
        <v>400</v>
      </c>
      <c r="C86" s="190">
        <f>-C78</f>
        <v>15</v>
      </c>
      <c r="D86" s="191">
        <f>-1</f>
        <v>-1</v>
      </c>
      <c r="F86" s="186"/>
      <c r="G86" s="187" t="s">
        <v>333</v>
      </c>
      <c r="H86" s="188" t="s">
        <v>334</v>
      </c>
      <c r="J86" s="189"/>
      <c r="K86" s="190">
        <f t="shared" ref="K86" si="31">K85</f>
        <v>-3</v>
      </c>
      <c r="L86" s="191">
        <f t="shared" si="13"/>
        <v>1.5</v>
      </c>
      <c r="N86" s="189"/>
      <c r="O86" s="190">
        <f>IF(Process!$H$445=Process!$H$456,-100,IF(Process!$H$445&gt;Process!$H$456,(K110-0.5),K104-0.5))</f>
        <v>-100</v>
      </c>
      <c r="P86" s="191">
        <f t="shared" si="28"/>
        <v>1.5</v>
      </c>
    </row>
    <row r="87" spans="2:17" x14ac:dyDescent="0.25">
      <c r="B87" s="189"/>
      <c r="C87" s="190">
        <f>-C79</f>
        <v>16</v>
      </c>
      <c r="D87" s="191">
        <f>D86+1.5</f>
        <v>0.5</v>
      </c>
      <c r="F87" s="189" t="s">
        <v>388</v>
      </c>
      <c r="G87" s="190">
        <v>-15</v>
      </c>
      <c r="H87" s="191">
        <v>0</v>
      </c>
      <c r="J87" s="189">
        <v>13</v>
      </c>
      <c r="K87" s="190">
        <f t="shared" si="26"/>
        <v>-2</v>
      </c>
      <c r="L87" s="191">
        <f t="shared" si="13"/>
        <v>-1.5</v>
      </c>
      <c r="N87" s="189">
        <v>13</v>
      </c>
      <c r="O87" s="190">
        <f>IF(Process!$H$445=Process!$H$456,-100,IF(Process!$H$445&gt;Process!$H$456,(K111-0.5),K105-0.5))</f>
        <v>-100</v>
      </c>
      <c r="P87" s="191">
        <f t="shared" si="28"/>
        <v>-1.5</v>
      </c>
      <c r="Q87" s="99" t="s">
        <v>421</v>
      </c>
    </row>
    <row r="88" spans="2:17" x14ac:dyDescent="0.25">
      <c r="B88" s="165" t="s">
        <v>401</v>
      </c>
      <c r="C88" s="190">
        <f>C86</f>
        <v>15</v>
      </c>
      <c r="D88" s="190">
        <f>-D78-1</f>
        <v>-3</v>
      </c>
      <c r="F88" s="189"/>
      <c r="G88" s="190">
        <f>-G87</f>
        <v>15</v>
      </c>
      <c r="H88" s="191">
        <f>H87</f>
        <v>0</v>
      </c>
      <c r="J88" s="189"/>
      <c r="K88" s="190">
        <f t="shared" ref="K88" si="32">K87</f>
        <v>-2</v>
      </c>
      <c r="L88" s="191">
        <f t="shared" si="13"/>
        <v>1.5</v>
      </c>
      <c r="N88" s="189"/>
      <c r="O88" s="190">
        <f>IF(Process!$H$445=Process!$H$456,-100,IF(Process!$H$445&gt;Process!$H$456,(K112-0.5),K106-0.5))</f>
        <v>-100</v>
      </c>
      <c r="P88" s="191">
        <f t="shared" si="28"/>
        <v>1.5</v>
      </c>
    </row>
    <row r="89" spans="2:17" x14ac:dyDescent="0.25">
      <c r="C89" s="190">
        <f>C87</f>
        <v>16</v>
      </c>
      <c r="D89" s="190">
        <f>D88+1.5</f>
        <v>-1.5</v>
      </c>
      <c r="J89" s="189">
        <v>14</v>
      </c>
      <c r="K89" s="190">
        <f t="shared" si="26"/>
        <v>-1</v>
      </c>
      <c r="L89" s="191">
        <f t="shared" si="13"/>
        <v>-1.5</v>
      </c>
      <c r="N89" s="189">
        <v>14</v>
      </c>
      <c r="O89" s="190">
        <f>IF(Process!$H$445=Process!$H$456,-100,IF(Process!$H$445&gt;Process!$H$456,(K113-0.5),K107-0.5))</f>
        <v>-100</v>
      </c>
      <c r="P89" s="191">
        <f t="shared" si="28"/>
        <v>-1.5</v>
      </c>
    </row>
    <row r="90" spans="2:17" x14ac:dyDescent="0.25">
      <c r="J90" s="189"/>
      <c r="K90" s="190">
        <f t="shared" ref="K90" si="33">K89</f>
        <v>-1</v>
      </c>
      <c r="L90" s="191">
        <f t="shared" si="13"/>
        <v>1.5</v>
      </c>
      <c r="N90" s="189"/>
      <c r="O90" s="190">
        <f>IF(Process!$H$445=Process!$H$456,-100,IF(Process!$H$445&gt;Process!$H$456,(K114-0.5),K108-0.5))</f>
        <v>-100</v>
      </c>
      <c r="P90" s="191">
        <f t="shared" si="28"/>
        <v>1.5</v>
      </c>
    </row>
    <row r="91" spans="2:17" x14ac:dyDescent="0.25">
      <c r="J91" s="189">
        <v>15</v>
      </c>
      <c r="K91" s="190">
        <f t="shared" si="26"/>
        <v>0</v>
      </c>
      <c r="L91" s="191">
        <f t="shared" si="13"/>
        <v>-1.5</v>
      </c>
      <c r="M91" s="189"/>
      <c r="N91" s="189">
        <v>15</v>
      </c>
      <c r="O91" s="190">
        <f>IF(Process!$H$445=Process!$H$456,-100,IF(Process!$H$445&gt;Process!$H$456,(K115-0.5),K109-0.5))</f>
        <v>-100</v>
      </c>
      <c r="P91" s="191">
        <f t="shared" si="28"/>
        <v>-1.5</v>
      </c>
    </row>
    <row r="92" spans="2:17" x14ac:dyDescent="0.25">
      <c r="J92" s="189"/>
      <c r="K92" s="190">
        <f t="shared" ref="K92" si="34">K91</f>
        <v>0</v>
      </c>
      <c r="L92" s="191">
        <f t="shared" si="13"/>
        <v>1.5</v>
      </c>
      <c r="M92" s="189"/>
      <c r="N92" s="189"/>
      <c r="O92" s="190">
        <f>IF(Process!$H$445=Process!$H$456,-100,IF(Process!$H$445&gt;Process!$H$456,(K116-0.5),K110-0.5))</f>
        <v>-100</v>
      </c>
      <c r="P92" s="191">
        <f t="shared" si="28"/>
        <v>1.5</v>
      </c>
    </row>
    <row r="93" spans="2:17" x14ac:dyDescent="0.25">
      <c r="J93" s="189">
        <v>16</v>
      </c>
      <c r="K93" s="190">
        <v>1</v>
      </c>
      <c r="L93" s="191">
        <v>-1.5</v>
      </c>
      <c r="N93" s="189">
        <v>16</v>
      </c>
      <c r="O93" s="190">
        <f>IF(Process!$H$445=Process!$H$456,-100,IF(Process!$H$445&gt;Process!$H$456,(K117-0.5),K111-0.5))</f>
        <v>-100</v>
      </c>
      <c r="P93" s="191">
        <f t="shared" si="28"/>
        <v>-1.5</v>
      </c>
    </row>
    <row r="94" spans="2:17" x14ac:dyDescent="0.25">
      <c r="J94" s="189"/>
      <c r="K94" s="190">
        <f>K93</f>
        <v>1</v>
      </c>
      <c r="L94" s="191">
        <v>1.5</v>
      </c>
      <c r="N94" s="189"/>
      <c r="O94" s="190">
        <f>IF(Process!$H$445=Process!$H$456,-100,IF(Process!$H$445&gt;Process!$H$456,(K118-0.5),K112-0.5))</f>
        <v>-100</v>
      </c>
      <c r="P94" s="191">
        <f t="shared" si="28"/>
        <v>1.5</v>
      </c>
    </row>
    <row r="95" spans="2:17" x14ac:dyDescent="0.25">
      <c r="J95" s="189">
        <v>17</v>
      </c>
      <c r="K95" s="190">
        <f>K93+1</f>
        <v>2</v>
      </c>
      <c r="L95" s="191">
        <f>L93</f>
        <v>-1.5</v>
      </c>
      <c r="N95" s="189">
        <v>17</v>
      </c>
      <c r="O95" s="190">
        <f>IF(Process!$H$445=Process!$H$456,-100,IF(Process!$H$445&gt;Process!$H$456,(K119-0.5),K113-0.5))</f>
        <v>-100</v>
      </c>
      <c r="P95" s="191">
        <f t="shared" si="28"/>
        <v>-1.5</v>
      </c>
    </row>
    <row r="96" spans="2:17" x14ac:dyDescent="0.25">
      <c r="J96" s="189"/>
      <c r="K96" s="190">
        <f>K95</f>
        <v>2</v>
      </c>
      <c r="L96" s="191">
        <f>L94</f>
        <v>1.5</v>
      </c>
      <c r="N96" s="189"/>
      <c r="O96" s="190">
        <f>IF(Process!$H$445=Process!$H$456,-100,IF(Process!$H$445&gt;Process!$H$456,(K120-0.5),K114-0.5))</f>
        <v>-100</v>
      </c>
      <c r="P96" s="191">
        <f t="shared" si="28"/>
        <v>1.5</v>
      </c>
    </row>
    <row r="97" spans="10:16" x14ac:dyDescent="0.25">
      <c r="J97" s="189">
        <v>18</v>
      </c>
      <c r="K97" s="190">
        <f t="shared" ref="K97" si="35">K95+1</f>
        <v>3</v>
      </c>
      <c r="L97" s="191">
        <f t="shared" ref="L97:L120" si="36">L95</f>
        <v>-1.5</v>
      </c>
      <c r="N97" s="189">
        <v>18</v>
      </c>
      <c r="O97" s="190">
        <f>IF(Process!$H$445=Process!$H$456,-100,IF(Process!$H$445&gt;Process!$H$456,(K121-0.5),K115-0.5))</f>
        <v>-100</v>
      </c>
      <c r="P97" s="191">
        <f t="shared" si="28"/>
        <v>-1.5</v>
      </c>
    </row>
    <row r="98" spans="10:16" x14ac:dyDescent="0.25">
      <c r="J98" s="189"/>
      <c r="K98" s="190">
        <f t="shared" ref="K98" si="37">K97</f>
        <v>3</v>
      </c>
      <c r="L98" s="191">
        <f t="shared" si="36"/>
        <v>1.5</v>
      </c>
      <c r="N98" s="189"/>
      <c r="O98" s="190">
        <f>IF(Process!$H$445=Process!$H$456,-100,IF(Process!$H$445&gt;Process!$H$456,(K122-0.5),K116-0.5))</f>
        <v>-100</v>
      </c>
      <c r="P98" s="191">
        <f t="shared" si="28"/>
        <v>1.5</v>
      </c>
    </row>
    <row r="99" spans="10:16" x14ac:dyDescent="0.25">
      <c r="J99" s="189">
        <v>19</v>
      </c>
      <c r="K99" s="190">
        <f t="shared" ref="K99" si="38">K97+1</f>
        <v>4</v>
      </c>
      <c r="L99" s="191">
        <f t="shared" si="36"/>
        <v>-1.5</v>
      </c>
      <c r="N99" s="189"/>
      <c r="O99" s="190"/>
      <c r="P99" s="191"/>
    </row>
    <row r="100" spans="10:16" x14ac:dyDescent="0.25">
      <c r="J100" s="189"/>
      <c r="K100" s="190">
        <f t="shared" ref="K100" si="39">K99</f>
        <v>4</v>
      </c>
      <c r="L100" s="191">
        <f t="shared" si="36"/>
        <v>1.5</v>
      </c>
      <c r="N100" s="189"/>
      <c r="O100" s="190"/>
      <c r="P100" s="191"/>
    </row>
    <row r="101" spans="10:16" x14ac:dyDescent="0.25">
      <c r="J101" s="189">
        <v>20</v>
      </c>
      <c r="K101" s="190">
        <f t="shared" ref="K101" si="40">K99+1</f>
        <v>5</v>
      </c>
      <c r="L101" s="191">
        <f t="shared" si="36"/>
        <v>-1.5</v>
      </c>
    </row>
    <row r="102" spans="10:16" x14ac:dyDescent="0.25">
      <c r="J102" s="189"/>
      <c r="K102" s="190">
        <f t="shared" ref="K102" si="41">K101</f>
        <v>5</v>
      </c>
      <c r="L102" s="191">
        <f t="shared" si="36"/>
        <v>1.5</v>
      </c>
      <c r="M102" s="99" t="s">
        <v>421</v>
      </c>
    </row>
    <row r="103" spans="10:16" x14ac:dyDescent="0.25">
      <c r="J103" s="189">
        <v>21</v>
      </c>
      <c r="K103" s="190">
        <f t="shared" ref="K103" si="42">K101+1</f>
        <v>6</v>
      </c>
      <c r="L103" s="191">
        <f t="shared" si="36"/>
        <v>-1.5</v>
      </c>
    </row>
    <row r="104" spans="10:16" x14ac:dyDescent="0.25">
      <c r="J104" s="189"/>
      <c r="K104" s="190">
        <f t="shared" ref="K104" si="43">K103</f>
        <v>6</v>
      </c>
      <c r="L104" s="191">
        <f t="shared" si="36"/>
        <v>1.5</v>
      </c>
    </row>
    <row r="105" spans="10:16" x14ac:dyDescent="0.25">
      <c r="J105" s="189">
        <v>22</v>
      </c>
      <c r="K105" s="190">
        <f t="shared" ref="K105" si="44">K103+1</f>
        <v>7</v>
      </c>
      <c r="L105" s="191">
        <f t="shared" si="36"/>
        <v>-1.5</v>
      </c>
    </row>
    <row r="106" spans="10:16" x14ac:dyDescent="0.25">
      <c r="J106" s="189"/>
      <c r="K106" s="190">
        <f t="shared" ref="K106" si="45">K105</f>
        <v>7</v>
      </c>
      <c r="L106" s="191">
        <f t="shared" si="36"/>
        <v>1.5</v>
      </c>
    </row>
    <row r="107" spans="10:16" x14ac:dyDescent="0.25">
      <c r="J107" s="189">
        <v>23</v>
      </c>
      <c r="K107" s="190">
        <f t="shared" ref="K107:K119" si="46">K105+1</f>
        <v>8</v>
      </c>
      <c r="L107" s="191">
        <f t="shared" si="36"/>
        <v>-1.5</v>
      </c>
    </row>
    <row r="108" spans="10:16" x14ac:dyDescent="0.25">
      <c r="J108" s="189"/>
      <c r="K108" s="190">
        <f>K107</f>
        <v>8</v>
      </c>
      <c r="L108" s="191">
        <f t="shared" si="36"/>
        <v>1.5</v>
      </c>
    </row>
    <row r="109" spans="10:16" x14ac:dyDescent="0.25">
      <c r="J109" s="189">
        <v>24</v>
      </c>
      <c r="K109" s="190">
        <f t="shared" si="46"/>
        <v>9</v>
      </c>
      <c r="L109" s="191">
        <f t="shared" si="36"/>
        <v>-1.5</v>
      </c>
    </row>
    <row r="110" spans="10:16" x14ac:dyDescent="0.25">
      <c r="J110" s="189"/>
      <c r="K110" s="190">
        <f t="shared" ref="K110" si="47">K109</f>
        <v>9</v>
      </c>
      <c r="L110" s="191">
        <f t="shared" si="36"/>
        <v>1.5</v>
      </c>
    </row>
    <row r="111" spans="10:16" x14ac:dyDescent="0.25">
      <c r="J111" s="189">
        <v>25</v>
      </c>
      <c r="K111" s="190">
        <f t="shared" si="46"/>
        <v>10</v>
      </c>
      <c r="L111" s="191">
        <f t="shared" si="36"/>
        <v>-1.5</v>
      </c>
    </row>
    <row r="112" spans="10:16" x14ac:dyDescent="0.25">
      <c r="J112" s="189"/>
      <c r="K112" s="190">
        <f t="shared" ref="K112" si="48">K111</f>
        <v>10</v>
      </c>
      <c r="L112" s="191">
        <f t="shared" si="36"/>
        <v>1.5</v>
      </c>
    </row>
    <row r="113" spans="10:12" x14ac:dyDescent="0.25">
      <c r="J113" s="189">
        <v>26</v>
      </c>
      <c r="K113" s="190">
        <f t="shared" si="46"/>
        <v>11</v>
      </c>
      <c r="L113" s="191">
        <f t="shared" si="36"/>
        <v>-1.5</v>
      </c>
    </row>
    <row r="114" spans="10:12" x14ac:dyDescent="0.25">
      <c r="J114" s="189"/>
      <c r="K114" s="190">
        <f t="shared" ref="K114" si="49">K113</f>
        <v>11</v>
      </c>
      <c r="L114" s="191">
        <f t="shared" si="36"/>
        <v>1.5</v>
      </c>
    </row>
    <row r="115" spans="10:12" x14ac:dyDescent="0.25">
      <c r="J115" s="189">
        <v>27</v>
      </c>
      <c r="K115" s="190">
        <f t="shared" si="46"/>
        <v>12</v>
      </c>
      <c r="L115" s="191">
        <f t="shared" si="36"/>
        <v>-1.5</v>
      </c>
    </row>
    <row r="116" spans="10:12" x14ac:dyDescent="0.25">
      <c r="J116" s="189"/>
      <c r="K116" s="190">
        <f t="shared" ref="K116" si="50">K115</f>
        <v>12</v>
      </c>
      <c r="L116" s="191">
        <f t="shared" si="36"/>
        <v>1.5</v>
      </c>
    </row>
    <row r="117" spans="10:12" x14ac:dyDescent="0.25">
      <c r="J117" s="189">
        <v>28</v>
      </c>
      <c r="K117" s="190">
        <f t="shared" si="46"/>
        <v>13</v>
      </c>
      <c r="L117" s="191">
        <f t="shared" si="36"/>
        <v>-1.5</v>
      </c>
    </row>
    <row r="118" spans="10:12" x14ac:dyDescent="0.25">
      <c r="J118" s="189"/>
      <c r="K118" s="190">
        <f t="shared" ref="K118" si="51">K117</f>
        <v>13</v>
      </c>
      <c r="L118" s="191">
        <f t="shared" si="36"/>
        <v>1.5</v>
      </c>
    </row>
    <row r="119" spans="10:12" x14ac:dyDescent="0.25">
      <c r="J119" s="189">
        <v>29</v>
      </c>
      <c r="K119" s="190">
        <f t="shared" si="46"/>
        <v>14</v>
      </c>
      <c r="L119" s="191">
        <f t="shared" si="36"/>
        <v>-1.5</v>
      </c>
    </row>
    <row r="120" spans="10:12" x14ac:dyDescent="0.25">
      <c r="J120" s="189"/>
      <c r="K120" s="190">
        <f t="shared" ref="K120" si="52">K119</f>
        <v>14</v>
      </c>
      <c r="L120" s="191">
        <f t="shared" si="36"/>
        <v>1.5</v>
      </c>
    </row>
    <row r="121" spans="10:12" x14ac:dyDescent="0.25">
      <c r="K121" s="190">
        <v>15</v>
      </c>
    </row>
    <row r="122" spans="10:12" x14ac:dyDescent="0.25">
      <c r="K122" s="190">
        <v>15</v>
      </c>
    </row>
    <row r="123" spans="10:12" x14ac:dyDescent="0.25">
      <c r="K123" s="190"/>
    </row>
  </sheetData>
  <mergeCells count="11">
    <mergeCell ref="L47:M47"/>
    <mergeCell ref="J47:K47"/>
    <mergeCell ref="H47:I47"/>
    <mergeCell ref="J41:L41"/>
    <mergeCell ref="D7:D8"/>
    <mergeCell ref="D9:D10"/>
    <mergeCell ref="D11:D12"/>
    <mergeCell ref="D13:D14"/>
    <mergeCell ref="H41:I41"/>
    <mergeCell ref="H44:I44"/>
    <mergeCell ref="J44:K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E1C2-57C2-4D5A-9509-B9FF71880E16}">
  <sheetPr>
    <tabColor rgb="FFC00000"/>
  </sheetPr>
  <dimension ref="A1:O481"/>
  <sheetViews>
    <sheetView showGridLines="0" zoomScaleNormal="100" workbookViewId="0">
      <selection activeCell="H18" sqref="H18"/>
    </sheetView>
  </sheetViews>
  <sheetFormatPr defaultRowHeight="18.75" customHeight="1" x14ac:dyDescent="0.25"/>
  <cols>
    <col min="1" max="1" width="6.7109375" customWidth="1"/>
    <col min="2" max="9" width="13.5703125" customWidth="1"/>
    <col min="10" max="10" width="46.42578125" style="242" customWidth="1"/>
  </cols>
  <sheetData>
    <row r="1" spans="1:10" ht="18.75" customHeight="1" x14ac:dyDescent="0.25">
      <c r="A1" s="25" t="s">
        <v>0</v>
      </c>
      <c r="B1" s="278" t="s">
        <v>1</v>
      </c>
      <c r="C1" s="278"/>
      <c r="D1" s="278"/>
      <c r="E1" s="278"/>
      <c r="F1" s="278"/>
      <c r="G1" s="25" t="s">
        <v>2</v>
      </c>
      <c r="H1" s="25" t="s">
        <v>3</v>
      </c>
      <c r="I1" s="25" t="s">
        <v>4</v>
      </c>
      <c r="J1" s="244" t="s">
        <v>445</v>
      </c>
    </row>
    <row r="2" spans="1:10" ht="18.75" customHeight="1" x14ac:dyDescent="0.25">
      <c r="A2" s="226" t="s">
        <v>29</v>
      </c>
      <c r="B2" s="227" t="s">
        <v>30</v>
      </c>
      <c r="C2" s="228"/>
      <c r="D2" s="229"/>
      <c r="E2" s="230"/>
      <c r="F2" s="231"/>
      <c r="G2" s="229"/>
      <c r="H2" s="230"/>
      <c r="I2" s="232"/>
    </row>
    <row r="3" spans="1:10" ht="18.75" customHeight="1" x14ac:dyDescent="0.25">
      <c r="A3" s="1"/>
      <c r="B3" s="11" t="s">
        <v>7</v>
      </c>
      <c r="C3" s="11"/>
      <c r="D3" s="11"/>
      <c r="E3" s="11"/>
      <c r="F3" s="11"/>
      <c r="G3" s="12" t="s">
        <v>8</v>
      </c>
      <c r="H3" s="32">
        <f>Input!H4</f>
        <v>30</v>
      </c>
      <c r="I3" s="13" t="s">
        <v>9</v>
      </c>
    </row>
    <row r="4" spans="1:10" ht="18.75" customHeight="1" x14ac:dyDescent="0.25">
      <c r="A4" s="1"/>
      <c r="B4" s="11" t="s">
        <v>10</v>
      </c>
      <c r="C4" s="11"/>
      <c r="D4" s="11"/>
      <c r="E4" s="11"/>
      <c r="F4" s="11"/>
      <c r="G4" s="12" t="s">
        <v>11</v>
      </c>
      <c r="H4" s="32">
        <f>Input!H5</f>
        <v>420</v>
      </c>
      <c r="I4" s="13" t="s">
        <v>9</v>
      </c>
    </row>
    <row r="5" spans="1:10" ht="18.75" customHeight="1" x14ac:dyDescent="0.25">
      <c r="A5" s="1"/>
      <c r="B5" s="11" t="s">
        <v>141</v>
      </c>
      <c r="C5" s="11"/>
      <c r="D5" s="11"/>
      <c r="E5" s="11"/>
      <c r="F5" s="11"/>
      <c r="G5" s="12" t="s">
        <v>14</v>
      </c>
      <c r="H5" s="32">
        <f>Input!H7</f>
        <v>200000</v>
      </c>
      <c r="I5" s="13" t="s">
        <v>9</v>
      </c>
    </row>
    <row r="6" spans="1:10" ht="18.75" customHeight="1" x14ac:dyDescent="0.25">
      <c r="A6" s="1"/>
      <c r="B6" s="11" t="s">
        <v>31</v>
      </c>
      <c r="C6" s="11"/>
      <c r="D6" s="11"/>
      <c r="E6" s="11"/>
      <c r="F6" s="11"/>
      <c r="G6" s="12" t="s">
        <v>59</v>
      </c>
      <c r="H6" s="31">
        <f>Input!H21-Input!H25-Input!H23-0.5*Input!H22</f>
        <v>437</v>
      </c>
      <c r="I6" s="13" t="s">
        <v>19</v>
      </c>
      <c r="J6" s="242" t="s">
        <v>319</v>
      </c>
    </row>
    <row r="7" spans="1:10" ht="18.75" customHeight="1" x14ac:dyDescent="0.25">
      <c r="A7" s="5"/>
      <c r="I7" s="17"/>
    </row>
    <row r="8" spans="1:10" ht="18.75" customHeight="1" x14ac:dyDescent="0.25">
      <c r="A8" s="1"/>
      <c r="B8" s="11" t="s">
        <v>35</v>
      </c>
      <c r="C8" s="11"/>
      <c r="D8" s="11"/>
      <c r="E8" s="11"/>
      <c r="F8" s="11"/>
      <c r="G8" s="12" t="s">
        <v>36</v>
      </c>
      <c r="H8" s="31" t="str">
        <f>IF(H3&gt;=17,IF(H3&lt;=28,0.85,"-"),"-")</f>
        <v>-</v>
      </c>
      <c r="I8" s="13"/>
      <c r="J8" s="242" t="s">
        <v>316</v>
      </c>
    </row>
    <row r="9" spans="1:10" ht="18.75" customHeight="1" x14ac:dyDescent="0.25">
      <c r="A9" s="1"/>
      <c r="B9" s="11" t="s">
        <v>37</v>
      </c>
      <c r="C9" s="11"/>
      <c r="D9" s="11"/>
      <c r="E9" s="11"/>
      <c r="F9" s="11"/>
      <c r="G9" s="12" t="s">
        <v>290</v>
      </c>
      <c r="H9" s="32">
        <f>IF(H3&gt;28,IF(H3&lt;55,0.85-0.05*(H3-28)/7,"-"),"-")</f>
        <v>0.83571428571428574</v>
      </c>
      <c r="I9" s="13"/>
    </row>
    <row r="10" spans="1:10" ht="18.75" customHeight="1" x14ac:dyDescent="0.25">
      <c r="A10" s="1"/>
      <c r="B10" s="11" t="s">
        <v>38</v>
      </c>
      <c r="C10" s="11"/>
      <c r="D10" s="11"/>
      <c r="E10" s="11"/>
      <c r="F10" s="11"/>
      <c r="G10" s="12" t="s">
        <v>39</v>
      </c>
      <c r="H10" s="32" t="str">
        <f>IF(H3&gt;=55,0.65,"-")</f>
        <v>-</v>
      </c>
      <c r="I10" s="13"/>
    </row>
    <row r="11" spans="1:10" ht="18.75" customHeight="1" x14ac:dyDescent="0.25">
      <c r="A11" s="1"/>
      <c r="B11" s="11" t="s">
        <v>40</v>
      </c>
      <c r="C11" s="11"/>
      <c r="D11" s="11"/>
      <c r="E11" s="11"/>
      <c r="F11" s="15" t="s">
        <v>41</v>
      </c>
      <c r="G11" s="12" t="s">
        <v>39</v>
      </c>
      <c r="H11" s="32">
        <f>MAX(H8:H10)</f>
        <v>0.83571428571428574</v>
      </c>
      <c r="I11" s="13"/>
    </row>
    <row r="12" spans="1:10" ht="18.75" customHeight="1" x14ac:dyDescent="0.25">
      <c r="A12" s="1"/>
      <c r="B12" s="11" t="s">
        <v>42</v>
      </c>
      <c r="C12" s="11"/>
      <c r="D12" s="11"/>
      <c r="E12" s="11"/>
      <c r="F12" s="15"/>
      <c r="G12" s="12"/>
      <c r="H12" s="14"/>
      <c r="I12" s="13"/>
    </row>
    <row r="13" spans="1:10" ht="18.75" customHeight="1" x14ac:dyDescent="0.25">
      <c r="A13" s="1"/>
      <c r="B13" s="11"/>
      <c r="C13" s="19"/>
      <c r="D13" s="11"/>
      <c r="E13" s="11"/>
      <c r="F13" s="11"/>
      <c r="G13" s="12" t="s">
        <v>43</v>
      </c>
      <c r="H13" s="33">
        <f>H11*0.85*H3/H4*(600/(600+H4))</f>
        <v>2.9846938775510208E-2</v>
      </c>
      <c r="I13" s="13"/>
    </row>
    <row r="14" spans="1:10" ht="18.75" customHeight="1" x14ac:dyDescent="0.25">
      <c r="A14" s="1"/>
      <c r="B14" s="11" t="s">
        <v>44</v>
      </c>
      <c r="C14" s="11"/>
      <c r="D14" s="73"/>
      <c r="E14" s="14"/>
      <c r="F14" s="18"/>
      <c r="G14" s="12" t="s">
        <v>45</v>
      </c>
      <c r="H14" s="33">
        <f>0.75*H13</f>
        <v>2.2385204081632658E-2</v>
      </c>
      <c r="I14" s="13"/>
    </row>
    <row r="15" spans="1:10" ht="18.75" customHeight="1" x14ac:dyDescent="0.25">
      <c r="A15" s="1"/>
      <c r="B15" s="11" t="s">
        <v>46</v>
      </c>
      <c r="C15" s="11"/>
      <c r="D15" s="11"/>
      <c r="E15" s="18" t="s">
        <v>32</v>
      </c>
      <c r="F15" s="11"/>
      <c r="G15" s="12" t="s">
        <v>47</v>
      </c>
      <c r="H15" s="33">
        <f>H3^0.5/4/H4</f>
        <v>3.2602533184831316E-3</v>
      </c>
      <c r="I15" s="13"/>
      <c r="J15" s="242" t="s">
        <v>317</v>
      </c>
    </row>
    <row r="16" spans="1:10" ht="18.75" customHeight="1" x14ac:dyDescent="0.25">
      <c r="A16" s="1"/>
      <c r="B16" s="11"/>
      <c r="C16" s="11"/>
      <c r="D16" s="11"/>
      <c r="E16" s="11" t="s">
        <v>34</v>
      </c>
      <c r="F16" s="11"/>
      <c r="G16" s="12" t="s">
        <v>48</v>
      </c>
      <c r="H16" s="33">
        <f>1.4/H4</f>
        <v>3.3333333333333331E-3</v>
      </c>
      <c r="I16" s="13"/>
      <c r="J16" s="242" t="s">
        <v>318</v>
      </c>
    </row>
    <row r="17" spans="1:13" ht="18.75" customHeight="1" x14ac:dyDescent="0.25">
      <c r="A17" s="1"/>
      <c r="B17" s="11" t="s">
        <v>325</v>
      </c>
      <c r="C17" s="11"/>
      <c r="D17" s="11"/>
      <c r="E17" s="11"/>
      <c r="F17" s="11"/>
      <c r="G17" s="12" t="s">
        <v>49</v>
      </c>
      <c r="H17" s="34">
        <f>Input!H25+Input!H23+0.5*Input!H22</f>
        <v>63</v>
      </c>
      <c r="I17" s="13" t="s">
        <v>19</v>
      </c>
    </row>
    <row r="18" spans="1:13" ht="18.75" customHeight="1" x14ac:dyDescent="0.25">
      <c r="A18" s="1"/>
      <c r="B18" s="11" t="s">
        <v>315</v>
      </c>
      <c r="C18" s="11"/>
      <c r="D18" s="11"/>
      <c r="E18" s="11"/>
      <c r="F18" s="11"/>
      <c r="G18" s="12" t="s">
        <v>50</v>
      </c>
      <c r="H18" s="34">
        <f>(Input!H20-2*H17)/(25+Input!H22)+1</f>
        <v>4.7021276595744679</v>
      </c>
      <c r="I18" s="13" t="s">
        <v>52</v>
      </c>
      <c r="M18" s="36"/>
    </row>
    <row r="19" spans="1:13" ht="18.75" customHeight="1" x14ac:dyDescent="0.25">
      <c r="A19" s="1"/>
      <c r="B19" s="11" t="s">
        <v>314</v>
      </c>
      <c r="C19" s="11"/>
      <c r="D19" s="11"/>
      <c r="E19" s="11"/>
      <c r="F19" s="11"/>
      <c r="G19" s="12" t="s">
        <v>51</v>
      </c>
      <c r="H19" s="35">
        <f>IF((Input!H20-ROUNDDOWN(H18,0)*Input!H22-2*H17)/(ROUNDDOWN(H18,0)-1)&gt;25,ROUNDDOWN(H18,0),(ROUNDDOWN(H18,0)-1))</f>
        <v>4</v>
      </c>
      <c r="I19" s="13" t="s">
        <v>52</v>
      </c>
    </row>
    <row r="20" spans="1:13" ht="18.75" customHeight="1" x14ac:dyDescent="0.25">
      <c r="A20" s="1"/>
      <c r="B20" s="11" t="s">
        <v>53</v>
      </c>
      <c r="C20" s="11"/>
      <c r="D20" s="11"/>
      <c r="E20" s="11"/>
      <c r="F20" s="11"/>
      <c r="G20" s="12" t="s">
        <v>54</v>
      </c>
      <c r="H20" s="34">
        <f>(Input!H20-2*H17)/(H19-1)</f>
        <v>58</v>
      </c>
      <c r="I20" s="13" t="s">
        <v>19</v>
      </c>
    </row>
    <row r="21" spans="1:13" ht="18.75" customHeight="1" x14ac:dyDescent="0.25">
      <c r="A21" s="1"/>
      <c r="B21" s="11" t="s">
        <v>55</v>
      </c>
      <c r="C21" s="11"/>
      <c r="D21" s="11"/>
      <c r="E21" s="11"/>
      <c r="F21" s="11"/>
      <c r="G21" s="12" t="s">
        <v>56</v>
      </c>
      <c r="H21" s="34">
        <f>Input!H22+25</f>
        <v>47</v>
      </c>
      <c r="I21" s="13" t="s">
        <v>19</v>
      </c>
    </row>
    <row r="22" spans="1:13" ht="18.75" customHeight="1" x14ac:dyDescent="0.25">
      <c r="A22" s="1"/>
      <c r="B22" s="11" t="s">
        <v>57</v>
      </c>
      <c r="C22" s="11"/>
      <c r="D22" s="11"/>
      <c r="E22" s="11"/>
      <c r="F22" s="11"/>
      <c r="G22" s="12" t="s">
        <v>58</v>
      </c>
      <c r="H22" s="32">
        <f>H4/0.85/H3</f>
        <v>16.47058823529412</v>
      </c>
      <c r="I22" s="13"/>
    </row>
    <row r="23" spans="1:13" ht="18.75" customHeight="1" x14ac:dyDescent="0.25">
      <c r="A23" s="5"/>
      <c r="I23" s="17"/>
    </row>
    <row r="24" spans="1:13" ht="18.75" customHeight="1" x14ac:dyDescent="0.25">
      <c r="A24" s="167" t="s">
        <v>60</v>
      </c>
      <c r="B24" s="6" t="s">
        <v>418</v>
      </c>
      <c r="C24" s="7"/>
      <c r="D24" s="7"/>
      <c r="E24" s="7"/>
      <c r="F24" s="8"/>
      <c r="G24" s="8"/>
      <c r="H24" s="9"/>
      <c r="I24" s="10"/>
    </row>
    <row r="25" spans="1:13" ht="18.75" customHeight="1" x14ac:dyDescent="0.25">
      <c r="A25" s="1"/>
      <c r="B25" s="11" t="s">
        <v>61</v>
      </c>
      <c r="C25" s="11"/>
      <c r="D25" s="11"/>
      <c r="E25" s="11"/>
      <c r="F25" s="12"/>
      <c r="G25" s="12" t="s">
        <v>62</v>
      </c>
      <c r="H25" s="34">
        <v>0.85</v>
      </c>
      <c r="I25" s="13"/>
    </row>
    <row r="26" spans="1:13" ht="18.75" customHeight="1" x14ac:dyDescent="0.25">
      <c r="A26" s="1"/>
      <c r="B26" s="11" t="s">
        <v>63</v>
      </c>
      <c r="C26" s="11"/>
      <c r="D26" s="11"/>
      <c r="E26" s="11"/>
      <c r="F26" s="12"/>
      <c r="G26" s="12" t="s">
        <v>378</v>
      </c>
      <c r="H26" s="32">
        <f>Input!H33</f>
        <v>143.04</v>
      </c>
      <c r="I26" s="13" t="s">
        <v>27</v>
      </c>
    </row>
    <row r="27" spans="1:13" ht="18.75" customHeight="1" x14ac:dyDescent="0.25">
      <c r="A27" s="1"/>
      <c r="B27" s="11" t="s">
        <v>64</v>
      </c>
      <c r="C27" s="11"/>
      <c r="D27" s="11"/>
      <c r="E27" s="11"/>
      <c r="F27" s="12"/>
      <c r="G27" s="12" t="s">
        <v>65</v>
      </c>
      <c r="H27" s="32">
        <f>H26/H25</f>
        <v>168.28235294117647</v>
      </c>
      <c r="I27" s="13" t="s">
        <v>27</v>
      </c>
    </row>
    <row r="28" spans="1:13" ht="18.75" customHeight="1" x14ac:dyDescent="0.25">
      <c r="A28" s="1"/>
      <c r="B28" s="11" t="s">
        <v>66</v>
      </c>
      <c r="C28" s="19"/>
      <c r="D28" s="11"/>
      <c r="E28" s="11"/>
      <c r="F28" s="11"/>
      <c r="G28" s="12" t="s">
        <v>67</v>
      </c>
      <c r="H28" s="32">
        <f>4700*$H$3^0.5</f>
        <v>25742.960202742808</v>
      </c>
      <c r="I28" s="13" t="s">
        <v>9</v>
      </c>
    </row>
    <row r="29" spans="1:13" ht="18.75" customHeight="1" x14ac:dyDescent="0.25">
      <c r="A29" s="1"/>
      <c r="B29" s="11" t="s">
        <v>68</v>
      </c>
      <c r="C29" s="19"/>
      <c r="D29" s="11"/>
      <c r="E29" s="11"/>
      <c r="F29" s="11"/>
      <c r="G29" s="74" t="s">
        <v>69</v>
      </c>
      <c r="H29" s="32">
        <f>H27*10^6/(Input!H20*H6^2)</f>
        <v>2.9373415395723299</v>
      </c>
      <c r="I29" s="13"/>
    </row>
    <row r="30" spans="1:13" ht="18.75" customHeight="1" x14ac:dyDescent="0.25">
      <c r="A30" s="1"/>
      <c r="B30" s="11" t="s">
        <v>70</v>
      </c>
      <c r="C30" s="19"/>
      <c r="D30" s="11"/>
      <c r="E30" s="11"/>
      <c r="F30" s="11"/>
      <c r="G30" s="74" t="s">
        <v>71</v>
      </c>
      <c r="H30" s="33">
        <f>1/$H$22*(1-(1-2*$H$22*H29/$H$4)^0.5)</f>
        <v>7.4508546165755604E-3</v>
      </c>
      <c r="I30" s="75"/>
    </row>
    <row r="31" spans="1:13" ht="18.75" customHeight="1" x14ac:dyDescent="0.25">
      <c r="A31" s="1"/>
      <c r="B31" s="11" t="s">
        <v>72</v>
      </c>
      <c r="C31" s="11"/>
      <c r="D31" s="11"/>
      <c r="E31" s="11"/>
      <c r="F31" s="11"/>
      <c r="G31" s="12"/>
      <c r="H31" s="76"/>
      <c r="I31" s="13"/>
    </row>
    <row r="32" spans="1:13" ht="18.75" customHeight="1" x14ac:dyDescent="0.25">
      <c r="A32" s="1"/>
      <c r="B32" s="11"/>
      <c r="C32" s="11" t="s">
        <v>73</v>
      </c>
      <c r="D32" s="14" t="s">
        <v>74</v>
      </c>
      <c r="E32" s="14" t="s">
        <v>75</v>
      </c>
      <c r="F32" s="14" t="s">
        <v>76</v>
      </c>
      <c r="G32" s="12"/>
      <c r="H32" s="76"/>
      <c r="I32" s="13"/>
    </row>
    <row r="33" spans="1:9" ht="18.75" customHeight="1" x14ac:dyDescent="0.25">
      <c r="A33" s="1"/>
      <c r="B33" s="11"/>
      <c r="C33" s="11"/>
      <c r="D33" s="76">
        <f>MIN($H$15:$H$16)</f>
        <v>3.2602533184831316E-3</v>
      </c>
      <c r="E33" s="76">
        <f>H30</f>
        <v>7.4508546165755604E-3</v>
      </c>
      <c r="F33" s="76">
        <f>$H$14</f>
        <v>2.2385204081632658E-2</v>
      </c>
      <c r="G33" s="15" t="s">
        <v>41</v>
      </c>
      <c r="H33" s="77" t="str">
        <f>IF(D33&lt;E33,(IF(E33&lt;F33,"[ OK ]","[ NOT OK ]")),"[ Pakai ρmin ]")</f>
        <v>[ OK ]</v>
      </c>
      <c r="I33" s="13"/>
    </row>
    <row r="34" spans="1:9" ht="18.75" customHeight="1" x14ac:dyDescent="0.25">
      <c r="A34" s="1"/>
      <c r="B34" s="11"/>
      <c r="C34" s="11"/>
      <c r="D34" s="11"/>
      <c r="E34" s="11"/>
      <c r="F34" s="11"/>
      <c r="G34" s="12"/>
      <c r="H34" s="14"/>
      <c r="I34" s="13"/>
    </row>
    <row r="35" spans="1:9" ht="18.75" customHeight="1" x14ac:dyDescent="0.25">
      <c r="A35" s="1"/>
      <c r="B35" s="11" t="s">
        <v>77</v>
      </c>
      <c r="C35" s="11"/>
      <c r="D35" s="11"/>
      <c r="E35" s="11"/>
      <c r="F35" s="11"/>
      <c r="G35" s="12" t="s">
        <v>78</v>
      </c>
      <c r="H35" s="33">
        <f>IF(D33&lt;E33,(IF(E33&lt;F33,E33,"[ NOT OK ]")),D33)</f>
        <v>7.4508546165755604E-3</v>
      </c>
      <c r="I35" s="13"/>
    </row>
    <row r="36" spans="1:9" ht="18.75" customHeight="1" x14ac:dyDescent="0.25">
      <c r="A36" s="1"/>
      <c r="B36" s="14"/>
      <c r="C36" s="14"/>
      <c r="D36" s="19"/>
      <c r="E36" s="19"/>
      <c r="F36" s="11"/>
      <c r="G36" s="12"/>
      <c r="H36" s="14"/>
      <c r="I36" s="78"/>
    </row>
    <row r="37" spans="1:9" ht="18.75" customHeight="1" x14ac:dyDescent="0.25">
      <c r="A37" s="1"/>
      <c r="B37" s="18" t="s">
        <v>384</v>
      </c>
      <c r="C37" s="14"/>
      <c r="D37" s="12"/>
      <c r="E37" s="14"/>
      <c r="F37" s="11"/>
      <c r="G37" s="12" t="s">
        <v>80</v>
      </c>
      <c r="H37" s="32">
        <f>H35*Input!H20*$H$6</f>
        <v>976.807040233056</v>
      </c>
      <c r="I37" s="13" t="s">
        <v>33</v>
      </c>
    </row>
    <row r="38" spans="1:9" ht="18.75" customHeight="1" x14ac:dyDescent="0.25">
      <c r="A38" s="1"/>
      <c r="B38" s="18" t="s">
        <v>81</v>
      </c>
      <c r="C38" s="11"/>
      <c r="D38" s="11"/>
      <c r="E38" s="14"/>
      <c r="F38" s="11"/>
      <c r="G38" s="12" t="s">
        <v>291</v>
      </c>
      <c r="H38" s="37">
        <f>H37/(PI()/4*Input!$H$22^2)</f>
        <v>2.5696474198356154</v>
      </c>
      <c r="I38" s="78"/>
    </row>
    <row r="39" spans="1:9" ht="18.75" customHeight="1" x14ac:dyDescent="0.25">
      <c r="A39" s="1"/>
      <c r="B39" s="18" t="s">
        <v>83</v>
      </c>
      <c r="C39" s="19"/>
      <c r="D39" s="14"/>
      <c r="E39" s="80"/>
      <c r="F39" s="11"/>
      <c r="G39" s="64">
        <f>H38</f>
        <v>2.5696474198356154</v>
      </c>
      <c r="H39" s="38">
        <f>Input!H22</f>
        <v>22</v>
      </c>
      <c r="I39" s="78"/>
    </row>
    <row r="40" spans="1:9" ht="18.75" customHeight="1" x14ac:dyDescent="0.25">
      <c r="A40" s="1"/>
      <c r="B40" s="18" t="s">
        <v>84</v>
      </c>
      <c r="C40" s="11"/>
      <c r="D40" s="11"/>
      <c r="E40" s="11"/>
      <c r="F40" s="11"/>
      <c r="G40" s="12" t="s">
        <v>85</v>
      </c>
      <c r="H40" s="35">
        <f>ROUNDUP(G39/$H$19,0)</f>
        <v>1</v>
      </c>
      <c r="I40" s="78"/>
    </row>
    <row r="41" spans="1:9" ht="18.75" customHeight="1" x14ac:dyDescent="0.25">
      <c r="A41" s="1"/>
      <c r="B41" s="11"/>
      <c r="C41" s="11" t="s">
        <v>86</v>
      </c>
      <c r="D41" s="12" t="s">
        <v>87</v>
      </c>
      <c r="E41" s="14" t="s">
        <v>101</v>
      </c>
      <c r="F41" s="11"/>
      <c r="G41" s="15" t="s">
        <v>41</v>
      </c>
      <c r="H41" s="77" t="str">
        <f>IF(H40&lt;=3,"[OK]","[NOT OK]")</f>
        <v>[OK]</v>
      </c>
      <c r="I41" s="78"/>
    </row>
    <row r="42" spans="1:9" ht="18.75" customHeight="1" x14ac:dyDescent="0.25">
      <c r="A42" s="1"/>
      <c r="B42" s="11"/>
      <c r="C42" s="11"/>
      <c r="D42" s="11"/>
      <c r="E42" s="11"/>
      <c r="F42" s="11"/>
      <c r="G42" s="12"/>
      <c r="H42" s="81"/>
      <c r="I42" s="78"/>
    </row>
    <row r="43" spans="1:9" ht="18.75" customHeight="1" x14ac:dyDescent="0.25">
      <c r="A43" s="1"/>
      <c r="B43" s="131" t="s">
        <v>89</v>
      </c>
      <c r="C43" s="132" t="s">
        <v>90</v>
      </c>
      <c r="D43" s="132" t="s">
        <v>91</v>
      </c>
      <c r="E43" s="132" t="s">
        <v>92</v>
      </c>
      <c r="F43" s="11"/>
      <c r="G43" s="12"/>
      <c r="H43" s="81"/>
      <c r="I43" s="78"/>
    </row>
    <row r="44" spans="1:9" ht="18.75" customHeight="1" x14ac:dyDescent="0.25">
      <c r="A44" s="1"/>
      <c r="B44" s="131" t="s">
        <v>93</v>
      </c>
      <c r="C44" s="132" t="s">
        <v>280</v>
      </c>
      <c r="D44" s="132" t="s">
        <v>281</v>
      </c>
      <c r="E44" s="132" t="s">
        <v>282</v>
      </c>
      <c r="F44" s="11"/>
      <c r="G44" s="12"/>
      <c r="H44" s="81"/>
      <c r="I44" s="78"/>
    </row>
    <row r="45" spans="1:9" ht="18.75" customHeight="1" x14ac:dyDescent="0.25">
      <c r="A45" s="1"/>
      <c r="B45" s="41">
        <v>1</v>
      </c>
      <c r="C45" s="34">
        <f>IF(G39&gt;$H$19,$H$19,G39)</f>
        <v>2.5696474198356154</v>
      </c>
      <c r="D45" s="34">
        <f>IF(C45=0,0,$H$17)</f>
        <v>63</v>
      </c>
      <c r="E45" s="34">
        <f>C45*D45</f>
        <v>161.88778744964378</v>
      </c>
      <c r="F45" s="11"/>
      <c r="G45" s="12"/>
      <c r="H45" s="81"/>
      <c r="I45" s="78"/>
    </row>
    <row r="46" spans="1:9" ht="18.75" customHeight="1" x14ac:dyDescent="0.25">
      <c r="A46" s="1"/>
      <c r="B46" s="41">
        <v>2</v>
      </c>
      <c r="C46" s="34">
        <f>IF(G39-$H$19&gt;0,IF(G39-$H$19&gt;$H$19,$H$19,G39-$H$19),0)</f>
        <v>0</v>
      </c>
      <c r="D46" s="34">
        <f>IF(C46=0,0,$H$17+$H$21)</f>
        <v>0</v>
      </c>
      <c r="E46" s="34">
        <f>C46*D46</f>
        <v>0</v>
      </c>
      <c r="F46" s="11"/>
      <c r="G46" s="12"/>
      <c r="H46" s="81"/>
      <c r="I46" s="78"/>
    </row>
    <row r="47" spans="1:9" ht="18.75" customHeight="1" x14ac:dyDescent="0.25">
      <c r="A47" s="1"/>
      <c r="B47" s="41">
        <v>3</v>
      </c>
      <c r="C47" s="34">
        <f>IF(G39&gt;2*$H$19,G39-2*$H$19,IF(G39&gt;2*$H$19,G39-$H$19,0))</f>
        <v>0</v>
      </c>
      <c r="D47" s="34">
        <f>IF(C47=0,0,$H$17+2*$H$21)</f>
        <v>0</v>
      </c>
      <c r="E47" s="34">
        <f>C47*D47</f>
        <v>0</v>
      </c>
      <c r="F47" s="11"/>
      <c r="G47" s="12"/>
      <c r="H47" s="81"/>
      <c r="I47" s="78"/>
    </row>
    <row r="48" spans="1:9" ht="18.75" customHeight="1" x14ac:dyDescent="0.25">
      <c r="A48" s="1"/>
      <c r="B48" s="137" t="s">
        <v>94</v>
      </c>
      <c r="C48" s="138">
        <f>SUM(C45:C47)</f>
        <v>2.5696474198356154</v>
      </c>
      <c r="D48" s="139" t="s">
        <v>95</v>
      </c>
      <c r="E48" s="138">
        <f>SUM(E45:E47)</f>
        <v>161.88778744964378</v>
      </c>
      <c r="F48" s="11"/>
      <c r="G48" s="12"/>
      <c r="H48" s="81"/>
      <c r="I48" s="78"/>
    </row>
    <row r="49" spans="1:9" ht="18.75" customHeight="1" x14ac:dyDescent="0.25">
      <c r="A49" s="1"/>
      <c r="B49" s="15"/>
      <c r="C49" s="16"/>
      <c r="D49" s="15"/>
      <c r="E49" s="16"/>
      <c r="F49" s="11"/>
      <c r="G49" s="12"/>
      <c r="H49" s="81"/>
      <c r="I49" s="78"/>
    </row>
    <row r="50" spans="1:9" ht="18.75" customHeight="1" x14ac:dyDescent="0.25">
      <c r="A50" s="1"/>
      <c r="B50" s="15"/>
      <c r="C50" s="16"/>
      <c r="D50" s="15"/>
      <c r="E50" s="16"/>
      <c r="F50" s="11"/>
      <c r="G50" s="12"/>
      <c r="H50" s="81"/>
      <c r="I50" s="78"/>
    </row>
    <row r="51" spans="1:9" ht="18.75" customHeight="1" x14ac:dyDescent="0.25">
      <c r="A51" s="1"/>
      <c r="B51" s="15"/>
      <c r="C51" s="16"/>
      <c r="D51" s="15"/>
      <c r="E51" s="16"/>
      <c r="F51" s="11"/>
      <c r="G51" s="12"/>
      <c r="H51" s="81"/>
      <c r="I51" s="78"/>
    </row>
    <row r="52" spans="1:9" ht="18.75" customHeight="1" x14ac:dyDescent="0.25">
      <c r="A52" s="1"/>
      <c r="B52" s="15"/>
      <c r="C52" s="16"/>
      <c r="D52" s="15"/>
      <c r="E52" s="16"/>
      <c r="F52" s="11"/>
      <c r="G52" s="12"/>
      <c r="H52" s="81"/>
      <c r="I52" s="78"/>
    </row>
    <row r="53" spans="1:9" ht="18.75" customHeight="1" x14ac:dyDescent="0.25">
      <c r="A53" s="1"/>
      <c r="B53" s="15"/>
      <c r="C53" s="16"/>
      <c r="D53" s="15"/>
      <c r="E53" s="16"/>
      <c r="F53" s="11"/>
      <c r="G53" s="12"/>
      <c r="H53" s="81"/>
      <c r="I53" s="78"/>
    </row>
    <row r="54" spans="1:9" ht="18.75" customHeight="1" x14ac:dyDescent="0.25">
      <c r="A54" s="1"/>
      <c r="B54" s="15"/>
      <c r="C54" s="16"/>
      <c r="D54" s="15"/>
      <c r="E54" s="16"/>
      <c r="F54" s="11"/>
      <c r="G54" s="12"/>
      <c r="H54" s="81"/>
      <c r="I54" s="78"/>
    </row>
    <row r="55" spans="1:9" ht="18.75" customHeight="1" x14ac:dyDescent="0.25">
      <c r="A55" s="1"/>
      <c r="B55" s="15"/>
      <c r="C55" s="16"/>
      <c r="D55" s="15"/>
      <c r="E55" s="16"/>
      <c r="F55" s="11"/>
      <c r="G55" s="12"/>
      <c r="H55" s="81"/>
      <c r="I55" s="78"/>
    </row>
    <row r="56" spans="1:9" ht="18.75" customHeight="1" x14ac:dyDescent="0.25">
      <c r="A56" s="1"/>
      <c r="B56" s="15"/>
      <c r="C56" s="16"/>
      <c r="D56" s="15"/>
      <c r="E56" s="16"/>
      <c r="F56" s="11"/>
      <c r="G56" s="12"/>
      <c r="H56" s="81"/>
      <c r="I56" s="78"/>
    </row>
    <row r="57" spans="1:9" ht="18.75" customHeight="1" x14ac:dyDescent="0.25">
      <c r="A57" s="1"/>
      <c r="B57" s="15"/>
      <c r="C57" s="16"/>
      <c r="D57" s="15"/>
      <c r="E57" s="16"/>
      <c r="F57" s="11"/>
      <c r="G57" s="12"/>
      <c r="H57" s="81"/>
      <c r="I57" s="78"/>
    </row>
    <row r="58" spans="1:9" ht="18.75" customHeight="1" x14ac:dyDescent="0.25">
      <c r="A58" s="1"/>
      <c r="B58" s="11"/>
      <c r="C58" s="11"/>
      <c r="D58" s="11"/>
      <c r="E58" s="11"/>
      <c r="F58" s="11"/>
      <c r="G58" s="12"/>
      <c r="H58" s="14"/>
      <c r="I58" s="13"/>
    </row>
    <row r="59" spans="1:9" ht="18.75" customHeight="1" x14ac:dyDescent="0.25">
      <c r="A59" s="1"/>
      <c r="B59" s="11" t="s">
        <v>480</v>
      </c>
      <c r="C59" s="11"/>
      <c r="D59" s="11"/>
      <c r="E59" s="77"/>
      <c r="F59" s="11"/>
      <c r="G59" s="12" t="s">
        <v>88</v>
      </c>
      <c r="H59" s="34">
        <f>Input!$H$21-E48/C48</f>
        <v>437</v>
      </c>
      <c r="I59" s="78" t="s">
        <v>19</v>
      </c>
    </row>
    <row r="60" spans="1:9" ht="18.75" customHeight="1" x14ac:dyDescent="0.25">
      <c r="A60" s="1"/>
      <c r="B60" s="11" t="s">
        <v>481</v>
      </c>
      <c r="C60" s="11"/>
      <c r="D60" s="11"/>
      <c r="E60" s="77"/>
      <c r="F60" s="11"/>
      <c r="G60" s="12" t="s">
        <v>100</v>
      </c>
      <c r="H60" s="34">
        <f>E48/C48</f>
        <v>63.000000000000007</v>
      </c>
      <c r="I60" s="78" t="s">
        <v>19</v>
      </c>
    </row>
    <row r="61" spans="1:9" ht="18.75" customHeight="1" x14ac:dyDescent="0.25">
      <c r="A61" s="5"/>
      <c r="I61" s="17"/>
    </row>
    <row r="62" spans="1:9" ht="18.75" customHeight="1" x14ac:dyDescent="0.25">
      <c r="A62" s="167" t="s">
        <v>104</v>
      </c>
      <c r="B62" s="6" t="s">
        <v>404</v>
      </c>
      <c r="C62" s="7"/>
      <c r="D62" s="7"/>
      <c r="E62" s="7"/>
      <c r="F62" s="8"/>
      <c r="G62" s="8"/>
      <c r="H62" s="9"/>
      <c r="I62" s="10"/>
    </row>
    <row r="63" spans="1:9" ht="18.75" customHeight="1" x14ac:dyDescent="0.25">
      <c r="A63" s="1"/>
      <c r="B63" s="11" t="s">
        <v>61</v>
      </c>
      <c r="C63" s="11"/>
      <c r="D63" s="11"/>
      <c r="E63" s="11"/>
      <c r="F63" s="12"/>
      <c r="G63" s="12" t="s">
        <v>62</v>
      </c>
      <c r="H63" s="34">
        <v>0.85</v>
      </c>
      <c r="I63" s="13"/>
    </row>
    <row r="64" spans="1:9" ht="18.75" customHeight="1" x14ac:dyDescent="0.25">
      <c r="A64" s="1"/>
      <c r="B64" s="11" t="s">
        <v>63</v>
      </c>
      <c r="C64" s="11"/>
      <c r="D64" s="11"/>
      <c r="E64" s="11"/>
      <c r="F64" s="12"/>
      <c r="G64" s="12" t="s">
        <v>379</v>
      </c>
      <c r="H64" s="32">
        <f>Input!H34</f>
        <v>85.53</v>
      </c>
      <c r="I64" s="13" t="s">
        <v>27</v>
      </c>
    </row>
    <row r="65" spans="1:9" ht="18.75" customHeight="1" x14ac:dyDescent="0.25">
      <c r="A65" s="1"/>
      <c r="B65" s="11" t="s">
        <v>64</v>
      </c>
      <c r="C65" s="11"/>
      <c r="D65" s="11"/>
      <c r="E65" s="11"/>
      <c r="F65" s="12"/>
      <c r="G65" s="12" t="s">
        <v>65</v>
      </c>
      <c r="H65" s="32">
        <f>H64/H63</f>
        <v>100.62352941176471</v>
      </c>
      <c r="I65" s="13" t="s">
        <v>27</v>
      </c>
    </row>
    <row r="66" spans="1:9" ht="18.75" customHeight="1" x14ac:dyDescent="0.25">
      <c r="A66" s="1"/>
      <c r="B66" s="11" t="s">
        <v>66</v>
      </c>
      <c r="C66" s="19"/>
      <c r="D66" s="11"/>
      <c r="E66" s="11"/>
      <c r="F66" s="11"/>
      <c r="G66" s="12" t="s">
        <v>67</v>
      </c>
      <c r="H66" s="32">
        <f>4700*$H$3^0.5</f>
        <v>25742.960202742808</v>
      </c>
      <c r="I66" s="13" t="s">
        <v>9</v>
      </c>
    </row>
    <row r="67" spans="1:9" ht="18.75" customHeight="1" x14ac:dyDescent="0.25">
      <c r="A67" s="1"/>
      <c r="B67" s="11" t="s">
        <v>68</v>
      </c>
      <c r="C67" s="19"/>
      <c r="D67" s="11"/>
      <c r="E67" s="11"/>
      <c r="F67" s="11"/>
      <c r="G67" s="74" t="s">
        <v>69</v>
      </c>
      <c r="H67" s="32">
        <f>H65*10^6/(Input!$H$20*$H$6^2)</f>
        <v>1.7563676026259885</v>
      </c>
      <c r="I67" s="13"/>
    </row>
    <row r="68" spans="1:9" ht="18.75" customHeight="1" x14ac:dyDescent="0.25">
      <c r="A68" s="1"/>
      <c r="B68" s="11" t="s">
        <v>70</v>
      </c>
      <c r="C68" s="19"/>
      <c r="D68" s="11"/>
      <c r="E68" s="11"/>
      <c r="F68" s="11"/>
      <c r="G68" s="74" t="s">
        <v>71</v>
      </c>
      <c r="H68" s="33">
        <f>1/$H$22*(1-(1-2*$H$22*H67/$H$4)^0.5)</f>
        <v>4.3367091851796834E-3</v>
      </c>
      <c r="I68" s="75"/>
    </row>
    <row r="69" spans="1:9" ht="18.75" customHeight="1" x14ac:dyDescent="0.25">
      <c r="A69" s="1"/>
      <c r="B69" s="11" t="s">
        <v>72</v>
      </c>
      <c r="C69" s="11"/>
      <c r="D69" s="11"/>
      <c r="E69" s="11"/>
      <c r="F69" s="11"/>
      <c r="G69" s="12"/>
      <c r="H69" s="76"/>
      <c r="I69" s="13"/>
    </row>
    <row r="70" spans="1:9" ht="18.75" customHeight="1" x14ac:dyDescent="0.25">
      <c r="A70" s="1"/>
      <c r="B70" s="11"/>
      <c r="C70" s="11" t="s">
        <v>73</v>
      </c>
      <c r="D70" s="14" t="s">
        <v>74</v>
      </c>
      <c r="E70" s="14" t="s">
        <v>75</v>
      </c>
      <c r="F70" s="14" t="s">
        <v>76</v>
      </c>
      <c r="G70" s="12"/>
      <c r="H70" s="76"/>
      <c r="I70" s="13"/>
    </row>
    <row r="71" spans="1:9" ht="18.75" customHeight="1" x14ac:dyDescent="0.25">
      <c r="A71" s="1"/>
      <c r="B71" s="11"/>
      <c r="C71" s="11"/>
      <c r="D71" s="76">
        <f>MIN($H$15:$H$16)</f>
        <v>3.2602533184831316E-3</v>
      </c>
      <c r="E71" s="76">
        <f>H68</f>
        <v>4.3367091851796834E-3</v>
      </c>
      <c r="F71" s="76">
        <f>$H$14</f>
        <v>2.2385204081632658E-2</v>
      </c>
      <c r="G71" s="15" t="s">
        <v>41</v>
      </c>
      <c r="H71" s="77" t="str">
        <f>IF(D71&lt;E71,(IF(E71&lt;F71,"[ OK ]","[ NOT OK ]")),"[ Pakai ρmin ]")</f>
        <v>[ OK ]</v>
      </c>
      <c r="I71" s="13"/>
    </row>
    <row r="72" spans="1:9" ht="18.75" customHeight="1" x14ac:dyDescent="0.25">
      <c r="A72" s="1"/>
      <c r="B72" s="11"/>
      <c r="C72" s="11"/>
      <c r="D72" s="11"/>
      <c r="E72" s="11"/>
      <c r="F72" s="11"/>
      <c r="G72" s="12"/>
      <c r="H72" s="14"/>
      <c r="I72" s="13"/>
    </row>
    <row r="73" spans="1:9" ht="18.75" customHeight="1" x14ac:dyDescent="0.25">
      <c r="A73" s="1"/>
      <c r="B73" s="11" t="s">
        <v>77</v>
      </c>
      <c r="C73" s="11"/>
      <c r="D73" s="11"/>
      <c r="E73" s="11"/>
      <c r="F73" s="11"/>
      <c r="G73" s="12" t="s">
        <v>78</v>
      </c>
      <c r="H73" s="33">
        <f>IF(D71&lt;E71,(IF(E71&lt;F71,E71,"[ NOT OK ]")),D71)</f>
        <v>4.3367091851796834E-3</v>
      </c>
      <c r="I73" s="13"/>
    </row>
    <row r="74" spans="1:9" ht="18.75" customHeight="1" x14ac:dyDescent="0.25">
      <c r="A74" s="1"/>
      <c r="B74" s="14"/>
      <c r="C74" s="14"/>
      <c r="D74" s="19"/>
      <c r="E74" s="19"/>
      <c r="F74" s="11"/>
      <c r="G74" s="12"/>
      <c r="H74" s="14"/>
      <c r="I74" s="78"/>
    </row>
    <row r="75" spans="1:9" ht="18.75" customHeight="1" x14ac:dyDescent="0.25">
      <c r="A75" s="1"/>
      <c r="B75" s="18" t="s">
        <v>79</v>
      </c>
      <c r="C75" s="14"/>
      <c r="D75" s="12"/>
      <c r="E75" s="14"/>
      <c r="F75" s="11"/>
      <c r="G75" s="12" t="s">
        <v>98</v>
      </c>
      <c r="H75" s="32">
        <f>H73*Input!$H$20*$H$6</f>
        <v>568.54257417705651</v>
      </c>
      <c r="I75" s="13" t="s">
        <v>33</v>
      </c>
    </row>
    <row r="76" spans="1:9" ht="18.75" customHeight="1" x14ac:dyDescent="0.25">
      <c r="A76" s="1"/>
      <c r="B76" s="18" t="s">
        <v>81</v>
      </c>
      <c r="C76" s="11"/>
      <c r="D76" s="11"/>
      <c r="E76" s="14"/>
      <c r="F76" s="11"/>
      <c r="G76" s="12" t="s">
        <v>291</v>
      </c>
      <c r="H76" s="37">
        <f>H75/(PI()/4*Input!$H$22^2)</f>
        <v>1.4956423312143654</v>
      </c>
      <c r="I76" s="78"/>
    </row>
    <row r="77" spans="1:9" ht="18.75" customHeight="1" x14ac:dyDescent="0.25">
      <c r="A77" s="1"/>
      <c r="B77" s="18" t="s">
        <v>83</v>
      </c>
      <c r="C77" s="19"/>
      <c r="D77" s="14"/>
      <c r="E77" s="80"/>
      <c r="F77" s="11"/>
      <c r="G77" s="64">
        <f>H76</f>
        <v>1.4956423312143654</v>
      </c>
      <c r="H77" s="38">
        <f>$H$39</f>
        <v>22</v>
      </c>
      <c r="I77" s="78"/>
    </row>
    <row r="78" spans="1:9" ht="18.75" customHeight="1" x14ac:dyDescent="0.25">
      <c r="A78" s="1"/>
      <c r="B78" s="18" t="s">
        <v>84</v>
      </c>
      <c r="C78" s="11"/>
      <c r="D78" s="11"/>
      <c r="E78" s="11"/>
      <c r="F78" s="11"/>
      <c r="G78" s="12" t="s">
        <v>85</v>
      </c>
      <c r="H78" s="35">
        <f>ROUNDUP(G77/$H$19,0)</f>
        <v>1</v>
      </c>
      <c r="I78" s="78"/>
    </row>
    <row r="79" spans="1:9" ht="18.75" customHeight="1" x14ac:dyDescent="0.25">
      <c r="A79" s="1"/>
      <c r="B79" s="11"/>
      <c r="C79" s="11" t="s">
        <v>86</v>
      </c>
      <c r="D79" s="12" t="s">
        <v>87</v>
      </c>
      <c r="E79" s="14" t="s">
        <v>101</v>
      </c>
      <c r="F79" s="11"/>
      <c r="G79" s="15" t="s">
        <v>41</v>
      </c>
      <c r="H79" s="77" t="str">
        <f>IF(H78&lt;=3,"[OK]","[NOT OK]")</f>
        <v>[OK]</v>
      </c>
      <c r="I79" s="78"/>
    </row>
    <row r="80" spans="1:9" ht="18.75" customHeight="1" x14ac:dyDescent="0.25">
      <c r="A80" s="1"/>
      <c r="B80" s="11"/>
      <c r="C80" s="11"/>
      <c r="D80" s="11"/>
      <c r="E80" s="11"/>
      <c r="F80" s="11"/>
      <c r="G80" s="12"/>
      <c r="H80" s="81"/>
      <c r="I80" s="78"/>
    </row>
    <row r="81" spans="1:9" ht="18.75" customHeight="1" x14ac:dyDescent="0.25">
      <c r="A81" s="1"/>
      <c r="B81" s="131" t="s">
        <v>89</v>
      </c>
      <c r="C81" s="132" t="s">
        <v>90</v>
      </c>
      <c r="D81" s="132" t="s">
        <v>91</v>
      </c>
      <c r="E81" s="132" t="s">
        <v>92</v>
      </c>
      <c r="F81" s="11"/>
      <c r="G81" s="12"/>
      <c r="H81" s="81"/>
      <c r="I81" s="78"/>
    </row>
    <row r="82" spans="1:9" ht="18.75" customHeight="1" x14ac:dyDescent="0.25">
      <c r="A82" s="1"/>
      <c r="B82" s="131" t="s">
        <v>93</v>
      </c>
      <c r="C82" s="132" t="s">
        <v>280</v>
      </c>
      <c r="D82" s="132" t="s">
        <v>281</v>
      </c>
      <c r="E82" s="132" t="s">
        <v>282</v>
      </c>
      <c r="F82" s="11"/>
      <c r="G82" s="12"/>
      <c r="H82" s="81"/>
      <c r="I82" s="78"/>
    </row>
    <row r="83" spans="1:9" ht="18.75" customHeight="1" x14ac:dyDescent="0.25">
      <c r="A83" s="1"/>
      <c r="B83" s="41">
        <v>1</v>
      </c>
      <c r="C83" s="34">
        <f>IF(G77&gt;$H$19,$H$19,G77)</f>
        <v>1.4956423312143654</v>
      </c>
      <c r="D83" s="34">
        <f>IF(C83=0,0,$H$17)</f>
        <v>63</v>
      </c>
      <c r="E83" s="34">
        <f>C83*D83</f>
        <v>94.225466866505016</v>
      </c>
      <c r="F83" s="11"/>
      <c r="G83" s="12"/>
      <c r="H83" s="81"/>
      <c r="I83" s="78"/>
    </row>
    <row r="84" spans="1:9" ht="18.75" customHeight="1" x14ac:dyDescent="0.25">
      <c r="A84" s="1"/>
      <c r="B84" s="41">
        <v>2</v>
      </c>
      <c r="C84" s="34">
        <f>IF(G77-$H$19&gt;0,IF(G77-$H$19&gt;$H$19,$H$19,G77-$H$19),0)</f>
        <v>0</v>
      </c>
      <c r="D84" s="34">
        <f>IF(C84=0,0,$H$17+$H$21)</f>
        <v>0</v>
      </c>
      <c r="E84" s="34">
        <f>C84*D84</f>
        <v>0</v>
      </c>
      <c r="F84" s="11"/>
      <c r="G84" s="12"/>
      <c r="H84" s="81"/>
      <c r="I84" s="78"/>
    </row>
    <row r="85" spans="1:9" ht="18.75" customHeight="1" x14ac:dyDescent="0.25">
      <c r="A85" s="1"/>
      <c r="B85" s="41">
        <v>3</v>
      </c>
      <c r="C85" s="34">
        <f>IF(G77&gt;2*$H$19,G77-2*$H$19,IF(G77&gt;2*$H$19,G77-$H$19,0))</f>
        <v>0</v>
      </c>
      <c r="D85" s="34">
        <f>IF(C85=0,0,$H$17+2*$H$21)</f>
        <v>0</v>
      </c>
      <c r="E85" s="34">
        <f>C85*D85</f>
        <v>0</v>
      </c>
      <c r="F85" s="11"/>
      <c r="G85" s="12"/>
      <c r="H85" s="81"/>
      <c r="I85" s="78"/>
    </row>
    <row r="86" spans="1:9" ht="18.75" customHeight="1" x14ac:dyDescent="0.25">
      <c r="A86" s="1"/>
      <c r="B86" s="137" t="s">
        <v>94</v>
      </c>
      <c r="C86" s="138">
        <f>SUM(C83:C85)</f>
        <v>1.4956423312143654</v>
      </c>
      <c r="D86" s="139" t="s">
        <v>95</v>
      </c>
      <c r="E86" s="138">
        <f>SUM(E83:E85)</f>
        <v>94.225466866505016</v>
      </c>
      <c r="F86" s="11"/>
      <c r="G86" s="12"/>
      <c r="H86" s="81"/>
      <c r="I86" s="78"/>
    </row>
    <row r="87" spans="1:9" ht="18.75" customHeight="1" x14ac:dyDescent="0.25">
      <c r="A87" s="1"/>
      <c r="B87" s="15"/>
      <c r="C87" s="16"/>
      <c r="D87" s="15"/>
      <c r="E87" s="16"/>
      <c r="F87" s="11"/>
      <c r="G87" s="12"/>
      <c r="H87" s="81"/>
      <c r="I87" s="78"/>
    </row>
    <row r="88" spans="1:9" ht="18.75" customHeight="1" x14ac:dyDescent="0.25">
      <c r="A88" s="1"/>
      <c r="B88" s="15"/>
      <c r="C88" s="16"/>
      <c r="D88" s="15"/>
      <c r="E88" s="16"/>
      <c r="F88" s="11"/>
      <c r="G88" s="12"/>
      <c r="H88" s="81"/>
      <c r="I88" s="78"/>
    </row>
    <row r="89" spans="1:9" ht="18.75" customHeight="1" x14ac:dyDescent="0.25">
      <c r="A89" s="1"/>
      <c r="B89" s="15"/>
      <c r="C89" s="16"/>
      <c r="D89" s="15"/>
      <c r="E89" s="16"/>
      <c r="F89" s="11"/>
      <c r="G89" s="12"/>
      <c r="H89" s="81"/>
      <c r="I89" s="78"/>
    </row>
    <row r="90" spans="1:9" ht="18.75" customHeight="1" x14ac:dyDescent="0.25">
      <c r="A90" s="1"/>
      <c r="B90" s="15"/>
      <c r="C90" s="16"/>
      <c r="D90" s="15"/>
      <c r="E90" s="16"/>
      <c r="F90" s="11"/>
      <c r="G90" s="12"/>
      <c r="H90" s="81"/>
      <c r="I90" s="78"/>
    </row>
    <row r="91" spans="1:9" ht="18.75" customHeight="1" x14ac:dyDescent="0.25">
      <c r="A91" s="1"/>
      <c r="B91" s="15"/>
      <c r="C91" s="16"/>
      <c r="D91" s="15"/>
      <c r="E91" s="16"/>
      <c r="F91" s="11"/>
      <c r="G91" s="12"/>
      <c r="H91" s="81"/>
      <c r="I91" s="78"/>
    </row>
    <row r="92" spans="1:9" ht="18.75" customHeight="1" x14ac:dyDescent="0.25">
      <c r="A92" s="1"/>
      <c r="B92" s="15"/>
      <c r="C92" s="16"/>
      <c r="D92" s="15"/>
      <c r="E92" s="16"/>
      <c r="F92" s="11"/>
      <c r="G92" s="12"/>
      <c r="H92" s="81"/>
      <c r="I92" s="78"/>
    </row>
    <row r="93" spans="1:9" ht="18.75" customHeight="1" x14ac:dyDescent="0.25">
      <c r="A93" s="1"/>
      <c r="B93" s="15"/>
      <c r="C93" s="16"/>
      <c r="D93" s="15"/>
      <c r="E93" s="16"/>
      <c r="F93" s="11"/>
      <c r="G93" s="12"/>
      <c r="H93" s="81"/>
      <c r="I93" s="78"/>
    </row>
    <row r="94" spans="1:9" ht="18.75" customHeight="1" x14ac:dyDescent="0.25">
      <c r="A94" s="1"/>
      <c r="B94" s="15"/>
      <c r="C94" s="16"/>
      <c r="D94" s="15"/>
      <c r="E94" s="16"/>
      <c r="F94" s="11"/>
      <c r="G94" s="12"/>
      <c r="H94" s="81"/>
      <c r="I94" s="78"/>
    </row>
    <row r="95" spans="1:9" ht="18.75" customHeight="1" x14ac:dyDescent="0.25">
      <c r="A95" s="1"/>
      <c r="B95" s="15"/>
      <c r="C95" s="16"/>
      <c r="D95" s="15"/>
      <c r="E95" s="16"/>
      <c r="F95" s="11"/>
      <c r="G95" s="12"/>
      <c r="H95" s="81"/>
      <c r="I95" s="78"/>
    </row>
    <row r="96" spans="1:9" ht="18.75" customHeight="1" x14ac:dyDescent="0.25">
      <c r="A96" s="1"/>
      <c r="B96" s="11"/>
      <c r="C96" s="11"/>
      <c r="D96" s="11"/>
      <c r="E96" s="11"/>
      <c r="F96" s="11"/>
      <c r="G96" s="12"/>
      <c r="H96" s="14"/>
      <c r="I96" s="13"/>
    </row>
    <row r="97" spans="1:9" ht="18.75" customHeight="1" x14ac:dyDescent="0.25">
      <c r="A97" s="1"/>
      <c r="B97" s="11" t="s">
        <v>483</v>
      </c>
      <c r="C97" s="11"/>
      <c r="D97" s="11"/>
      <c r="E97" s="77"/>
      <c r="F97" s="11"/>
      <c r="G97" s="12" t="s">
        <v>88</v>
      </c>
      <c r="H97" s="34">
        <f>Input!$H$21-E86/C86</f>
        <v>437</v>
      </c>
      <c r="I97" s="78" t="s">
        <v>19</v>
      </c>
    </row>
    <row r="98" spans="1:9" ht="18.75" customHeight="1" x14ac:dyDescent="0.25">
      <c r="A98" s="1"/>
      <c r="B98" s="11" t="s">
        <v>482</v>
      </c>
      <c r="C98" s="11"/>
      <c r="D98" s="11"/>
      <c r="E98" s="77"/>
      <c r="F98" s="11"/>
      <c r="G98" s="12" t="s">
        <v>100</v>
      </c>
      <c r="H98" s="34">
        <f>E86/C86</f>
        <v>63</v>
      </c>
      <c r="I98" s="78" t="s">
        <v>19</v>
      </c>
    </row>
    <row r="99" spans="1:9" ht="18.75" customHeight="1" x14ac:dyDescent="0.25">
      <c r="A99" s="5"/>
      <c r="I99" s="17"/>
    </row>
    <row r="100" spans="1:9" ht="18.75" customHeight="1" x14ac:dyDescent="0.25">
      <c r="A100" s="167" t="s">
        <v>105</v>
      </c>
      <c r="B100" s="6" t="s">
        <v>405</v>
      </c>
      <c r="C100" s="7"/>
      <c r="D100" s="7"/>
      <c r="E100" s="7"/>
      <c r="F100" s="8"/>
      <c r="G100" s="8"/>
      <c r="H100" s="9"/>
      <c r="I100" s="10"/>
    </row>
    <row r="101" spans="1:9" ht="18.75" customHeight="1" x14ac:dyDescent="0.25">
      <c r="A101" s="1"/>
      <c r="B101" s="11" t="s">
        <v>61</v>
      </c>
      <c r="C101" s="11"/>
      <c r="D101" s="11"/>
      <c r="E101" s="11"/>
      <c r="F101" s="12"/>
      <c r="G101" s="12" t="s">
        <v>62</v>
      </c>
      <c r="H101" s="34">
        <v>0.85</v>
      </c>
      <c r="I101" s="13"/>
    </row>
    <row r="102" spans="1:9" ht="18.75" customHeight="1" x14ac:dyDescent="0.25">
      <c r="A102" s="1"/>
      <c r="B102" s="11" t="s">
        <v>96</v>
      </c>
      <c r="C102" s="11"/>
      <c r="D102" s="11"/>
      <c r="E102" s="11"/>
      <c r="F102" s="12"/>
      <c r="G102" s="12" t="s">
        <v>381</v>
      </c>
      <c r="H102" s="32">
        <f>MAX(Input!H34,Input!H38)</f>
        <v>85.53</v>
      </c>
      <c r="I102" s="13" t="s">
        <v>27</v>
      </c>
    </row>
    <row r="103" spans="1:9" ht="18.75" customHeight="1" x14ac:dyDescent="0.25">
      <c r="A103" s="1"/>
      <c r="B103" s="11" t="s">
        <v>97</v>
      </c>
      <c r="C103" s="11"/>
      <c r="D103" s="11"/>
      <c r="E103" s="11"/>
      <c r="F103" s="12"/>
      <c r="G103" s="12" t="s">
        <v>65</v>
      </c>
      <c r="H103" s="32">
        <f>H102/H101</f>
        <v>100.62352941176471</v>
      </c>
      <c r="I103" s="13" t="s">
        <v>27</v>
      </c>
    </row>
    <row r="104" spans="1:9" ht="18.75" customHeight="1" x14ac:dyDescent="0.25">
      <c r="A104" s="1"/>
      <c r="B104" s="11" t="s">
        <v>66</v>
      </c>
      <c r="C104" s="19"/>
      <c r="D104" s="11"/>
      <c r="E104" s="11"/>
      <c r="F104" s="11"/>
      <c r="G104" s="12" t="s">
        <v>67</v>
      </c>
      <c r="H104" s="32">
        <f>H28</f>
        <v>25742.960202742808</v>
      </c>
      <c r="I104" s="13" t="s">
        <v>9</v>
      </c>
    </row>
    <row r="105" spans="1:9" ht="18.75" customHeight="1" x14ac:dyDescent="0.25">
      <c r="A105" s="1"/>
      <c r="B105" s="11" t="s">
        <v>68</v>
      </c>
      <c r="C105" s="19"/>
      <c r="D105" s="11"/>
      <c r="E105" s="11"/>
      <c r="F105" s="11"/>
      <c r="G105" s="74" t="s">
        <v>69</v>
      </c>
      <c r="H105" s="32">
        <f>H103*10^6/(Input!H20*Process!H6^2)</f>
        <v>1.7563676026259885</v>
      </c>
      <c r="I105" s="13"/>
    </row>
    <row r="106" spans="1:9" ht="18.75" customHeight="1" x14ac:dyDescent="0.25">
      <c r="A106" s="1"/>
      <c r="B106" s="11" t="s">
        <v>70</v>
      </c>
      <c r="C106" s="19"/>
      <c r="D106" s="11"/>
      <c r="E106" s="11"/>
      <c r="F106" s="11"/>
      <c r="G106" s="74" t="s">
        <v>71</v>
      </c>
      <c r="H106" s="33">
        <f>1/H22*(1-(1-2*H22*H105/H4)^0.5)</f>
        <v>4.3367091851796834E-3</v>
      </c>
      <c r="I106" s="75"/>
    </row>
    <row r="107" spans="1:9" ht="18.75" customHeight="1" x14ac:dyDescent="0.25">
      <c r="A107" s="1"/>
      <c r="B107" s="11" t="s">
        <v>72</v>
      </c>
      <c r="C107" s="11"/>
      <c r="D107" s="11"/>
      <c r="E107" s="11"/>
      <c r="F107" s="11"/>
      <c r="G107" s="12"/>
      <c r="H107" s="76"/>
      <c r="I107" s="13"/>
    </row>
    <row r="108" spans="1:9" ht="18.75" customHeight="1" x14ac:dyDescent="0.25">
      <c r="A108" s="1"/>
      <c r="B108" s="11"/>
      <c r="C108" s="11" t="s">
        <v>73</v>
      </c>
      <c r="D108" s="14" t="s">
        <v>74</v>
      </c>
      <c r="E108" s="14" t="s">
        <v>75</v>
      </c>
      <c r="F108" s="14" t="s">
        <v>76</v>
      </c>
      <c r="G108" s="12"/>
      <c r="H108" s="76"/>
      <c r="I108" s="13"/>
    </row>
    <row r="109" spans="1:9" ht="18.75" customHeight="1" x14ac:dyDescent="0.25">
      <c r="A109" s="1"/>
      <c r="B109" s="11"/>
      <c r="C109" s="11"/>
      <c r="D109" s="76">
        <f>D33</f>
        <v>3.2602533184831316E-3</v>
      </c>
      <c r="E109" s="76">
        <f>H106</f>
        <v>4.3367091851796834E-3</v>
      </c>
      <c r="F109" s="76">
        <f>F33</f>
        <v>2.2385204081632658E-2</v>
      </c>
      <c r="G109" s="15" t="s">
        <v>41</v>
      </c>
      <c r="H109" s="77" t="str">
        <f>IF(D109&lt;E109,(IF(E109&lt;F109,"[ OK ]","[ NOT OK ]")),"[ Pakai ρmin ]")</f>
        <v>[ OK ]</v>
      </c>
      <c r="I109" s="13"/>
    </row>
    <row r="110" spans="1:9" ht="18.75" customHeight="1" x14ac:dyDescent="0.25">
      <c r="A110" s="1"/>
      <c r="B110" s="11"/>
      <c r="C110" s="11"/>
      <c r="D110" s="11"/>
      <c r="E110" s="11"/>
      <c r="F110" s="11"/>
      <c r="G110" s="12"/>
      <c r="H110" s="14"/>
      <c r="I110" s="13"/>
    </row>
    <row r="111" spans="1:9" ht="18.75" customHeight="1" x14ac:dyDescent="0.25">
      <c r="A111" s="1"/>
      <c r="B111" s="11" t="s">
        <v>77</v>
      </c>
      <c r="C111" s="11"/>
      <c r="D111" s="11"/>
      <c r="E111" s="11"/>
      <c r="F111" s="11"/>
      <c r="G111" s="12" t="s">
        <v>78</v>
      </c>
      <c r="H111" s="33">
        <f>IF(D109&lt;E109,(IF(E109&lt;F109,E109,"[ NOT OK ]")),D109)</f>
        <v>4.3367091851796834E-3</v>
      </c>
      <c r="I111" s="13"/>
    </row>
    <row r="112" spans="1:9" ht="18.75" customHeight="1" x14ac:dyDescent="0.25">
      <c r="A112" s="1"/>
      <c r="B112" s="11"/>
      <c r="C112" s="11"/>
      <c r="D112" s="11"/>
      <c r="E112" s="11"/>
      <c r="F112" s="11"/>
      <c r="G112" s="12"/>
      <c r="H112" s="76"/>
      <c r="I112" s="13"/>
    </row>
    <row r="113" spans="1:9" ht="18.75" customHeight="1" x14ac:dyDescent="0.25">
      <c r="A113" s="1"/>
      <c r="B113" s="18" t="s">
        <v>79</v>
      </c>
      <c r="C113" s="14"/>
      <c r="D113" s="12"/>
      <c r="E113" s="14"/>
      <c r="F113" s="11"/>
      <c r="G113" s="12" t="s">
        <v>98</v>
      </c>
      <c r="H113" s="32">
        <f>H111*Input!$H$20*$H$6</f>
        <v>568.54257417705651</v>
      </c>
      <c r="I113" s="13" t="s">
        <v>33</v>
      </c>
    </row>
    <row r="114" spans="1:9" ht="18.75" customHeight="1" x14ac:dyDescent="0.25">
      <c r="A114" s="1"/>
      <c r="B114" s="18" t="s">
        <v>81</v>
      </c>
      <c r="C114" s="11"/>
      <c r="D114" s="11"/>
      <c r="E114" s="14"/>
      <c r="F114" s="11"/>
      <c r="G114" s="12" t="s">
        <v>82</v>
      </c>
      <c r="H114" s="37">
        <f>H113/(PI()/4*Input!$H$22^2)</f>
        <v>1.4956423312143654</v>
      </c>
      <c r="I114" s="78"/>
    </row>
    <row r="115" spans="1:9" ht="18.75" customHeight="1" x14ac:dyDescent="0.25">
      <c r="A115" s="1"/>
      <c r="B115" s="18" t="s">
        <v>83</v>
      </c>
      <c r="C115" s="19"/>
      <c r="D115" s="14"/>
      <c r="E115" s="80"/>
      <c r="F115" s="11"/>
      <c r="G115" s="64">
        <f>H114</f>
        <v>1.4956423312143654</v>
      </c>
      <c r="H115" s="38">
        <f>$H$39</f>
        <v>22</v>
      </c>
      <c r="I115" s="78"/>
    </row>
    <row r="116" spans="1:9" ht="18.75" customHeight="1" x14ac:dyDescent="0.25">
      <c r="A116" s="1"/>
      <c r="B116" s="18" t="s">
        <v>84</v>
      </c>
      <c r="C116" s="11"/>
      <c r="D116" s="11"/>
      <c r="E116" s="11"/>
      <c r="F116" s="11"/>
      <c r="G116" s="12" t="s">
        <v>85</v>
      </c>
      <c r="H116" s="35">
        <f>ROUNDUP(G115/$H$19,0)</f>
        <v>1</v>
      </c>
      <c r="I116" s="78"/>
    </row>
    <row r="117" spans="1:9" ht="18.75" customHeight="1" x14ac:dyDescent="0.25">
      <c r="A117" s="1"/>
      <c r="B117" s="11"/>
      <c r="C117" s="11" t="s">
        <v>86</v>
      </c>
      <c r="D117" s="12" t="s">
        <v>87</v>
      </c>
      <c r="E117" s="14" t="s">
        <v>101</v>
      </c>
      <c r="F117" s="18"/>
      <c r="G117" s="15" t="s">
        <v>41</v>
      </c>
      <c r="H117" s="77" t="str">
        <f>IF(H116&lt;=3,"[OK]","[NOT OK]")</f>
        <v>[OK]</v>
      </c>
      <c r="I117" s="78"/>
    </row>
    <row r="118" spans="1:9" ht="18.75" customHeight="1" x14ac:dyDescent="0.25">
      <c r="A118" s="1"/>
      <c r="B118" s="11"/>
      <c r="C118" s="11"/>
      <c r="D118" s="11"/>
      <c r="E118" s="11"/>
      <c r="F118" s="11"/>
      <c r="G118" s="12"/>
      <c r="H118" s="81"/>
      <c r="I118" s="78"/>
    </row>
    <row r="119" spans="1:9" ht="18.75" customHeight="1" x14ac:dyDescent="0.25">
      <c r="A119" s="1"/>
      <c r="B119" s="131" t="s">
        <v>89</v>
      </c>
      <c r="C119" s="132" t="s">
        <v>90</v>
      </c>
      <c r="D119" s="132" t="s">
        <v>91</v>
      </c>
      <c r="E119" s="132" t="s">
        <v>92</v>
      </c>
      <c r="F119" s="11"/>
      <c r="G119" s="12"/>
      <c r="H119" s="81"/>
      <c r="I119" s="78"/>
    </row>
    <row r="120" spans="1:9" ht="18.75" customHeight="1" x14ac:dyDescent="0.25">
      <c r="A120" s="1"/>
      <c r="B120" s="131" t="s">
        <v>93</v>
      </c>
      <c r="C120" s="132" t="s">
        <v>280</v>
      </c>
      <c r="D120" s="132" t="s">
        <v>281</v>
      </c>
      <c r="E120" s="132" t="s">
        <v>282</v>
      </c>
      <c r="F120" s="11"/>
      <c r="G120" s="12"/>
      <c r="H120" s="81"/>
      <c r="I120" s="78"/>
    </row>
    <row r="121" spans="1:9" ht="18.75" customHeight="1" x14ac:dyDescent="0.25">
      <c r="A121" s="1"/>
      <c r="B121" s="41">
        <v>1</v>
      </c>
      <c r="C121" s="34">
        <f>IF(G115&gt;$H$19,$H$19,G115)</f>
        <v>1.4956423312143654</v>
      </c>
      <c r="D121" s="34">
        <f>IF(C121=0,0,$H$17)</f>
        <v>63</v>
      </c>
      <c r="E121" s="34">
        <f>C121*D121</f>
        <v>94.225466866505016</v>
      </c>
      <c r="F121" s="11"/>
      <c r="G121" s="12"/>
      <c r="H121" s="81"/>
      <c r="I121" s="78"/>
    </row>
    <row r="122" spans="1:9" ht="18.75" customHeight="1" x14ac:dyDescent="0.25">
      <c r="A122" s="1"/>
      <c r="B122" s="41">
        <v>2</v>
      </c>
      <c r="C122" s="34">
        <f>IF(G115-$H$19&gt;0,IF(G115-$H$19&gt;$H$19,$H$19,G115-$H$19),0)</f>
        <v>0</v>
      </c>
      <c r="D122" s="34">
        <f>IF(C122=0,0,$H$17+$H$21)</f>
        <v>0</v>
      </c>
      <c r="E122" s="34">
        <f>C122*D122</f>
        <v>0</v>
      </c>
      <c r="F122" s="11"/>
      <c r="G122" s="12"/>
      <c r="H122" s="81"/>
      <c r="I122" s="78"/>
    </row>
    <row r="123" spans="1:9" ht="18.75" customHeight="1" x14ac:dyDescent="0.25">
      <c r="A123" s="1"/>
      <c r="B123" s="41">
        <v>3</v>
      </c>
      <c r="C123" s="34">
        <f>IF(G115&gt;2*$H$19,G115-2*$H$19,IF(G115&gt;2*$H$19,G115-$H$19,0))</f>
        <v>0</v>
      </c>
      <c r="D123" s="34">
        <f>IF(C123=0,0,$H$17+2*$H$21)</f>
        <v>0</v>
      </c>
      <c r="E123" s="34">
        <f>C123*D123</f>
        <v>0</v>
      </c>
      <c r="F123" s="11"/>
      <c r="G123" s="12"/>
      <c r="H123" s="81"/>
      <c r="I123" s="78"/>
    </row>
    <row r="124" spans="1:9" ht="18.75" customHeight="1" x14ac:dyDescent="0.25">
      <c r="A124" s="1"/>
      <c r="B124" s="137" t="s">
        <v>94</v>
      </c>
      <c r="C124" s="138">
        <f>SUM(C121:C123)</f>
        <v>1.4956423312143654</v>
      </c>
      <c r="D124" s="139" t="s">
        <v>95</v>
      </c>
      <c r="E124" s="138">
        <f>SUM(E121:E123)</f>
        <v>94.225466866505016</v>
      </c>
      <c r="F124" s="11"/>
      <c r="G124" s="12"/>
      <c r="H124" s="81"/>
      <c r="I124" s="78"/>
    </row>
    <row r="125" spans="1:9" ht="18.75" customHeight="1" x14ac:dyDescent="0.25">
      <c r="A125" s="1"/>
      <c r="B125" s="11"/>
      <c r="C125" s="11"/>
      <c r="D125" s="11"/>
      <c r="E125" s="11"/>
      <c r="F125" s="11"/>
      <c r="G125" s="12"/>
      <c r="H125" s="81"/>
      <c r="I125" s="78"/>
    </row>
    <row r="126" spans="1:9" ht="18.75" customHeight="1" x14ac:dyDescent="0.25">
      <c r="A126" s="1"/>
      <c r="B126" s="11"/>
      <c r="C126" s="11"/>
      <c r="D126" s="11"/>
      <c r="E126" s="11"/>
      <c r="F126" s="11"/>
      <c r="G126" s="12"/>
      <c r="H126" s="81"/>
      <c r="I126" s="78"/>
    </row>
    <row r="127" spans="1:9" ht="18.75" customHeight="1" x14ac:dyDescent="0.25">
      <c r="A127" s="1"/>
      <c r="B127" s="11"/>
      <c r="C127" s="11"/>
      <c r="D127" s="11"/>
      <c r="E127" s="11"/>
      <c r="F127" s="11"/>
      <c r="G127" s="12"/>
      <c r="H127" s="81"/>
      <c r="I127" s="78"/>
    </row>
    <row r="128" spans="1:9" ht="18.75" customHeight="1" x14ac:dyDescent="0.25">
      <c r="A128" s="1"/>
      <c r="B128" s="11"/>
      <c r="C128" s="11"/>
      <c r="D128" s="11"/>
      <c r="E128" s="11"/>
      <c r="F128" s="11"/>
      <c r="G128" s="12"/>
      <c r="H128" s="81"/>
      <c r="I128" s="78"/>
    </row>
    <row r="129" spans="1:9" ht="18.75" customHeight="1" x14ac:dyDescent="0.25">
      <c r="A129" s="1"/>
      <c r="B129" s="11"/>
      <c r="C129" s="11"/>
      <c r="D129" s="11"/>
      <c r="E129" s="11"/>
      <c r="F129" s="11"/>
      <c r="G129" s="12"/>
      <c r="H129" s="81"/>
      <c r="I129" s="78"/>
    </row>
    <row r="130" spans="1:9" ht="18.75" customHeight="1" x14ac:dyDescent="0.25">
      <c r="A130" s="1"/>
      <c r="B130" s="11"/>
      <c r="C130" s="11"/>
      <c r="D130" s="11"/>
      <c r="E130" s="11"/>
      <c r="F130" s="11"/>
      <c r="G130" s="12"/>
      <c r="H130" s="81"/>
      <c r="I130" s="78"/>
    </row>
    <row r="131" spans="1:9" ht="18.75" customHeight="1" x14ac:dyDescent="0.25">
      <c r="A131" s="1"/>
      <c r="B131" s="11"/>
      <c r="C131" s="11"/>
      <c r="D131" s="11"/>
      <c r="E131" s="11"/>
      <c r="F131" s="11"/>
      <c r="G131" s="12"/>
      <c r="H131" s="81"/>
      <c r="I131" s="78"/>
    </row>
    <row r="132" spans="1:9" ht="18.75" customHeight="1" x14ac:dyDescent="0.25">
      <c r="A132" s="1"/>
      <c r="B132" s="11"/>
      <c r="C132" s="11"/>
      <c r="D132" s="11"/>
      <c r="E132" s="11"/>
      <c r="F132" s="11"/>
      <c r="G132" s="12"/>
      <c r="H132" s="81"/>
      <c r="I132" s="78"/>
    </row>
    <row r="133" spans="1:9" ht="18.75" customHeight="1" x14ac:dyDescent="0.25">
      <c r="A133" s="1"/>
      <c r="B133" s="11"/>
      <c r="C133" s="11"/>
      <c r="D133" s="11"/>
      <c r="E133" s="11"/>
      <c r="F133" s="11"/>
      <c r="G133" s="12"/>
      <c r="H133" s="81"/>
      <c r="I133" s="78"/>
    </row>
    <row r="134" spans="1:9" ht="18.75" customHeight="1" x14ac:dyDescent="0.25">
      <c r="A134" s="1"/>
      <c r="B134" s="11"/>
      <c r="C134" s="11"/>
      <c r="D134" s="11"/>
      <c r="E134" s="11"/>
      <c r="F134" s="11"/>
      <c r="G134" s="12"/>
      <c r="H134" s="81"/>
      <c r="I134" s="78"/>
    </row>
    <row r="135" spans="1:9" ht="18.75" customHeight="1" x14ac:dyDescent="0.25">
      <c r="A135" s="1"/>
      <c r="B135" s="11" t="s">
        <v>484</v>
      </c>
      <c r="C135" s="11"/>
      <c r="D135" s="11"/>
      <c r="E135" s="77"/>
      <c r="F135" s="11"/>
      <c r="G135" s="12" t="s">
        <v>88</v>
      </c>
      <c r="H135" s="34">
        <f>Input!H21-E124/C124</f>
        <v>437</v>
      </c>
      <c r="I135" s="78" t="s">
        <v>19</v>
      </c>
    </row>
    <row r="136" spans="1:9" ht="18.75" customHeight="1" x14ac:dyDescent="0.25">
      <c r="A136" s="1"/>
      <c r="B136" s="11" t="s">
        <v>485</v>
      </c>
      <c r="C136" s="11"/>
      <c r="D136" s="11"/>
      <c r="E136" s="77"/>
      <c r="F136" s="11"/>
      <c r="G136" s="12" t="s">
        <v>100</v>
      </c>
      <c r="H136" s="34">
        <f>E124/C124</f>
        <v>63</v>
      </c>
      <c r="I136" s="78" t="s">
        <v>19</v>
      </c>
    </row>
    <row r="137" spans="1:9" ht="18.75" customHeight="1" x14ac:dyDescent="0.25">
      <c r="A137" s="5"/>
      <c r="I137" s="17"/>
    </row>
    <row r="138" spans="1:9" ht="18.75" customHeight="1" x14ac:dyDescent="0.25">
      <c r="A138" s="167" t="s">
        <v>416</v>
      </c>
      <c r="B138" s="6" t="s">
        <v>403</v>
      </c>
      <c r="C138" s="7"/>
      <c r="D138" s="7"/>
      <c r="E138" s="7"/>
      <c r="F138" s="8"/>
      <c r="G138" s="8"/>
      <c r="H138" s="9"/>
      <c r="I138" s="10"/>
    </row>
    <row r="139" spans="1:9" ht="18.75" customHeight="1" x14ac:dyDescent="0.25">
      <c r="A139" s="1"/>
      <c r="B139" s="11" t="s">
        <v>61</v>
      </c>
      <c r="C139" s="11"/>
      <c r="D139" s="11"/>
      <c r="E139" s="11"/>
      <c r="F139" s="12"/>
      <c r="G139" s="12" t="s">
        <v>62</v>
      </c>
      <c r="H139" s="34">
        <v>0.85</v>
      </c>
      <c r="I139" s="13"/>
    </row>
    <row r="140" spans="1:9" ht="18.75" customHeight="1" x14ac:dyDescent="0.25">
      <c r="A140" s="1"/>
      <c r="B140" s="11" t="s">
        <v>63</v>
      </c>
      <c r="C140" s="11"/>
      <c r="D140" s="11"/>
      <c r="E140" s="11"/>
      <c r="F140" s="12"/>
      <c r="G140" s="12" t="s">
        <v>380</v>
      </c>
      <c r="H140" s="32">
        <f>Input!H37</f>
        <v>143.04</v>
      </c>
      <c r="I140" s="13" t="s">
        <v>27</v>
      </c>
    </row>
    <row r="141" spans="1:9" ht="18.75" customHeight="1" x14ac:dyDescent="0.25">
      <c r="A141" s="1"/>
      <c r="B141" s="11" t="s">
        <v>64</v>
      </c>
      <c r="C141" s="11"/>
      <c r="D141" s="11"/>
      <c r="E141" s="11"/>
      <c r="F141" s="12"/>
      <c r="G141" s="12" t="s">
        <v>65</v>
      </c>
      <c r="H141" s="32">
        <f>H140/H139</f>
        <v>168.28235294117647</v>
      </c>
      <c r="I141" s="13" t="s">
        <v>27</v>
      </c>
    </row>
    <row r="142" spans="1:9" ht="18.75" customHeight="1" x14ac:dyDescent="0.25">
      <c r="A142" s="1"/>
      <c r="B142" s="11" t="s">
        <v>66</v>
      </c>
      <c r="C142" s="19"/>
      <c r="D142" s="11"/>
      <c r="E142" s="11"/>
      <c r="F142" s="11"/>
      <c r="G142" s="12" t="s">
        <v>67</v>
      </c>
      <c r="H142" s="32">
        <f>4700*$H$3^0.5</f>
        <v>25742.960202742808</v>
      </c>
      <c r="I142" s="13" t="s">
        <v>9</v>
      </c>
    </row>
    <row r="143" spans="1:9" ht="18.75" customHeight="1" x14ac:dyDescent="0.25">
      <c r="A143" s="1"/>
      <c r="B143" s="11" t="s">
        <v>68</v>
      </c>
      <c r="C143" s="19"/>
      <c r="D143" s="11"/>
      <c r="E143" s="11"/>
      <c r="F143" s="11"/>
      <c r="G143" s="74" t="s">
        <v>69</v>
      </c>
      <c r="H143" s="32">
        <f>H141*10^6/(Input!$H$20*$H$6^2)</f>
        <v>2.9373415395723299</v>
      </c>
      <c r="I143" s="13"/>
    </row>
    <row r="144" spans="1:9" ht="18.75" customHeight="1" x14ac:dyDescent="0.25">
      <c r="A144" s="1"/>
      <c r="B144" s="11" t="s">
        <v>70</v>
      </c>
      <c r="C144" s="19"/>
      <c r="D144" s="11"/>
      <c r="E144" s="11"/>
      <c r="F144" s="11"/>
      <c r="G144" s="74" t="s">
        <v>71</v>
      </c>
      <c r="H144" s="33">
        <f>1/$H$22*(1-(1-2*$H$22*H143/$H$4)^0.5)</f>
        <v>7.4508546165755604E-3</v>
      </c>
      <c r="I144" s="75"/>
    </row>
    <row r="145" spans="1:9" ht="18.75" customHeight="1" x14ac:dyDescent="0.25">
      <c r="A145" s="1"/>
      <c r="B145" s="11" t="s">
        <v>72</v>
      </c>
      <c r="C145" s="11"/>
      <c r="D145" s="11"/>
      <c r="E145" s="11"/>
      <c r="F145" s="11"/>
      <c r="G145" s="12"/>
      <c r="H145" s="76"/>
      <c r="I145" s="13"/>
    </row>
    <row r="146" spans="1:9" ht="18.75" customHeight="1" x14ac:dyDescent="0.25">
      <c r="A146" s="1"/>
      <c r="B146" s="11"/>
      <c r="C146" s="11" t="s">
        <v>73</v>
      </c>
      <c r="D146" s="14" t="s">
        <v>74</v>
      </c>
      <c r="E146" s="14" t="s">
        <v>75</v>
      </c>
      <c r="F146" s="14" t="s">
        <v>76</v>
      </c>
      <c r="G146" s="12"/>
      <c r="H146" s="76"/>
      <c r="I146" s="13"/>
    </row>
    <row r="147" spans="1:9" ht="18.75" customHeight="1" x14ac:dyDescent="0.25">
      <c r="A147" s="1"/>
      <c r="B147" s="11"/>
      <c r="C147" s="11"/>
      <c r="D147" s="76">
        <f>MIN($H$15:$H$16)</f>
        <v>3.2602533184831316E-3</v>
      </c>
      <c r="E147" s="76">
        <f>H144</f>
        <v>7.4508546165755604E-3</v>
      </c>
      <c r="F147" s="76">
        <f>$H$14</f>
        <v>2.2385204081632658E-2</v>
      </c>
      <c r="G147" s="15" t="s">
        <v>41</v>
      </c>
      <c r="H147" s="77" t="str">
        <f>IF(D147&lt;E147,(IF(E147&lt;F147,"[ OK ]","[ NOT OK ]")),"[ Pakai ρmin ]")</f>
        <v>[ OK ]</v>
      </c>
      <c r="I147" s="13"/>
    </row>
    <row r="148" spans="1:9" ht="18.75" customHeight="1" x14ac:dyDescent="0.25">
      <c r="A148" s="1"/>
      <c r="B148" s="11"/>
      <c r="C148" s="11"/>
      <c r="D148" s="11"/>
      <c r="E148" s="11"/>
      <c r="F148" s="11"/>
      <c r="G148" s="12"/>
      <c r="H148" s="14"/>
      <c r="I148" s="13"/>
    </row>
    <row r="149" spans="1:9" ht="18.75" customHeight="1" x14ac:dyDescent="0.25">
      <c r="A149" s="1"/>
      <c r="B149" s="11" t="s">
        <v>77</v>
      </c>
      <c r="C149" s="11"/>
      <c r="D149" s="11"/>
      <c r="E149" s="11"/>
      <c r="F149" s="11"/>
      <c r="G149" s="12" t="s">
        <v>78</v>
      </c>
      <c r="H149" s="33">
        <f>IF(D147&lt;E147,(IF(E147&lt;F147,E147,"[ NOT OK ]")),D147)</f>
        <v>7.4508546165755604E-3</v>
      </c>
      <c r="I149" s="13"/>
    </row>
    <row r="150" spans="1:9" ht="18.75" customHeight="1" x14ac:dyDescent="0.25">
      <c r="A150" s="1"/>
      <c r="B150" s="14"/>
      <c r="C150" s="14"/>
      <c r="D150" s="19"/>
      <c r="E150" s="19"/>
      <c r="F150" s="11"/>
      <c r="G150" s="12"/>
      <c r="H150" s="14"/>
      <c r="I150" s="78"/>
    </row>
    <row r="151" spans="1:9" ht="18.75" customHeight="1" x14ac:dyDescent="0.25">
      <c r="A151" s="1"/>
      <c r="B151" s="18" t="s">
        <v>79</v>
      </c>
      <c r="C151" s="14"/>
      <c r="D151" s="12"/>
      <c r="E151" s="14"/>
      <c r="F151" s="11"/>
      <c r="G151" s="12" t="s">
        <v>80</v>
      </c>
      <c r="H151" s="32">
        <f>H149*Input!H20*$H$6</f>
        <v>976.807040233056</v>
      </c>
      <c r="I151" s="13" t="s">
        <v>33</v>
      </c>
    </row>
    <row r="152" spans="1:9" ht="18.75" customHeight="1" x14ac:dyDescent="0.25">
      <c r="A152" s="1"/>
      <c r="B152" s="18" t="s">
        <v>81</v>
      </c>
      <c r="C152" s="11"/>
      <c r="D152" s="11"/>
      <c r="E152" s="14"/>
      <c r="F152" s="11"/>
      <c r="G152" s="12" t="s">
        <v>291</v>
      </c>
      <c r="H152" s="37">
        <f>H151/(PI()/4*Input!$H$22^2)</f>
        <v>2.5696474198356154</v>
      </c>
      <c r="I152" s="78"/>
    </row>
    <row r="153" spans="1:9" ht="18.75" customHeight="1" x14ac:dyDescent="0.25">
      <c r="A153" s="1"/>
      <c r="B153" s="18" t="s">
        <v>83</v>
      </c>
      <c r="C153" s="19"/>
      <c r="D153" s="14"/>
      <c r="E153" s="80"/>
      <c r="F153" s="11"/>
      <c r="G153" s="64">
        <f>H152</f>
        <v>2.5696474198356154</v>
      </c>
      <c r="H153" s="38">
        <f>Input!H22</f>
        <v>22</v>
      </c>
      <c r="I153" s="78"/>
    </row>
    <row r="154" spans="1:9" ht="18.75" customHeight="1" x14ac:dyDescent="0.25">
      <c r="A154" s="1"/>
      <c r="B154" s="18" t="s">
        <v>84</v>
      </c>
      <c r="C154" s="11"/>
      <c r="D154" s="11"/>
      <c r="E154" s="11"/>
      <c r="F154" s="11"/>
      <c r="G154" s="12" t="s">
        <v>85</v>
      </c>
      <c r="H154" s="35">
        <f>ROUNDUP(G153/$H$19,0)</f>
        <v>1</v>
      </c>
      <c r="I154" s="78"/>
    </row>
    <row r="155" spans="1:9" ht="18.75" customHeight="1" x14ac:dyDescent="0.25">
      <c r="A155" s="1"/>
      <c r="B155" s="11"/>
      <c r="C155" s="11" t="s">
        <v>86</v>
      </c>
      <c r="D155" s="12" t="s">
        <v>87</v>
      </c>
      <c r="E155" s="14" t="s">
        <v>101</v>
      </c>
      <c r="F155" s="11"/>
      <c r="G155" s="15" t="s">
        <v>41</v>
      </c>
      <c r="H155" s="77" t="str">
        <f>IF(H154&lt;=3,"[OK]","[NOT OK]")</f>
        <v>[OK]</v>
      </c>
      <c r="I155" s="78"/>
    </row>
    <row r="156" spans="1:9" ht="18.75" customHeight="1" x14ac:dyDescent="0.25">
      <c r="A156" s="1"/>
      <c r="B156" s="11"/>
      <c r="C156" s="11"/>
      <c r="D156" s="11"/>
      <c r="E156" s="11"/>
      <c r="F156" s="11"/>
      <c r="G156" s="12"/>
      <c r="H156" s="81"/>
      <c r="I156" s="78"/>
    </row>
    <row r="157" spans="1:9" ht="18.75" customHeight="1" x14ac:dyDescent="0.25">
      <c r="A157" s="1"/>
      <c r="B157" s="131" t="s">
        <v>89</v>
      </c>
      <c r="C157" s="132" t="s">
        <v>90</v>
      </c>
      <c r="D157" s="132" t="s">
        <v>91</v>
      </c>
      <c r="E157" s="132" t="s">
        <v>92</v>
      </c>
      <c r="F157" s="11"/>
      <c r="G157" s="12"/>
      <c r="H157" s="81"/>
      <c r="I157" s="78"/>
    </row>
    <row r="158" spans="1:9" ht="18.75" customHeight="1" x14ac:dyDescent="0.25">
      <c r="A158" s="1"/>
      <c r="B158" s="131" t="s">
        <v>93</v>
      </c>
      <c r="C158" s="132" t="s">
        <v>280</v>
      </c>
      <c r="D158" s="132" t="s">
        <v>281</v>
      </c>
      <c r="E158" s="132" t="s">
        <v>282</v>
      </c>
      <c r="F158" s="11"/>
      <c r="G158" s="12"/>
      <c r="H158" s="81"/>
      <c r="I158" s="78"/>
    </row>
    <row r="159" spans="1:9" ht="18.75" customHeight="1" x14ac:dyDescent="0.25">
      <c r="A159" s="1"/>
      <c r="B159" s="41">
        <v>1</v>
      </c>
      <c r="C159" s="34">
        <f>IF(G153&gt;$H$19,$H$19,G153)</f>
        <v>2.5696474198356154</v>
      </c>
      <c r="D159" s="34">
        <f>IF(C159=0,0,$H$17)</f>
        <v>63</v>
      </c>
      <c r="E159" s="34">
        <f>C159*D159</f>
        <v>161.88778744964378</v>
      </c>
      <c r="F159" s="11"/>
      <c r="G159" s="12"/>
      <c r="H159" s="81"/>
      <c r="I159" s="78"/>
    </row>
    <row r="160" spans="1:9" ht="18.75" customHeight="1" x14ac:dyDescent="0.25">
      <c r="A160" s="1"/>
      <c r="B160" s="41">
        <v>2</v>
      </c>
      <c r="C160" s="34">
        <f>IF(G153-$H$19&gt;0,IF(G153-$H$19&gt;$H$19,$H$19,G153-$H$19),0)</f>
        <v>0</v>
      </c>
      <c r="D160" s="34">
        <f>IF(C160=0,0,$H$17+$H$21)</f>
        <v>0</v>
      </c>
      <c r="E160" s="34">
        <f>C160*D160</f>
        <v>0</v>
      </c>
      <c r="F160" s="11"/>
      <c r="G160" s="12"/>
      <c r="H160" s="81"/>
      <c r="I160" s="78"/>
    </row>
    <row r="161" spans="1:9" ht="18.75" customHeight="1" x14ac:dyDescent="0.25">
      <c r="A161" s="1"/>
      <c r="B161" s="41">
        <v>3</v>
      </c>
      <c r="C161" s="34">
        <f>IF(G153&gt;2*$H$19,G153-2*$H$19,IF(G153&gt;2*$H$19,G153-$H$19,0))</f>
        <v>0</v>
      </c>
      <c r="D161" s="34">
        <f>IF(C161=0,0,$H$17+2*$H$21)</f>
        <v>0</v>
      </c>
      <c r="E161" s="34">
        <f>C161*D161</f>
        <v>0</v>
      </c>
      <c r="F161" s="11"/>
      <c r="G161" s="12"/>
      <c r="H161" s="81"/>
      <c r="I161" s="78"/>
    </row>
    <row r="162" spans="1:9" ht="18.75" customHeight="1" x14ac:dyDescent="0.25">
      <c r="A162" s="1"/>
      <c r="B162" s="137" t="s">
        <v>94</v>
      </c>
      <c r="C162" s="138">
        <f>SUM(C159:C161)</f>
        <v>2.5696474198356154</v>
      </c>
      <c r="D162" s="139" t="s">
        <v>95</v>
      </c>
      <c r="E162" s="138">
        <f>SUM(E159:E161)</f>
        <v>161.88778744964378</v>
      </c>
      <c r="F162" s="11"/>
      <c r="G162" s="12"/>
      <c r="H162" s="81"/>
      <c r="I162" s="78"/>
    </row>
    <row r="163" spans="1:9" ht="18.75" customHeight="1" x14ac:dyDescent="0.25">
      <c r="A163" s="1"/>
      <c r="B163" s="15"/>
      <c r="C163" s="16"/>
      <c r="D163" s="15"/>
      <c r="E163" s="16"/>
      <c r="F163" s="11"/>
      <c r="G163" s="12"/>
      <c r="H163" s="81"/>
      <c r="I163" s="78"/>
    </row>
    <row r="164" spans="1:9" ht="18.75" customHeight="1" x14ac:dyDescent="0.25">
      <c r="A164" s="1"/>
      <c r="B164" s="15"/>
      <c r="C164" s="16"/>
      <c r="D164" s="15"/>
      <c r="E164" s="16"/>
      <c r="F164" s="11"/>
      <c r="G164" s="12"/>
      <c r="H164" s="81"/>
      <c r="I164" s="78"/>
    </row>
    <row r="165" spans="1:9" ht="18.75" customHeight="1" x14ac:dyDescent="0.25">
      <c r="A165" s="1"/>
      <c r="B165" s="15"/>
      <c r="C165" s="16"/>
      <c r="D165" s="15"/>
      <c r="E165" s="16"/>
      <c r="F165" s="11"/>
      <c r="G165" s="12"/>
      <c r="H165" s="81"/>
      <c r="I165" s="78"/>
    </row>
    <row r="166" spans="1:9" ht="18.75" customHeight="1" x14ac:dyDescent="0.25">
      <c r="A166" s="1"/>
      <c r="B166" s="15"/>
      <c r="C166" s="16"/>
      <c r="D166" s="15"/>
      <c r="E166" s="16"/>
      <c r="F166" s="11"/>
      <c r="G166" s="12"/>
      <c r="H166" s="81"/>
      <c r="I166" s="78"/>
    </row>
    <row r="167" spans="1:9" ht="18.75" customHeight="1" x14ac:dyDescent="0.25">
      <c r="A167" s="1"/>
      <c r="B167" s="15"/>
      <c r="C167" s="16"/>
      <c r="D167" s="15"/>
      <c r="E167" s="16"/>
      <c r="F167" s="11"/>
      <c r="G167" s="12"/>
      <c r="H167" s="81"/>
      <c r="I167" s="78"/>
    </row>
    <row r="168" spans="1:9" ht="18.75" customHeight="1" x14ac:dyDescent="0.25">
      <c r="A168" s="1"/>
      <c r="B168" s="15"/>
      <c r="C168" s="16"/>
      <c r="D168" s="15"/>
      <c r="E168" s="16"/>
      <c r="F168" s="11"/>
      <c r="G168" s="12"/>
      <c r="H168" s="81"/>
      <c r="I168" s="78"/>
    </row>
    <row r="169" spans="1:9" ht="18.75" customHeight="1" x14ac:dyDescent="0.25">
      <c r="A169" s="1"/>
      <c r="B169" s="15"/>
      <c r="C169" s="16"/>
      <c r="D169" s="15"/>
      <c r="E169" s="16"/>
      <c r="F169" s="11"/>
      <c r="G169" s="12"/>
      <c r="H169" s="81"/>
      <c r="I169" s="78"/>
    </row>
    <row r="170" spans="1:9" ht="18.75" customHeight="1" x14ac:dyDescent="0.25">
      <c r="A170" s="1"/>
      <c r="B170" s="15"/>
      <c r="C170" s="16"/>
      <c r="D170" s="15"/>
      <c r="E170" s="16"/>
      <c r="F170" s="11"/>
      <c r="G170" s="12"/>
      <c r="H170" s="81"/>
      <c r="I170" s="78"/>
    </row>
    <row r="171" spans="1:9" ht="18.75" customHeight="1" x14ac:dyDescent="0.25">
      <c r="A171" s="1"/>
      <c r="B171" s="15"/>
      <c r="C171" s="16"/>
      <c r="D171" s="15"/>
      <c r="E171" s="16"/>
      <c r="F171" s="11"/>
      <c r="G171" s="12"/>
      <c r="H171" s="81"/>
      <c r="I171" s="78"/>
    </row>
    <row r="172" spans="1:9" ht="18.75" customHeight="1" x14ac:dyDescent="0.25">
      <c r="A172" s="1"/>
      <c r="B172" s="11"/>
      <c r="C172" s="11"/>
      <c r="D172" s="11"/>
      <c r="E172" s="11"/>
      <c r="F172" s="11"/>
      <c r="G172" s="12"/>
      <c r="H172" s="14"/>
      <c r="I172" s="13"/>
    </row>
    <row r="173" spans="1:9" ht="18.75" customHeight="1" x14ac:dyDescent="0.25">
      <c r="A173" s="1"/>
      <c r="B173" s="11" t="s">
        <v>486</v>
      </c>
      <c r="C173" s="11"/>
      <c r="D173" s="11"/>
      <c r="E173" s="77"/>
      <c r="F173" s="11"/>
      <c r="G173" s="12" t="s">
        <v>88</v>
      </c>
      <c r="H173" s="34">
        <f>Input!$H$21-E162/C162</f>
        <v>437</v>
      </c>
      <c r="I173" s="78" t="s">
        <v>19</v>
      </c>
    </row>
    <row r="174" spans="1:9" ht="18.75" customHeight="1" x14ac:dyDescent="0.25">
      <c r="A174" s="1"/>
      <c r="B174" s="11" t="s">
        <v>487</v>
      </c>
      <c r="C174" s="11"/>
      <c r="D174" s="11"/>
      <c r="E174" s="77"/>
      <c r="F174" s="11"/>
      <c r="G174" s="12" t="s">
        <v>100</v>
      </c>
      <c r="H174" s="34">
        <f>E162/C162</f>
        <v>63.000000000000007</v>
      </c>
      <c r="I174" s="78" t="s">
        <v>19</v>
      </c>
    </row>
    <row r="175" spans="1:9" ht="18.75" customHeight="1" x14ac:dyDescent="0.25">
      <c r="A175" s="5"/>
      <c r="I175" s="17"/>
    </row>
    <row r="176" spans="1:9" ht="18.75" customHeight="1" x14ac:dyDescent="0.25">
      <c r="A176" s="167" t="s">
        <v>417</v>
      </c>
      <c r="B176" s="79" t="s">
        <v>106</v>
      </c>
      <c r="C176" s="9"/>
      <c r="D176" s="9"/>
      <c r="E176" s="9"/>
      <c r="F176" s="7"/>
      <c r="G176" s="8"/>
      <c r="H176" s="9"/>
      <c r="I176" s="233"/>
    </row>
    <row r="177" spans="1:13" ht="18.75" customHeight="1" x14ac:dyDescent="0.25">
      <c r="A177" s="1"/>
      <c r="B177" s="133" t="s">
        <v>309</v>
      </c>
      <c r="C177" s="134"/>
      <c r="D177" s="134"/>
      <c r="E177" s="134"/>
      <c r="F177" s="135"/>
      <c r="G177" s="136"/>
      <c r="H177" s="134"/>
      <c r="I177" s="140"/>
    </row>
    <row r="178" spans="1:13" ht="18.75" customHeight="1" x14ac:dyDescent="0.25">
      <c r="A178" s="1"/>
      <c r="B178" s="18" t="s">
        <v>406</v>
      </c>
      <c r="C178" s="14"/>
      <c r="D178" s="19"/>
      <c r="E178" s="82">
        <f>G39</f>
        <v>2.5696474198356154</v>
      </c>
      <c r="F178" s="80">
        <f>Input!H22</f>
        <v>22</v>
      </c>
      <c r="G178" s="12" t="s">
        <v>107</v>
      </c>
      <c r="H178" s="34">
        <f>H37</f>
        <v>976.807040233056</v>
      </c>
      <c r="I178" s="13" t="s">
        <v>33</v>
      </c>
    </row>
    <row r="179" spans="1:13" ht="18.75" customHeight="1" x14ac:dyDescent="0.25">
      <c r="A179" s="1"/>
      <c r="B179" s="18" t="s">
        <v>407</v>
      </c>
      <c r="C179" s="14"/>
      <c r="D179" s="19"/>
      <c r="E179" s="82">
        <f>G115</f>
        <v>1.4956423312143654</v>
      </c>
      <c r="F179" s="80">
        <f>F178</f>
        <v>22</v>
      </c>
      <c r="G179" s="12" t="s">
        <v>99</v>
      </c>
      <c r="H179" s="34">
        <f>H113</f>
        <v>568.54257417705651</v>
      </c>
      <c r="I179" s="13" t="s">
        <v>33</v>
      </c>
    </row>
    <row r="180" spans="1:13" ht="18.75" customHeight="1" x14ac:dyDescent="0.25">
      <c r="A180" s="1"/>
      <c r="B180" s="18"/>
      <c r="C180" s="14"/>
      <c r="D180" s="19"/>
      <c r="E180" s="19"/>
      <c r="F180" s="11"/>
      <c r="G180" s="12"/>
      <c r="H180" s="14"/>
      <c r="I180" s="78"/>
    </row>
    <row r="181" spans="1:13" ht="18.75" customHeight="1" x14ac:dyDescent="0.25">
      <c r="A181" s="1"/>
      <c r="B181" s="11" t="s">
        <v>108</v>
      </c>
      <c r="C181" s="11"/>
      <c r="D181" s="11"/>
      <c r="E181" s="11"/>
      <c r="F181" s="11"/>
      <c r="G181" s="12" t="s">
        <v>109</v>
      </c>
      <c r="H181" s="32">
        <f>H178*H4/1000</f>
        <v>410.25895689788348</v>
      </c>
      <c r="I181" s="78" t="s">
        <v>110</v>
      </c>
    </row>
    <row r="182" spans="1:13" ht="18.75" customHeight="1" x14ac:dyDescent="0.25">
      <c r="A182" s="1"/>
      <c r="B182" s="11" t="s">
        <v>111</v>
      </c>
      <c r="C182" s="14"/>
      <c r="D182" s="12"/>
      <c r="E182" s="14"/>
      <c r="F182" s="11"/>
      <c r="G182" s="12" t="s">
        <v>470</v>
      </c>
      <c r="H182" s="42">
        <f>H179*0.003*H5/1000</f>
        <v>341.12554450623389</v>
      </c>
      <c r="I182" s="83" t="s">
        <v>110</v>
      </c>
    </row>
    <row r="183" spans="1:13" ht="18.75" customHeight="1" x14ac:dyDescent="0.25">
      <c r="A183" s="1"/>
      <c r="B183" s="11" t="s">
        <v>113</v>
      </c>
      <c r="C183" s="11"/>
      <c r="D183" s="11"/>
      <c r="E183" s="14"/>
      <c r="F183" s="11"/>
      <c r="G183" s="12" t="s">
        <v>114</v>
      </c>
      <c r="H183" s="43">
        <f>0.85*H3*$H$11*Input!H20/1000</f>
        <v>6.3932142857142864</v>
      </c>
      <c r="I183" s="13" t="s">
        <v>110</v>
      </c>
      <c r="J183" s="242" t="s">
        <v>452</v>
      </c>
    </row>
    <row r="184" spans="1:13" ht="18.75" customHeight="1" x14ac:dyDescent="0.25">
      <c r="A184" s="1"/>
      <c r="B184" s="18"/>
      <c r="C184" s="19"/>
      <c r="D184" s="14"/>
      <c r="E184" s="80"/>
      <c r="F184" s="11"/>
      <c r="G184" s="11"/>
      <c r="H184" s="11"/>
      <c r="I184" s="84"/>
    </row>
    <row r="185" spans="1:13" ht="18.75" customHeight="1" x14ac:dyDescent="0.25">
      <c r="A185" s="1"/>
      <c r="B185" s="18" t="s">
        <v>115</v>
      </c>
      <c r="C185" s="11"/>
      <c r="D185" s="11"/>
      <c r="E185" s="11"/>
      <c r="F185" s="11"/>
      <c r="G185" s="12" t="s">
        <v>116</v>
      </c>
      <c r="H185" s="18" t="s">
        <v>117</v>
      </c>
      <c r="I185" s="85"/>
    </row>
    <row r="186" spans="1:13" ht="18.75" customHeight="1" x14ac:dyDescent="0.25">
      <c r="A186" s="1"/>
      <c r="B186" s="18"/>
      <c r="C186" s="11"/>
      <c r="D186" s="11"/>
      <c r="E186" s="11"/>
      <c r="F186" s="86">
        <f>H183</f>
        <v>6.3932142857142864</v>
      </c>
      <c r="G186" s="86">
        <f>H182</f>
        <v>341.12554450623389</v>
      </c>
      <c r="H186" s="300">
        <f>H181</f>
        <v>410.25895689788348</v>
      </c>
      <c r="I186" s="301"/>
      <c r="M186" s="44"/>
    </row>
    <row r="187" spans="1:13" ht="18.75" customHeight="1" x14ac:dyDescent="0.25">
      <c r="A187" s="1"/>
      <c r="B187" s="18" t="s">
        <v>118</v>
      </c>
      <c r="C187" s="11"/>
      <c r="D187" s="11"/>
      <c r="E187" s="11"/>
      <c r="F187" s="87">
        <f>(G186-H181)/H183</f>
        <v>-10.813560957299526</v>
      </c>
      <c r="G187" s="19">
        <f>-G186/F186*H60</f>
        <v>-3361.5186889503193</v>
      </c>
      <c r="H187" s="88" t="s">
        <v>142</v>
      </c>
      <c r="I187" s="78"/>
      <c r="M187" s="45"/>
    </row>
    <row r="188" spans="1:13" ht="18.75" customHeight="1" x14ac:dyDescent="0.25">
      <c r="A188" s="1"/>
      <c r="B188" s="18"/>
      <c r="C188" s="11"/>
      <c r="D188" s="11"/>
      <c r="E188" s="11"/>
      <c r="F188" s="87"/>
      <c r="G188" s="19"/>
      <c r="H188" s="88"/>
      <c r="I188" s="78"/>
      <c r="M188" s="45"/>
    </row>
    <row r="189" spans="1:13" ht="18.75" customHeight="1" x14ac:dyDescent="0.25">
      <c r="A189" s="1"/>
      <c r="B189" s="18"/>
      <c r="C189" s="11"/>
      <c r="D189" s="11"/>
      <c r="E189" s="11"/>
      <c r="F189" s="87"/>
      <c r="G189" s="19"/>
      <c r="H189" s="88"/>
      <c r="I189" s="78"/>
      <c r="M189" s="45"/>
    </row>
    <row r="190" spans="1:13" ht="18.75" customHeight="1" x14ac:dyDescent="0.25">
      <c r="A190" s="1"/>
      <c r="B190" s="18"/>
      <c r="C190" s="11"/>
      <c r="D190" s="11"/>
      <c r="E190" s="11"/>
      <c r="F190" s="87"/>
      <c r="G190" s="19"/>
      <c r="H190" s="88"/>
      <c r="I190" s="78"/>
      <c r="M190" s="45"/>
    </row>
    <row r="191" spans="1:13" ht="18.75" customHeight="1" x14ac:dyDescent="0.25">
      <c r="A191" s="1"/>
      <c r="B191" s="18"/>
      <c r="C191" s="11"/>
      <c r="D191" s="11"/>
      <c r="E191" s="11"/>
      <c r="F191" s="87"/>
      <c r="G191" s="19"/>
      <c r="H191" s="88"/>
      <c r="I191" s="78"/>
      <c r="M191" s="45"/>
    </row>
    <row r="192" spans="1:13" ht="18.75" customHeight="1" x14ac:dyDescent="0.25">
      <c r="A192" s="1"/>
      <c r="B192" s="18"/>
      <c r="C192" s="11"/>
      <c r="D192" s="11"/>
      <c r="E192" s="11"/>
      <c r="F192" s="87"/>
      <c r="G192" s="19"/>
      <c r="H192" s="88"/>
      <c r="I192" s="78"/>
      <c r="M192" s="45"/>
    </row>
    <row r="193" spans="1:13" ht="18.75" customHeight="1" x14ac:dyDescent="0.25">
      <c r="A193" s="1"/>
      <c r="B193" s="18"/>
      <c r="C193" s="11"/>
      <c r="D193" s="11"/>
      <c r="E193" s="11"/>
      <c r="F193" s="87"/>
      <c r="G193" s="19"/>
      <c r="H193" s="88"/>
      <c r="I193" s="78"/>
      <c r="M193" s="45"/>
    </row>
    <row r="194" spans="1:13" ht="18.75" customHeight="1" x14ac:dyDescent="0.25">
      <c r="A194" s="1"/>
      <c r="B194" s="18"/>
      <c r="C194" s="11"/>
      <c r="D194" s="11"/>
      <c r="E194" s="11"/>
      <c r="F194" s="87"/>
      <c r="G194" s="19"/>
      <c r="H194" s="88"/>
      <c r="I194" s="78"/>
      <c r="M194" s="45"/>
    </row>
    <row r="195" spans="1:13" ht="18.75" customHeight="1" x14ac:dyDescent="0.25">
      <c r="A195" s="1"/>
      <c r="B195" s="18"/>
      <c r="C195" s="11"/>
      <c r="D195" s="11"/>
      <c r="E195" s="11"/>
      <c r="F195" s="87"/>
      <c r="G195" s="19"/>
      <c r="H195" s="88"/>
      <c r="I195" s="78"/>
      <c r="M195" s="45"/>
    </row>
    <row r="196" spans="1:13" ht="18.75" customHeight="1" x14ac:dyDescent="0.25">
      <c r="A196" s="1"/>
      <c r="B196" s="18"/>
      <c r="C196" s="11"/>
      <c r="D196" s="11"/>
      <c r="E196" s="11"/>
      <c r="F196" s="87"/>
      <c r="G196" s="19"/>
      <c r="H196" s="88"/>
      <c r="I196" s="78"/>
      <c r="M196" s="45"/>
    </row>
    <row r="197" spans="1:13" ht="18.75" customHeight="1" x14ac:dyDescent="0.25">
      <c r="A197" s="1"/>
      <c r="B197" s="18"/>
      <c r="C197" s="11"/>
      <c r="D197" s="11"/>
      <c r="E197" s="11"/>
      <c r="F197" s="87"/>
      <c r="G197" s="19"/>
      <c r="H197" s="88"/>
      <c r="I197" s="78"/>
      <c r="M197" s="45"/>
    </row>
    <row r="198" spans="1:13" ht="18.75" customHeight="1" x14ac:dyDescent="0.25">
      <c r="A198" s="1"/>
      <c r="B198" s="18" t="s">
        <v>119</v>
      </c>
      <c r="C198" s="11"/>
      <c r="D198" s="12"/>
      <c r="E198" s="14"/>
      <c r="F198" s="18"/>
      <c r="G198" s="12" t="s">
        <v>120</v>
      </c>
      <c r="H198" s="34">
        <f>IF(MIN((-F187+(F187^2-4*G187)^0.5)/2,(-F187-(F187^2-4*G187)^0.5)/2)&gt;0,MIN((-F187+(F187^2-4*G187)^0.5)/2,(-F187-(F187^2-4*G187)^0.5)/2),IF(MAX((-F187+(F187^2-4*G187)^0.5)/2,(-F187-(F187^2-4*G187)^0.5)/2)&gt;0,MAX((-F187+(F187^2-4*G187)^0.5)/2,(-F187-(F187^2-4*G187)^0.5)/2),"[ EROR ]"))</f>
        <v>63.636944174921716</v>
      </c>
      <c r="I198" s="78" t="s">
        <v>19</v>
      </c>
      <c r="M198" s="44"/>
    </row>
    <row r="199" spans="1:13" ht="18.75" customHeight="1" x14ac:dyDescent="0.25">
      <c r="A199" s="1"/>
      <c r="B199" s="11" t="s">
        <v>111</v>
      </c>
      <c r="C199" s="11"/>
      <c r="D199" s="11"/>
      <c r="E199" s="11"/>
      <c r="F199" s="11"/>
      <c r="G199" s="12" t="s">
        <v>121</v>
      </c>
      <c r="H199" s="32">
        <f>H182*(H198-H60)/H198</f>
        <v>3.4143362995715232</v>
      </c>
      <c r="I199" s="78" t="s">
        <v>110</v>
      </c>
      <c r="M199" s="44"/>
    </row>
    <row r="200" spans="1:13" ht="18.75" customHeight="1" x14ac:dyDescent="0.25">
      <c r="A200" s="1"/>
      <c r="B200" s="11" t="s">
        <v>113</v>
      </c>
      <c r="C200" s="12"/>
      <c r="D200" s="14"/>
      <c r="E200" s="14"/>
      <c r="F200" s="11"/>
      <c r="G200" s="12" t="s">
        <v>122</v>
      </c>
      <c r="H200" s="32">
        <f>H183*H198</f>
        <v>406.84462059831208</v>
      </c>
      <c r="I200" s="78" t="s">
        <v>110</v>
      </c>
      <c r="M200" s="44"/>
    </row>
    <row r="201" spans="1:13" ht="18.75" customHeight="1" x14ac:dyDescent="0.25">
      <c r="A201" s="1"/>
      <c r="B201" s="11" t="s">
        <v>108</v>
      </c>
      <c r="C201" s="12"/>
      <c r="D201" s="14"/>
      <c r="E201" s="14"/>
      <c r="F201" s="11"/>
      <c r="G201" s="12" t="s">
        <v>123</v>
      </c>
      <c r="H201" s="32">
        <f>H181</f>
        <v>410.25895689788348</v>
      </c>
      <c r="I201" s="78" t="s">
        <v>110</v>
      </c>
    </row>
    <row r="202" spans="1:13" ht="18.75" customHeight="1" x14ac:dyDescent="0.25">
      <c r="A202" s="1"/>
      <c r="B202" s="18"/>
      <c r="C202" s="11"/>
      <c r="D202" s="11"/>
      <c r="E202" s="11"/>
      <c r="F202" s="11"/>
      <c r="G202" s="12"/>
      <c r="H202" s="14"/>
      <c r="I202" s="13"/>
    </row>
    <row r="203" spans="1:13" ht="18.75" customHeight="1" x14ac:dyDescent="0.25">
      <c r="A203" s="1"/>
      <c r="B203" s="18" t="s">
        <v>124</v>
      </c>
      <c r="C203" s="11"/>
      <c r="D203" s="11"/>
      <c r="E203" s="11"/>
      <c r="F203" s="11"/>
      <c r="G203" s="12"/>
      <c r="H203" s="14"/>
      <c r="I203" s="13"/>
    </row>
    <row r="204" spans="1:13" ht="18.75" customHeight="1" x14ac:dyDescent="0.25">
      <c r="A204" s="1"/>
      <c r="B204" s="11"/>
      <c r="C204" s="18" t="s">
        <v>125</v>
      </c>
      <c r="D204" s="11"/>
      <c r="E204" s="11"/>
      <c r="F204" s="11"/>
      <c r="G204" s="12"/>
      <c r="H204" s="14"/>
      <c r="I204" s="13"/>
    </row>
    <row r="205" spans="1:13" ht="18.75" customHeight="1" x14ac:dyDescent="0.25">
      <c r="A205" s="1"/>
      <c r="B205" s="11"/>
      <c r="C205" s="18"/>
      <c r="D205" s="11" t="s">
        <v>292</v>
      </c>
      <c r="E205" s="11"/>
      <c r="F205" s="11" t="s">
        <v>127</v>
      </c>
      <c r="G205" s="12"/>
      <c r="H205" s="14"/>
      <c r="I205" s="13"/>
    </row>
    <row r="206" spans="1:13" ht="18.75" customHeight="1" x14ac:dyDescent="0.25">
      <c r="A206" s="1"/>
      <c r="B206" s="18"/>
      <c r="C206" s="11"/>
      <c r="D206" s="76">
        <f>(H198-$H$60)/H198*0.003</f>
        <v>3.0027094316671392E-5</v>
      </c>
      <c r="E206" s="14" t="str">
        <f>IF(D206&lt;F206,"&lt;","&gt;")</f>
        <v>&lt;</v>
      </c>
      <c r="F206" s="14">
        <f>$H$4/$H$5</f>
        <v>2.0999999999999999E-3</v>
      </c>
      <c r="G206" s="15" t="s">
        <v>41</v>
      </c>
      <c r="H206" s="89" t="str">
        <f>IF(D206&lt;F206,"AMAN  (OK)","BAHAYA  (NG)")</f>
        <v>AMAN  (OK)</v>
      </c>
      <c r="I206" s="13"/>
    </row>
    <row r="207" spans="1:13" ht="18.75" customHeight="1" x14ac:dyDescent="0.25">
      <c r="A207" s="1"/>
      <c r="B207" s="18"/>
      <c r="C207" s="18" t="s">
        <v>128</v>
      </c>
      <c r="D207" s="11"/>
      <c r="E207" s="11"/>
      <c r="F207" s="11"/>
      <c r="G207" s="12"/>
      <c r="H207" s="14"/>
      <c r="I207" s="13"/>
    </row>
    <row r="208" spans="1:13" ht="18.75" customHeight="1" x14ac:dyDescent="0.25">
      <c r="A208" s="1"/>
      <c r="B208" s="18"/>
      <c r="C208" s="18"/>
      <c r="D208" s="11" t="s">
        <v>129</v>
      </c>
      <c r="E208" s="11"/>
      <c r="F208" s="11" t="s">
        <v>127</v>
      </c>
      <c r="G208" s="12"/>
      <c r="H208" s="14"/>
      <c r="I208" s="13"/>
    </row>
    <row r="209" spans="1:10" ht="18.75" customHeight="1" x14ac:dyDescent="0.25">
      <c r="A209" s="1"/>
      <c r="B209" s="18"/>
      <c r="C209" s="11"/>
      <c r="D209" s="76">
        <f>($H$59-H198)/H198*0.003</f>
        <v>1.7601240631485944E-2</v>
      </c>
      <c r="E209" s="14" t="str">
        <f>IF(D209&lt;F209,"&lt;","&gt;")</f>
        <v>&gt;</v>
      </c>
      <c r="F209" s="14">
        <f>F206</f>
        <v>2.0999999999999999E-3</v>
      </c>
      <c r="G209" s="15" t="s">
        <v>41</v>
      </c>
      <c r="H209" s="89" t="str">
        <f>IF(D209&gt;F209,"AMAN  (OK)","BAHAYA  (NG)")</f>
        <v>AMAN  (OK)</v>
      </c>
      <c r="I209" s="13"/>
    </row>
    <row r="210" spans="1:10" ht="18.75" customHeight="1" x14ac:dyDescent="0.25">
      <c r="A210" s="1"/>
      <c r="B210" s="18"/>
      <c r="C210" s="11"/>
      <c r="D210" s="11"/>
      <c r="E210" s="11"/>
      <c r="F210" s="11"/>
      <c r="G210" s="12"/>
      <c r="H210" s="14"/>
      <c r="I210" s="13"/>
    </row>
    <row r="211" spans="1:10" ht="18.75" customHeight="1" x14ac:dyDescent="0.25">
      <c r="A211" s="1"/>
      <c r="B211" s="18" t="s">
        <v>130</v>
      </c>
      <c r="C211" s="11"/>
      <c r="D211" s="11"/>
      <c r="E211" s="11"/>
      <c r="F211" s="11"/>
      <c r="G211" s="15" t="s">
        <v>41</v>
      </c>
      <c r="H211" s="89" t="str">
        <f>IF(D209&lt;=F209,"Tekanan Terkontrol",IF(D209&lt;0.005,"Transisi",IF(D209&gt;0.005,"Tegangan Terkontrol","EROR")))</f>
        <v>Tegangan Terkontrol</v>
      </c>
      <c r="I211" s="13"/>
    </row>
    <row r="212" spans="1:10" ht="18.75" customHeight="1" x14ac:dyDescent="0.25">
      <c r="A212" s="1"/>
      <c r="B212" s="18"/>
      <c r="C212" s="11"/>
      <c r="D212" s="11"/>
      <c r="E212" s="11"/>
      <c r="F212" s="11"/>
      <c r="G212" s="15"/>
      <c r="H212" s="89"/>
      <c r="I212" s="13"/>
    </row>
    <row r="213" spans="1:10" ht="18.75" customHeight="1" x14ac:dyDescent="0.25">
      <c r="A213" s="1"/>
      <c r="B213" s="18" t="s">
        <v>131</v>
      </c>
      <c r="C213" s="11"/>
      <c r="D213" s="11"/>
      <c r="E213" s="11"/>
      <c r="F213" s="11"/>
      <c r="G213" s="12" t="str">
        <f>IF(D209&lt;=F209,"φ =",IF(D209&lt;0.005,"φ = 0,65 + 0,25 * (εs' - εs-yield)/(0,005 - εs-yield) =",IF(D209&gt;0.005,"φ =","EROR")))</f>
        <v>φ =</v>
      </c>
      <c r="H213" s="34">
        <f>IF(D209&lt;=F209,0.65,IF(D209&lt;0.005,0.65+0.25*(D209-F209)/(0.005-F209),IF(D209&gt;0.005,0.9,"EROR")))</f>
        <v>0.9</v>
      </c>
      <c r="I213" s="13"/>
    </row>
    <row r="214" spans="1:10" ht="18.75" customHeight="1" x14ac:dyDescent="0.25">
      <c r="A214" s="1"/>
      <c r="B214" s="18" t="s">
        <v>132</v>
      </c>
      <c r="C214" s="11"/>
      <c r="D214" s="11"/>
      <c r="E214" s="11"/>
      <c r="F214" s="11"/>
      <c r="G214" s="12" t="s">
        <v>133</v>
      </c>
      <c r="H214" s="32">
        <f>(H200*($H$59-H11*H198/2)+H199*(H59-H60))/1000</f>
        <v>168.24959396379072</v>
      </c>
      <c r="I214" s="13" t="s">
        <v>110</v>
      </c>
    </row>
    <row r="215" spans="1:10" ht="18.75" customHeight="1" x14ac:dyDescent="0.25">
      <c r="A215" s="1"/>
      <c r="B215" s="11" t="s">
        <v>73</v>
      </c>
      <c r="C215" s="11"/>
      <c r="D215" s="14" t="s">
        <v>134</v>
      </c>
      <c r="E215" s="14" t="s">
        <v>135</v>
      </c>
      <c r="F215" s="14" t="s">
        <v>471</v>
      </c>
      <c r="G215" s="11"/>
      <c r="H215" s="11"/>
      <c r="I215" s="13"/>
    </row>
    <row r="216" spans="1:10" ht="18.75" customHeight="1" x14ac:dyDescent="0.25">
      <c r="A216" s="1"/>
      <c r="B216" s="11"/>
      <c r="C216" s="11"/>
      <c r="D216" s="81">
        <f>H213*H214</f>
        <v>151.42463456741166</v>
      </c>
      <c r="E216" s="14" t="str">
        <f>IF(D216&gt;F216,"&gt;","&lt;")</f>
        <v>&gt;</v>
      </c>
      <c r="F216" s="81">
        <f>MAX(H26,H64)</f>
        <v>143.04</v>
      </c>
      <c r="G216" s="15" t="s">
        <v>41</v>
      </c>
      <c r="H216" s="89" t="str">
        <f>IF(D216&gt;=F216,"AMAN  (OK)","BAHAYA  (NG)")</f>
        <v>AMAN  (OK)</v>
      </c>
      <c r="I216" s="13"/>
    </row>
    <row r="217" spans="1:10" ht="18.75" customHeight="1" x14ac:dyDescent="0.25">
      <c r="A217" s="1"/>
      <c r="B217" s="18"/>
      <c r="C217" s="11"/>
      <c r="D217" s="11"/>
      <c r="E217" s="11"/>
      <c r="F217" s="11"/>
      <c r="G217" s="12"/>
      <c r="H217" s="19"/>
      <c r="I217" s="13"/>
    </row>
    <row r="218" spans="1:10" ht="18.75" customHeight="1" x14ac:dyDescent="0.25">
      <c r="A218" s="1"/>
      <c r="B218" s="133" t="s">
        <v>310</v>
      </c>
      <c r="C218" s="134"/>
      <c r="D218" s="134"/>
      <c r="E218" s="134"/>
      <c r="F218" s="135"/>
      <c r="G218" s="136"/>
      <c r="H218" s="134"/>
      <c r="I218" s="140"/>
    </row>
    <row r="219" spans="1:10" ht="18.75" customHeight="1" x14ac:dyDescent="0.25">
      <c r="A219" s="1"/>
      <c r="B219" s="18" t="s">
        <v>406</v>
      </c>
      <c r="C219" s="14"/>
      <c r="D219" s="19"/>
      <c r="E219" s="82">
        <f>G115</f>
        <v>1.4956423312143654</v>
      </c>
      <c r="F219" s="80">
        <f>H115</f>
        <v>22</v>
      </c>
      <c r="G219" s="12" t="s">
        <v>99</v>
      </c>
      <c r="H219" s="34">
        <f>H179</f>
        <v>568.54257417705651</v>
      </c>
      <c r="I219" s="13" t="s">
        <v>33</v>
      </c>
    </row>
    <row r="220" spans="1:10" ht="18.75" customHeight="1" x14ac:dyDescent="0.25">
      <c r="A220" s="1"/>
      <c r="B220" s="18" t="s">
        <v>407</v>
      </c>
      <c r="C220" s="14"/>
      <c r="D220" s="19"/>
      <c r="E220" s="82">
        <f>G39</f>
        <v>2.5696474198356154</v>
      </c>
      <c r="F220" s="80">
        <f>H39</f>
        <v>22</v>
      </c>
      <c r="G220" s="12" t="s">
        <v>107</v>
      </c>
      <c r="H220" s="34">
        <f>H178</f>
        <v>976.807040233056</v>
      </c>
      <c r="I220" s="13" t="s">
        <v>33</v>
      </c>
    </row>
    <row r="221" spans="1:10" ht="18.75" customHeight="1" x14ac:dyDescent="0.25">
      <c r="A221" s="1"/>
      <c r="B221" s="18"/>
      <c r="C221" s="14"/>
      <c r="D221" s="19"/>
      <c r="E221" s="19"/>
      <c r="F221" s="11"/>
      <c r="G221" s="12"/>
      <c r="H221" s="14"/>
      <c r="I221" s="78"/>
    </row>
    <row r="222" spans="1:10" ht="18.75" customHeight="1" x14ac:dyDescent="0.25">
      <c r="A222" s="1"/>
      <c r="B222" s="11" t="s">
        <v>108</v>
      </c>
      <c r="C222" s="11"/>
      <c r="D222" s="11"/>
      <c r="E222" s="11"/>
      <c r="F222" s="11"/>
      <c r="G222" s="12" t="s">
        <v>109</v>
      </c>
      <c r="H222" s="32">
        <f>H220*H4/1000</f>
        <v>410.25895689788348</v>
      </c>
      <c r="I222" s="78" t="s">
        <v>110</v>
      </c>
    </row>
    <row r="223" spans="1:10" ht="18.75" customHeight="1" x14ac:dyDescent="0.25">
      <c r="A223" s="1"/>
      <c r="B223" s="11" t="s">
        <v>111</v>
      </c>
      <c r="C223" s="14"/>
      <c r="D223" s="12"/>
      <c r="E223" s="14"/>
      <c r="F223" s="11"/>
      <c r="G223" s="12" t="s">
        <v>112</v>
      </c>
      <c r="H223" s="42">
        <f>H219*0.003*H5/1000</f>
        <v>341.12554450623389</v>
      </c>
      <c r="I223" s="83" t="s">
        <v>110</v>
      </c>
    </row>
    <row r="224" spans="1:10" ht="18.75" customHeight="1" x14ac:dyDescent="0.25">
      <c r="A224" s="1"/>
      <c r="B224" s="11" t="s">
        <v>113</v>
      </c>
      <c r="C224" s="11"/>
      <c r="D224" s="11"/>
      <c r="E224" s="14"/>
      <c r="F224" s="11"/>
      <c r="G224" s="12" t="s">
        <v>114</v>
      </c>
      <c r="H224" s="129">
        <f>$H$183</f>
        <v>6.3932142857142864</v>
      </c>
      <c r="I224" s="13" t="s">
        <v>110</v>
      </c>
      <c r="J224" s="242" t="s">
        <v>452</v>
      </c>
    </row>
    <row r="225" spans="1:13" ht="18.75" customHeight="1" x14ac:dyDescent="0.25">
      <c r="A225" s="1"/>
      <c r="B225" s="18"/>
      <c r="C225" s="19"/>
      <c r="D225" s="14"/>
      <c r="E225" s="80"/>
      <c r="F225" s="11"/>
      <c r="G225" s="11"/>
      <c r="H225" s="11"/>
      <c r="I225" s="84"/>
    </row>
    <row r="226" spans="1:13" ht="18.75" customHeight="1" x14ac:dyDescent="0.25">
      <c r="A226" s="1"/>
      <c r="B226" s="18" t="s">
        <v>115</v>
      </c>
      <c r="C226" s="11"/>
      <c r="D226" s="11"/>
      <c r="E226" s="11"/>
      <c r="F226" s="11"/>
      <c r="G226" s="12" t="s">
        <v>136</v>
      </c>
      <c r="H226" s="18" t="s">
        <v>137</v>
      </c>
      <c r="I226" s="85"/>
    </row>
    <row r="227" spans="1:13" ht="18.75" customHeight="1" x14ac:dyDescent="0.25">
      <c r="A227" s="1"/>
      <c r="B227" s="18"/>
      <c r="C227" s="11"/>
      <c r="D227" s="11"/>
      <c r="E227" s="11"/>
      <c r="F227" s="90">
        <f>H224</f>
        <v>6.3932142857142864</v>
      </c>
      <c r="G227" s="91">
        <f>H223</f>
        <v>341.12554450623389</v>
      </c>
      <c r="H227" s="302">
        <f>H222</f>
        <v>410.25895689788348</v>
      </c>
      <c r="I227" s="303"/>
      <c r="M227" s="44"/>
    </row>
    <row r="228" spans="1:13" ht="18.75" customHeight="1" x14ac:dyDescent="0.25">
      <c r="A228" s="1"/>
      <c r="B228" s="18" t="s">
        <v>118</v>
      </c>
      <c r="C228" s="11"/>
      <c r="D228" s="11"/>
      <c r="E228" s="11"/>
      <c r="F228" s="19">
        <f>(G227-H222)/H224</f>
        <v>-10.813560957299526</v>
      </c>
      <c r="G228" s="19">
        <f>-G227/F227*H136</f>
        <v>-3361.5186889503188</v>
      </c>
      <c r="H228" s="92" t="s">
        <v>138</v>
      </c>
      <c r="I228" s="78"/>
      <c r="M228" s="45"/>
    </row>
    <row r="229" spans="1:13" ht="18.75" customHeight="1" x14ac:dyDescent="0.25">
      <c r="A229" s="1"/>
      <c r="B229" s="18"/>
      <c r="C229" s="11"/>
      <c r="D229" s="11"/>
      <c r="E229" s="11"/>
      <c r="F229" s="19"/>
      <c r="G229" s="19"/>
      <c r="H229" s="92"/>
      <c r="I229" s="78"/>
      <c r="M229" s="45"/>
    </row>
    <row r="230" spans="1:13" ht="18.75" customHeight="1" x14ac:dyDescent="0.25">
      <c r="A230" s="1"/>
      <c r="B230" s="18"/>
      <c r="C230" s="11"/>
      <c r="D230" s="11"/>
      <c r="E230" s="11"/>
      <c r="F230" s="19"/>
      <c r="G230" s="19"/>
      <c r="H230" s="92"/>
      <c r="I230" s="78"/>
      <c r="M230" s="45"/>
    </row>
    <row r="231" spans="1:13" ht="18.75" customHeight="1" x14ac:dyDescent="0.25">
      <c r="A231" s="1"/>
      <c r="B231" s="18"/>
      <c r="C231" s="11"/>
      <c r="D231" s="11"/>
      <c r="E231" s="11"/>
      <c r="F231" s="19"/>
      <c r="G231" s="19"/>
      <c r="H231" s="92"/>
      <c r="I231" s="78"/>
      <c r="M231" s="45"/>
    </row>
    <row r="232" spans="1:13" ht="18.75" customHeight="1" x14ac:dyDescent="0.25">
      <c r="A232" s="1"/>
      <c r="B232" s="18"/>
      <c r="C232" s="11"/>
      <c r="D232" s="11"/>
      <c r="E232" s="11"/>
      <c r="F232" s="19"/>
      <c r="G232" s="19"/>
      <c r="H232" s="92"/>
      <c r="I232" s="78"/>
      <c r="M232" s="45"/>
    </row>
    <row r="233" spans="1:13" ht="18.75" customHeight="1" x14ac:dyDescent="0.25">
      <c r="A233" s="1"/>
      <c r="B233" s="18"/>
      <c r="C233" s="11"/>
      <c r="D233" s="11"/>
      <c r="E233" s="11"/>
      <c r="F233" s="19"/>
      <c r="G233" s="19"/>
      <c r="H233" s="92"/>
      <c r="I233" s="78"/>
      <c r="M233" s="45"/>
    </row>
    <row r="234" spans="1:13" ht="18.75" customHeight="1" x14ac:dyDescent="0.25">
      <c r="A234" s="1"/>
      <c r="B234" s="18"/>
      <c r="C234" s="11"/>
      <c r="D234" s="11"/>
      <c r="E234" s="11"/>
      <c r="F234" s="19"/>
      <c r="G234" s="19"/>
      <c r="H234" s="92"/>
      <c r="I234" s="78"/>
      <c r="M234" s="45"/>
    </row>
    <row r="235" spans="1:13" ht="18.75" customHeight="1" x14ac:dyDescent="0.25">
      <c r="A235" s="1"/>
      <c r="B235" s="18"/>
      <c r="C235" s="11"/>
      <c r="D235" s="11"/>
      <c r="E235" s="11"/>
      <c r="F235" s="19"/>
      <c r="G235" s="19"/>
      <c r="H235" s="92"/>
      <c r="I235" s="78"/>
      <c r="M235" s="45"/>
    </row>
    <row r="236" spans="1:13" ht="18.75" customHeight="1" x14ac:dyDescent="0.25">
      <c r="A236" s="1"/>
      <c r="B236" s="18"/>
      <c r="C236" s="11"/>
      <c r="D236" s="11"/>
      <c r="E236" s="11"/>
      <c r="F236" s="19"/>
      <c r="G236" s="19"/>
      <c r="H236" s="92"/>
      <c r="I236" s="78"/>
      <c r="M236" s="45"/>
    </row>
    <row r="237" spans="1:13" ht="18.75" customHeight="1" x14ac:dyDescent="0.25">
      <c r="A237" s="1"/>
      <c r="B237" s="18"/>
      <c r="C237" s="11"/>
      <c r="D237" s="11"/>
      <c r="E237" s="11"/>
      <c r="F237" s="19"/>
      <c r="G237" s="19"/>
      <c r="H237" s="92"/>
      <c r="I237" s="78"/>
      <c r="M237" s="45"/>
    </row>
    <row r="238" spans="1:13" ht="18.75" customHeight="1" x14ac:dyDescent="0.25">
      <c r="A238" s="1"/>
      <c r="B238" s="18"/>
      <c r="C238" s="11"/>
      <c r="D238" s="11"/>
      <c r="E238" s="11"/>
      <c r="F238" s="19"/>
      <c r="G238" s="19"/>
      <c r="H238" s="92"/>
      <c r="I238" s="78"/>
      <c r="M238" s="45"/>
    </row>
    <row r="239" spans="1:13" ht="18.75" customHeight="1" x14ac:dyDescent="0.25">
      <c r="A239" s="1"/>
      <c r="B239" s="18" t="s">
        <v>119</v>
      </c>
      <c r="C239" s="11"/>
      <c r="D239" s="12"/>
      <c r="E239" s="14"/>
      <c r="F239" s="18"/>
      <c r="G239" s="12" t="s">
        <v>120</v>
      </c>
      <c r="H239" s="34">
        <f>IF(MIN((-F228+(F228^2-4*G228)^0.5)/2,(-F228-(F228^2-4*G228)^0.5)/2)&gt;0,MIN((-F228+(F228^2-4*G228)^0.5)/2,(-F228-(F228^2-4*G228)^0.5)/2),IF(MAX((-F228+(F228^2-4*G228)^0.5)/2,(-F228-(F228^2-4*G228)^0.5)/2)&gt;0,MAX((-F228+(F228^2-4*G228)^0.5)/2,(-F228-(F228^2-4*G228)^0.5)/2),"[ EROR ]"))</f>
        <v>63.636944174921709</v>
      </c>
      <c r="I239" s="78" t="s">
        <v>19</v>
      </c>
      <c r="M239" s="44"/>
    </row>
    <row r="240" spans="1:13" ht="18.75" customHeight="1" x14ac:dyDescent="0.25">
      <c r="A240" s="1"/>
      <c r="B240" s="11" t="s">
        <v>111</v>
      </c>
      <c r="C240" s="11"/>
      <c r="D240" s="11"/>
      <c r="E240" s="11"/>
      <c r="F240" s="11"/>
      <c r="G240" s="12" t="s">
        <v>121</v>
      </c>
      <c r="H240" s="32">
        <f>H223*(H239-H136)/H239</f>
        <v>3.4143362995715236</v>
      </c>
      <c r="I240" s="78" t="s">
        <v>110</v>
      </c>
      <c r="M240" s="44"/>
    </row>
    <row r="241" spans="1:13" ht="18.75" customHeight="1" x14ac:dyDescent="0.25">
      <c r="A241" s="1"/>
      <c r="B241" s="11" t="s">
        <v>113</v>
      </c>
      <c r="C241" s="12"/>
      <c r="D241" s="14"/>
      <c r="E241" s="14"/>
      <c r="F241" s="11"/>
      <c r="G241" s="12" t="s">
        <v>122</v>
      </c>
      <c r="H241" s="32">
        <f>H224*H239</f>
        <v>406.84462059831202</v>
      </c>
      <c r="I241" s="78" t="s">
        <v>110</v>
      </c>
      <c r="M241" s="44"/>
    </row>
    <row r="242" spans="1:13" ht="18.75" customHeight="1" x14ac:dyDescent="0.25">
      <c r="A242" s="1"/>
      <c r="B242" s="11" t="s">
        <v>108</v>
      </c>
      <c r="C242" s="12"/>
      <c r="D242" s="14"/>
      <c r="E242" s="14"/>
      <c r="F242" s="11"/>
      <c r="G242" s="12" t="s">
        <v>123</v>
      </c>
      <c r="H242" s="32">
        <f>H222</f>
        <v>410.25895689788348</v>
      </c>
      <c r="I242" s="78" t="s">
        <v>110</v>
      </c>
    </row>
    <row r="243" spans="1:13" ht="18.75" customHeight="1" x14ac:dyDescent="0.25">
      <c r="A243" s="1"/>
      <c r="B243" s="18"/>
      <c r="C243" s="11"/>
      <c r="D243" s="11"/>
      <c r="E243" s="11"/>
      <c r="F243" s="11"/>
      <c r="G243" s="12"/>
      <c r="H243" s="14"/>
      <c r="I243" s="13"/>
    </row>
    <row r="244" spans="1:13" ht="18.75" customHeight="1" x14ac:dyDescent="0.25">
      <c r="A244" s="1"/>
      <c r="B244" s="18" t="s">
        <v>139</v>
      </c>
      <c r="C244" s="11"/>
      <c r="D244" s="11"/>
      <c r="E244" s="11"/>
      <c r="F244" s="11"/>
      <c r="G244" s="12"/>
      <c r="H244" s="14"/>
      <c r="I244" s="13"/>
    </row>
    <row r="245" spans="1:13" ht="18.75" customHeight="1" x14ac:dyDescent="0.25">
      <c r="A245" s="1"/>
      <c r="B245" s="11"/>
      <c r="C245" s="18" t="s">
        <v>125</v>
      </c>
      <c r="D245" s="11"/>
      <c r="E245" s="11"/>
      <c r="F245" s="11"/>
      <c r="G245" s="12"/>
      <c r="H245" s="14"/>
      <c r="I245" s="13"/>
    </row>
    <row r="246" spans="1:13" ht="18.75" customHeight="1" x14ac:dyDescent="0.25">
      <c r="A246" s="1"/>
      <c r="B246" s="11"/>
      <c r="C246" s="18"/>
      <c r="D246" s="11" t="s">
        <v>126</v>
      </c>
      <c r="E246" s="11"/>
      <c r="F246" s="11" t="s">
        <v>127</v>
      </c>
      <c r="G246" s="12"/>
      <c r="H246" s="14"/>
      <c r="I246" s="13"/>
    </row>
    <row r="247" spans="1:13" ht="18.75" customHeight="1" x14ac:dyDescent="0.25">
      <c r="A247" s="1"/>
      <c r="B247" s="18"/>
      <c r="C247" s="11"/>
      <c r="D247" s="76">
        <f>(H239-H136)/H239*0.003</f>
        <v>3.0027094316671398E-5</v>
      </c>
      <c r="E247" s="14" t="str">
        <f>IF(D247&lt;F247,"&lt;","&gt;")</f>
        <v>&lt;</v>
      </c>
      <c r="F247" s="14">
        <f>F206</f>
        <v>2.0999999999999999E-3</v>
      </c>
      <c r="G247" s="15" t="s">
        <v>41</v>
      </c>
      <c r="H247" s="89" t="str">
        <f>IF(D247&lt;F247,"AMAN  (OK)","BAHAYA  (NG)")</f>
        <v>AMAN  (OK)</v>
      </c>
      <c r="I247" s="13"/>
    </row>
    <row r="248" spans="1:13" ht="18.75" customHeight="1" x14ac:dyDescent="0.25">
      <c r="A248" s="1"/>
      <c r="B248" s="18"/>
      <c r="C248" s="18" t="s">
        <v>128</v>
      </c>
      <c r="D248" s="11"/>
      <c r="E248" s="11"/>
      <c r="F248" s="11"/>
      <c r="G248" s="12"/>
      <c r="H248" s="14"/>
      <c r="I248" s="13"/>
    </row>
    <row r="249" spans="1:13" ht="18.75" customHeight="1" x14ac:dyDescent="0.25">
      <c r="A249" s="1"/>
      <c r="B249" s="18"/>
      <c r="C249" s="18"/>
      <c r="D249" s="11" t="s">
        <v>293</v>
      </c>
      <c r="E249" s="11"/>
      <c r="F249" s="11" t="s">
        <v>127</v>
      </c>
      <c r="G249" s="12"/>
      <c r="H249" s="14"/>
      <c r="I249" s="13"/>
    </row>
    <row r="250" spans="1:13" ht="18.75" customHeight="1" x14ac:dyDescent="0.25">
      <c r="A250" s="1"/>
      <c r="B250" s="18"/>
      <c r="C250" s="11"/>
      <c r="D250" s="76">
        <f>(H135-H239)/H239*0.003</f>
        <v>1.7601240631485944E-2</v>
      </c>
      <c r="E250" s="14" t="str">
        <f>IF(D250&lt;F250,"&lt;","&gt;")</f>
        <v>&gt;</v>
      </c>
      <c r="F250" s="14">
        <f>F209</f>
        <v>2.0999999999999999E-3</v>
      </c>
      <c r="G250" s="15" t="s">
        <v>41</v>
      </c>
      <c r="H250" s="89" t="str">
        <f>IF(D250&gt;F250,"AMAN  (OK)","BAHAYA  (NG)")</f>
        <v>AMAN  (OK)</v>
      </c>
      <c r="I250" s="13"/>
    </row>
    <row r="251" spans="1:13" ht="18.75" customHeight="1" x14ac:dyDescent="0.25">
      <c r="A251" s="1"/>
      <c r="B251" s="18"/>
      <c r="C251" s="11"/>
      <c r="D251" s="11"/>
      <c r="E251" s="11"/>
      <c r="F251" s="11"/>
      <c r="G251" s="12"/>
      <c r="H251" s="14"/>
      <c r="I251" s="13"/>
    </row>
    <row r="252" spans="1:13" ht="18.75" customHeight="1" x14ac:dyDescent="0.25">
      <c r="A252" s="1"/>
      <c r="B252" s="18" t="s">
        <v>130</v>
      </c>
      <c r="C252" s="11"/>
      <c r="D252" s="11"/>
      <c r="E252" s="11"/>
      <c r="F252" s="11"/>
      <c r="G252" s="15" t="s">
        <v>41</v>
      </c>
      <c r="H252" s="89" t="str">
        <f>IF(D250&lt;=F250,"Tekanan Terkontrol",IF(D250&lt;0.005,"Transisi",IF(D250&gt;0.005,"Tegangan Terkontrol","EROR")))</f>
        <v>Tegangan Terkontrol</v>
      </c>
      <c r="I252" s="13"/>
    </row>
    <row r="253" spans="1:13" ht="18.75" customHeight="1" x14ac:dyDescent="0.25">
      <c r="A253" s="1"/>
      <c r="B253" s="18"/>
      <c r="C253" s="11"/>
      <c r="D253" s="11"/>
      <c r="E253" s="11"/>
      <c r="F253" s="11"/>
      <c r="G253" s="15"/>
      <c r="H253" s="89"/>
      <c r="I253" s="13"/>
    </row>
    <row r="254" spans="1:13" ht="18.75" customHeight="1" x14ac:dyDescent="0.25">
      <c r="A254" s="1"/>
      <c r="B254" s="18" t="s">
        <v>131</v>
      </c>
      <c r="C254" s="11"/>
      <c r="D254" s="11"/>
      <c r="E254" s="11"/>
      <c r="F254" s="11"/>
      <c r="G254" s="12" t="str">
        <f>IF(D250&lt;=F250,"φ =",IF(D250&lt;0.005,"φ = 0,65 + 0,25 * (εs' - εs-yield)/(0,005 - εs-yield) =",IF(D250&gt;0.005,"φ =","EROR")))</f>
        <v>φ =</v>
      </c>
      <c r="H254" s="34">
        <f>IF(D250&lt;=F250,0.65,IF(D250&lt;0.005,0.65+0.25*(D250-F250)/(0.005-F250),IF(D250&gt;0.005,0.9,"EROR")))</f>
        <v>0.9</v>
      </c>
      <c r="I254" s="13"/>
    </row>
    <row r="255" spans="1:13" ht="18.75" customHeight="1" x14ac:dyDescent="0.25">
      <c r="A255" s="1"/>
      <c r="B255" s="18" t="s">
        <v>132</v>
      </c>
      <c r="C255" s="11"/>
      <c r="D255" s="11"/>
      <c r="E255" s="11"/>
      <c r="F255" s="11"/>
      <c r="G255" s="12" t="s">
        <v>133</v>
      </c>
      <c r="H255" s="32">
        <f>(H241*(H135-H11*H239/2)+H240*(H135-H136))/1000</f>
        <v>168.24959396379069</v>
      </c>
      <c r="I255" s="13" t="s">
        <v>110</v>
      </c>
    </row>
    <row r="256" spans="1:13" ht="18.75" customHeight="1" x14ac:dyDescent="0.25">
      <c r="A256" s="1"/>
      <c r="B256" s="11"/>
      <c r="C256" s="11" t="s">
        <v>73</v>
      </c>
      <c r="D256" s="14" t="s">
        <v>140</v>
      </c>
      <c r="E256" s="14" t="s">
        <v>135</v>
      </c>
      <c r="F256" s="14" t="s">
        <v>472</v>
      </c>
      <c r="G256" s="11"/>
      <c r="H256" s="11"/>
      <c r="I256" s="13"/>
    </row>
    <row r="257" spans="1:10" ht="18.75" customHeight="1" x14ac:dyDescent="0.25">
      <c r="A257" s="1"/>
      <c r="B257" s="11"/>
      <c r="C257" s="11"/>
      <c r="D257" s="81">
        <f>H254*H255</f>
        <v>151.42463456741163</v>
      </c>
      <c r="E257" s="14" t="str">
        <f>IF(D257&gt;F257,"&gt;","&lt;")</f>
        <v>&gt;</v>
      </c>
      <c r="F257" s="81">
        <f>MAX(H102,H140)</f>
        <v>143.04</v>
      </c>
      <c r="G257" s="15" t="s">
        <v>41</v>
      </c>
      <c r="H257" s="89" t="str">
        <f>IF(D257&gt;=F257,"AMAN  (OK)","BAHAYA  (NG)")</f>
        <v>AMAN  (OK)</v>
      </c>
      <c r="I257" s="13"/>
    </row>
    <row r="258" spans="1:10" ht="18.75" customHeight="1" x14ac:dyDescent="0.25">
      <c r="A258" s="1"/>
      <c r="B258" s="11"/>
      <c r="C258" s="11"/>
      <c r="D258" s="11"/>
      <c r="E258" s="11"/>
      <c r="F258" s="11"/>
      <c r="G258" s="12"/>
      <c r="H258" s="14"/>
      <c r="I258" s="13"/>
    </row>
    <row r="259" spans="1:10" ht="18.75" customHeight="1" x14ac:dyDescent="0.25">
      <c r="A259" s="166" t="s">
        <v>143</v>
      </c>
      <c r="B259" s="26" t="s">
        <v>429</v>
      </c>
      <c r="C259" s="27"/>
      <c r="D259" s="27"/>
      <c r="E259" s="27"/>
      <c r="F259" s="27"/>
      <c r="G259" s="28"/>
      <c r="H259" s="29"/>
      <c r="I259" s="93"/>
    </row>
    <row r="260" spans="1:10" ht="18.75" customHeight="1" x14ac:dyDescent="0.25">
      <c r="A260" s="1"/>
      <c r="B260" s="11" t="s">
        <v>145</v>
      </c>
      <c r="C260" s="11"/>
      <c r="D260" s="11"/>
      <c r="E260" s="11"/>
      <c r="F260" s="11"/>
      <c r="G260" s="12"/>
      <c r="H260" s="46" t="str">
        <f>IF(Input!$H$29&gt;0,"TEKAN","TARIK")</f>
        <v>TEKAN</v>
      </c>
      <c r="I260" s="13"/>
    </row>
    <row r="261" spans="1:10" ht="18.75" customHeight="1" x14ac:dyDescent="0.25">
      <c r="A261" s="1"/>
      <c r="B261" s="11" t="s">
        <v>146</v>
      </c>
      <c r="C261" s="11"/>
      <c r="D261" s="11"/>
      <c r="E261" s="11"/>
      <c r="F261" s="11"/>
      <c r="G261" s="12" t="s">
        <v>147</v>
      </c>
      <c r="H261" s="47">
        <v>0.75</v>
      </c>
      <c r="I261" s="13"/>
      <c r="J261" s="242" t="s">
        <v>451</v>
      </c>
    </row>
    <row r="262" spans="1:10" ht="18.75" customHeight="1" x14ac:dyDescent="0.25">
      <c r="A262" s="1"/>
      <c r="B262" s="11" t="s">
        <v>148</v>
      </c>
      <c r="C262" s="11"/>
      <c r="D262" s="11"/>
      <c r="E262" s="11"/>
      <c r="F262" s="11"/>
      <c r="G262" s="12" t="s">
        <v>149</v>
      </c>
      <c r="H262" s="47">
        <f>Input!$H$21-Input!$H$25-Input!$H$23</f>
        <v>448</v>
      </c>
      <c r="I262" s="13" t="s">
        <v>19</v>
      </c>
    </row>
    <row r="263" spans="1:10" ht="18.75" customHeight="1" x14ac:dyDescent="0.25">
      <c r="A263" s="1"/>
      <c r="B263" s="11" t="s">
        <v>150</v>
      </c>
      <c r="C263" s="11"/>
      <c r="D263" s="11"/>
      <c r="E263" s="11"/>
      <c r="F263" s="11"/>
      <c r="G263" s="12" t="s">
        <v>11</v>
      </c>
      <c r="H263" s="48">
        <f>Input!H6</f>
        <v>420</v>
      </c>
      <c r="I263" s="13" t="s">
        <v>9</v>
      </c>
    </row>
    <row r="264" spans="1:10" ht="18.75" customHeight="1" x14ac:dyDescent="0.25">
      <c r="A264" s="1"/>
      <c r="B264" s="11"/>
      <c r="C264" s="11"/>
      <c r="D264" s="11"/>
      <c r="E264" s="11"/>
      <c r="F264" s="11"/>
      <c r="G264" s="12"/>
      <c r="H264" s="49"/>
      <c r="I264" s="13"/>
    </row>
    <row r="265" spans="1:10" ht="18.75" customHeight="1" x14ac:dyDescent="0.25">
      <c r="A265" s="1"/>
      <c r="B265" s="11" t="s">
        <v>152</v>
      </c>
      <c r="C265" s="11"/>
      <c r="D265" s="11"/>
      <c r="E265" s="11"/>
      <c r="F265" s="11"/>
      <c r="G265" s="12" t="str">
        <f>IF(H260="tekan","Vc = (√ fc') / 6 * b * d =","Vc = (1 + 0,29 * Nu / Ag) * (√ fc') / 6 * b * d =")</f>
        <v>Vc = (√ fc') / 6 * b * d =</v>
      </c>
      <c r="H265" s="50">
        <f>IF(Input!$H$29&gt;0,$H$3^0.5*1/6*Input!$H$20*$H$262/1000,(1+0.29*Input!$H$29*1000/(Input!$H$20*Input!$H$21))*$H$3^0.5*1/6*Input!$H$20*$H$262/1000)</f>
        <v>122.68985288115722</v>
      </c>
      <c r="I265" s="13" t="s">
        <v>110</v>
      </c>
      <c r="J265" s="242" t="s">
        <v>453</v>
      </c>
    </row>
    <row r="266" spans="1:10" ht="18.75" customHeight="1" x14ac:dyDescent="0.25">
      <c r="A266" s="1"/>
      <c r="B266" s="11" t="s">
        <v>153</v>
      </c>
      <c r="C266" s="11"/>
      <c r="D266" s="11"/>
      <c r="E266" s="11"/>
      <c r="F266" s="11"/>
      <c r="G266" s="12" t="s">
        <v>154</v>
      </c>
      <c r="H266" s="50">
        <f>H261*H265</f>
        <v>92.01738966086792</v>
      </c>
      <c r="I266" s="13" t="s">
        <v>110</v>
      </c>
    </row>
    <row r="267" spans="1:10" ht="18.75" customHeight="1" x14ac:dyDescent="0.25">
      <c r="A267" s="1"/>
      <c r="B267" s="11" t="s">
        <v>155</v>
      </c>
      <c r="C267" s="11"/>
      <c r="D267" s="11"/>
      <c r="E267" s="11"/>
      <c r="F267" s="11"/>
      <c r="G267" s="12" t="s">
        <v>156</v>
      </c>
      <c r="H267" s="50">
        <f>1/16*H3^0.5*Input!H20*H262/1000</f>
        <v>46.00869483043396</v>
      </c>
      <c r="I267" s="13" t="s">
        <v>110</v>
      </c>
      <c r="J267" s="242" t="s">
        <v>447</v>
      </c>
    </row>
    <row r="268" spans="1:10" ht="18.75" customHeight="1" x14ac:dyDescent="0.25">
      <c r="A268" s="1"/>
      <c r="B268" s="11"/>
      <c r="C268" s="11"/>
      <c r="D268" s="11"/>
      <c r="E268" s="11"/>
      <c r="F268" s="11"/>
      <c r="G268" s="12"/>
      <c r="H268" s="12"/>
      <c r="I268" s="13"/>
    </row>
    <row r="269" spans="1:10" ht="18.75" customHeight="1" x14ac:dyDescent="0.25">
      <c r="A269" s="167" t="s">
        <v>144</v>
      </c>
      <c r="B269" s="6" t="s">
        <v>430</v>
      </c>
      <c r="C269" s="6"/>
      <c r="D269" s="6"/>
      <c r="E269" s="6"/>
      <c r="F269" s="6"/>
      <c r="G269" s="234"/>
      <c r="H269" s="153"/>
      <c r="I269" s="235"/>
    </row>
    <row r="270" spans="1:10" ht="18.75" customHeight="1" x14ac:dyDescent="0.25">
      <c r="A270" s="1"/>
      <c r="B270" s="11" t="s">
        <v>151</v>
      </c>
      <c r="C270" s="11"/>
      <c r="D270" s="11"/>
      <c r="E270" s="11"/>
      <c r="F270" s="11"/>
      <c r="G270" s="12" t="s">
        <v>25</v>
      </c>
      <c r="H270" s="50">
        <f>Input!H32</f>
        <v>68.42</v>
      </c>
      <c r="I270" s="13" t="s">
        <v>110</v>
      </c>
    </row>
    <row r="271" spans="1:10" ht="18.75" customHeight="1" x14ac:dyDescent="0.25">
      <c r="A271" s="1"/>
      <c r="B271" s="11"/>
      <c r="C271" s="11"/>
      <c r="D271" s="11"/>
      <c r="E271" s="12"/>
      <c r="F271" s="94"/>
      <c r="G271" s="95"/>
      <c r="H271" s="11"/>
      <c r="I271" s="13"/>
    </row>
    <row r="272" spans="1:10" ht="18.75" customHeight="1" x14ac:dyDescent="0.25">
      <c r="A272" s="5"/>
      <c r="B272" s="11" t="s">
        <v>431</v>
      </c>
      <c r="I272" s="17"/>
      <c r="J272" s="242" t="s">
        <v>450</v>
      </c>
    </row>
    <row r="273" spans="1:9" ht="18.75" customHeight="1" x14ac:dyDescent="0.25">
      <c r="A273" s="5"/>
      <c r="B273" s="286" t="s">
        <v>157</v>
      </c>
      <c r="C273" s="287"/>
      <c r="D273" s="291" t="s">
        <v>165</v>
      </c>
      <c r="E273" s="292"/>
      <c r="F273" s="292"/>
      <c r="G273" s="292"/>
      <c r="H273" s="293"/>
      <c r="I273" s="17"/>
    </row>
    <row r="274" spans="1:9" ht="18.75" customHeight="1" x14ac:dyDescent="0.25">
      <c r="A274" s="5"/>
      <c r="B274" s="286"/>
      <c r="C274" s="287"/>
      <c r="D274" s="32">
        <f>H270</f>
        <v>68.42</v>
      </c>
      <c r="E274" s="31" t="str">
        <f>IF(D274&gt;F274,"&gt;","&lt;")</f>
        <v>&gt;</v>
      </c>
      <c r="F274" s="32">
        <f>0.5*$H$266</f>
        <v>46.00869483043396</v>
      </c>
      <c r="G274" s="52"/>
      <c r="H274" s="51"/>
      <c r="I274" s="17"/>
    </row>
    <row r="275" spans="1:9" ht="18.75" customHeight="1" x14ac:dyDescent="0.25">
      <c r="A275" s="5"/>
      <c r="B275" s="286" t="s">
        <v>160</v>
      </c>
      <c r="C275" s="287"/>
      <c r="D275" s="288" t="s">
        <v>166</v>
      </c>
      <c r="E275" s="289"/>
      <c r="F275" s="289"/>
      <c r="G275" s="289"/>
      <c r="H275" s="290"/>
      <c r="I275" s="17"/>
    </row>
    <row r="276" spans="1:9" ht="18.75" customHeight="1" x14ac:dyDescent="0.25">
      <c r="A276" s="5"/>
      <c r="B276" s="286"/>
      <c r="C276" s="287"/>
      <c r="D276" s="54">
        <f>$F$274</f>
        <v>46.00869483043396</v>
      </c>
      <c r="E276" s="53" t="str">
        <f>IF(D276&gt;F276,"&gt;","&lt;")</f>
        <v>&lt;</v>
      </c>
      <c r="F276" s="54">
        <f>$D$274</f>
        <v>68.42</v>
      </c>
      <c r="G276" s="53" t="str">
        <f>IF(F276&gt;H276,"&gt;","&lt;")</f>
        <v>&lt;</v>
      </c>
      <c r="H276" s="54">
        <f>$H$266</f>
        <v>92.01738966086792</v>
      </c>
      <c r="I276" s="17"/>
    </row>
    <row r="277" spans="1:9" ht="18.75" customHeight="1" x14ac:dyDescent="0.25">
      <c r="A277" s="5"/>
      <c r="B277" s="286" t="s">
        <v>161</v>
      </c>
      <c r="C277" s="287"/>
      <c r="D277" s="291" t="s">
        <v>167</v>
      </c>
      <c r="E277" s="292"/>
      <c r="F277" s="292"/>
      <c r="G277" s="292"/>
      <c r="H277" s="293"/>
      <c r="I277" s="17"/>
    </row>
    <row r="278" spans="1:9" ht="18.75" customHeight="1" x14ac:dyDescent="0.25">
      <c r="A278" s="5"/>
      <c r="B278" s="286"/>
      <c r="C278" s="287"/>
      <c r="D278" s="32">
        <f>$H$276</f>
        <v>92.01738966086792</v>
      </c>
      <c r="E278" s="31" t="str">
        <f>IF(D278&gt;F278,"&gt;","&lt;")</f>
        <v>&gt;</v>
      </c>
      <c r="F278" s="32">
        <f>$F$276</f>
        <v>68.42</v>
      </c>
      <c r="G278" s="31" t="str">
        <f>IF(F278&gt;H278,"&gt;","&lt;")</f>
        <v>&lt;</v>
      </c>
      <c r="H278" s="32">
        <f>$H$266+$H$261*$H$267</f>
        <v>126.5239107836934</v>
      </c>
      <c r="I278" s="17"/>
    </row>
    <row r="279" spans="1:9" ht="18.75" customHeight="1" x14ac:dyDescent="0.25">
      <c r="A279" s="5"/>
      <c r="B279" s="286" t="s">
        <v>162</v>
      </c>
      <c r="C279" s="287"/>
      <c r="D279" s="288" t="s">
        <v>168</v>
      </c>
      <c r="E279" s="289"/>
      <c r="F279" s="289"/>
      <c r="G279" s="289"/>
      <c r="H279" s="290"/>
      <c r="I279" s="17"/>
    </row>
    <row r="280" spans="1:9" ht="18.75" customHeight="1" x14ac:dyDescent="0.25">
      <c r="A280" s="5"/>
      <c r="B280" s="286"/>
      <c r="C280" s="287"/>
      <c r="D280" s="54">
        <f>$H$278</f>
        <v>126.5239107836934</v>
      </c>
      <c r="E280" s="53" t="str">
        <f>IF(D280&gt;F280,"&gt;","&lt;")</f>
        <v>&gt;</v>
      </c>
      <c r="F280" s="54">
        <f>$F$278</f>
        <v>68.42</v>
      </c>
      <c r="G280" s="53" t="str">
        <f>IF(F280&gt;H280,"&gt;","&lt;")</f>
        <v>&lt;</v>
      </c>
      <c r="H280" s="54">
        <f>$H$266+$H$261*1/3*SQRT($H$3)*Input!$H$20*Process!$H$262/1000</f>
        <v>276.05216898260375</v>
      </c>
      <c r="I280" s="17"/>
    </row>
    <row r="281" spans="1:9" ht="18.75" customHeight="1" x14ac:dyDescent="0.25">
      <c r="A281" s="5"/>
      <c r="B281" s="286" t="s">
        <v>163</v>
      </c>
      <c r="C281" s="287"/>
      <c r="D281" s="291" t="s">
        <v>169</v>
      </c>
      <c r="E281" s="292"/>
      <c r="F281" s="292"/>
      <c r="G281" s="292"/>
      <c r="H281" s="293"/>
      <c r="I281" s="17"/>
    </row>
    <row r="282" spans="1:9" ht="18.75" customHeight="1" x14ac:dyDescent="0.25">
      <c r="A282" s="5"/>
      <c r="B282" s="286"/>
      <c r="C282" s="287"/>
      <c r="D282" s="32">
        <f>H280</f>
        <v>276.05216898260375</v>
      </c>
      <c r="E282" s="31" t="str">
        <f>IF(D282&gt;F282,"&gt;","&lt;")</f>
        <v>&gt;</v>
      </c>
      <c r="F282" s="32">
        <f>F280</f>
        <v>68.42</v>
      </c>
      <c r="G282" s="31" t="str">
        <f>IF(F282&gt;H282,"&gt;","&lt;")</f>
        <v>&lt;</v>
      </c>
      <c r="H282" s="32">
        <f>$H$266+$H$261*2/3*SQRT($H$3)*Input!$H$20*Process!$H$262/1000</f>
        <v>460.08694830433961</v>
      </c>
      <c r="I282" s="17"/>
    </row>
    <row r="283" spans="1:9" ht="18.75" customHeight="1" x14ac:dyDescent="0.25">
      <c r="A283" s="5"/>
      <c r="B283" s="286" t="s">
        <v>164</v>
      </c>
      <c r="C283" s="287"/>
      <c r="D283" s="288" t="s">
        <v>170</v>
      </c>
      <c r="E283" s="289"/>
      <c r="F283" s="289"/>
      <c r="G283" s="289"/>
      <c r="H283" s="290"/>
      <c r="I283" s="17"/>
    </row>
    <row r="284" spans="1:9" ht="18.75" customHeight="1" x14ac:dyDescent="0.25">
      <c r="A284" s="5"/>
      <c r="B284" s="286"/>
      <c r="C284" s="287"/>
      <c r="D284" s="54">
        <f>$F$282</f>
        <v>68.42</v>
      </c>
      <c r="E284" s="53" t="str">
        <f>IF(D284&gt;F284,"&gt;","&lt;")</f>
        <v>&lt;</v>
      </c>
      <c r="F284" s="54">
        <f>$H$282</f>
        <v>460.08694830433961</v>
      </c>
      <c r="G284" s="55"/>
      <c r="H284" s="55"/>
      <c r="I284" s="17"/>
    </row>
    <row r="285" spans="1:9" ht="18.75" customHeight="1" x14ac:dyDescent="0.25">
      <c r="A285" s="5"/>
      <c r="I285" s="17"/>
    </row>
    <row r="286" spans="1:9" ht="18.75" customHeight="1" x14ac:dyDescent="0.25">
      <c r="A286" s="5"/>
      <c r="B286" s="11" t="s">
        <v>171</v>
      </c>
      <c r="I286" s="17"/>
    </row>
    <row r="287" spans="1:9" ht="18.75" customHeight="1" x14ac:dyDescent="0.25">
      <c r="A287" s="5"/>
      <c r="B287" s="294" t="s">
        <v>172</v>
      </c>
      <c r="C287" s="295" t="s">
        <v>173</v>
      </c>
      <c r="D287" s="296" t="s">
        <v>174</v>
      </c>
      <c r="E287" s="295" t="s">
        <v>175</v>
      </c>
      <c r="F287" s="295"/>
      <c r="I287" s="17"/>
    </row>
    <row r="288" spans="1:9" ht="18.75" customHeight="1" x14ac:dyDescent="0.25">
      <c r="A288" s="5"/>
      <c r="B288" s="294"/>
      <c r="C288" s="295"/>
      <c r="D288" s="296"/>
      <c r="E288" s="130" t="s">
        <v>278</v>
      </c>
      <c r="F288" s="130" t="s">
        <v>279</v>
      </c>
      <c r="H288" s="164"/>
      <c r="I288" s="17"/>
    </row>
    <row r="289" spans="1:15" ht="18.75" customHeight="1" x14ac:dyDescent="0.25">
      <c r="A289" s="5"/>
      <c r="B289" s="141">
        <v>1</v>
      </c>
      <c r="C289" s="142" t="str">
        <f>IF(D274&lt;=F274,"TERPENUHI","")</f>
        <v/>
      </c>
      <c r="D289" s="31" t="s">
        <v>176</v>
      </c>
      <c r="E289" s="31"/>
      <c r="F289" s="51"/>
      <c r="I289" s="17"/>
      <c r="M289" s="56"/>
    </row>
    <row r="290" spans="1:15" ht="18.75" customHeight="1" x14ac:dyDescent="0.25">
      <c r="A290" s="5"/>
      <c r="B290" s="141">
        <v>2</v>
      </c>
      <c r="C290" s="142" t="str">
        <f>IF(D276&lt;=F276,IF(F276&lt;H276,"TERPENUHI",""),"")</f>
        <v>TERPENUHI</v>
      </c>
      <c r="D290" s="31" t="s">
        <v>177</v>
      </c>
      <c r="E290" s="31" t="s">
        <v>178</v>
      </c>
      <c r="F290" s="31" t="s">
        <v>179</v>
      </c>
      <c r="I290" s="17"/>
      <c r="M290" s="56"/>
    </row>
    <row r="291" spans="1:15" ht="18.75" customHeight="1" x14ac:dyDescent="0.25">
      <c r="A291" s="5"/>
      <c r="B291" s="141">
        <v>3</v>
      </c>
      <c r="C291" s="142" t="str">
        <f>IF(D278&lt;=F278,IF(F278&lt;H278,"TERPENUHI",""),"")</f>
        <v/>
      </c>
      <c r="D291" s="31" t="s">
        <v>177</v>
      </c>
      <c r="E291" s="31" t="s">
        <v>178</v>
      </c>
      <c r="F291" s="31" t="s">
        <v>179</v>
      </c>
      <c r="I291" s="17"/>
      <c r="M291" s="56"/>
    </row>
    <row r="292" spans="1:15" ht="18.75" customHeight="1" x14ac:dyDescent="0.25">
      <c r="A292" s="5"/>
      <c r="B292" s="141">
        <v>4</v>
      </c>
      <c r="C292" s="142" t="str">
        <f>IF(D280&lt;=F280,IF(F280&lt;H280,"TERPENUHI",""),"")</f>
        <v/>
      </c>
      <c r="D292" s="57" t="s">
        <v>183</v>
      </c>
      <c r="E292" s="31" t="s">
        <v>178</v>
      </c>
      <c r="F292" s="31" t="s">
        <v>179</v>
      </c>
      <c r="I292" s="17"/>
      <c r="M292" s="56"/>
    </row>
    <row r="293" spans="1:15" ht="18.75" customHeight="1" x14ac:dyDescent="0.25">
      <c r="A293" s="5"/>
      <c r="B293" s="141">
        <v>5</v>
      </c>
      <c r="C293" s="142" t="str">
        <f>IF(D282&lt;=F282,IF(F282&lt;H282,"TERPENUHI",""),"")</f>
        <v/>
      </c>
      <c r="D293" s="57" t="s">
        <v>183</v>
      </c>
      <c r="E293" s="31" t="s">
        <v>180</v>
      </c>
      <c r="F293" s="31" t="s">
        <v>181</v>
      </c>
      <c r="I293" s="17"/>
      <c r="M293" s="56"/>
    </row>
    <row r="294" spans="1:15" ht="18.75" customHeight="1" x14ac:dyDescent="0.25">
      <c r="A294" s="5"/>
      <c r="B294" s="141">
        <v>6</v>
      </c>
      <c r="C294" s="142" t="str">
        <f>IF(D284&gt;=F284,"TERPENUHI","")</f>
        <v/>
      </c>
      <c r="D294" s="297" t="s">
        <v>182</v>
      </c>
      <c r="E294" s="298"/>
      <c r="F294" s="299"/>
      <c r="I294" s="17"/>
      <c r="M294" s="56"/>
    </row>
    <row r="295" spans="1:15" ht="18.75" customHeight="1" x14ac:dyDescent="0.25">
      <c r="A295" s="5"/>
      <c r="I295" s="17"/>
    </row>
    <row r="296" spans="1:15" ht="18.75" customHeight="1" x14ac:dyDescent="0.25">
      <c r="A296" s="1"/>
      <c r="B296" s="11" t="s">
        <v>184</v>
      </c>
      <c r="C296" s="11"/>
      <c r="D296" s="11"/>
      <c r="E296" s="11"/>
      <c r="F296" s="11"/>
      <c r="G296" s="12" t="str">
        <f>IF((IF(C289="TERPENUHI",1,0)+IF(C290="TERPENUHI",1,0)+IF(C291="TERPENUHI",1,0)=1),"φ * Vs = φ * Vs-min =",IF(IF(C292="TERPENUHI",1,0)+IF(C294="TERPENUHI",1,0)=1,"φ * Vs = Vu - φ * Vc =","Vs ="))</f>
        <v>φ * Vs = φ * Vs-min =</v>
      </c>
      <c r="H296" s="50">
        <f>IF((IF(C289="TERPENUHI",1,0)+IF(C290="TERPENUHI",1,0)+IF(C291="TERPENUHI",1,0))=1,$H$261*$H$267,IF((IF(C292="TERPENUHI",1,0)+IF(C294="TERPENUHI",1,0))=1,H270-$H$266,"EROR"))</f>
        <v>34.506521122825468</v>
      </c>
      <c r="I296" s="13" t="s">
        <v>110</v>
      </c>
    </row>
    <row r="297" spans="1:15" ht="18.75" customHeight="1" x14ac:dyDescent="0.25">
      <c r="A297" s="1"/>
      <c r="B297" s="11" t="s">
        <v>185</v>
      </c>
      <c r="C297" s="11"/>
      <c r="D297" s="11"/>
      <c r="E297" s="11"/>
      <c r="F297" s="11"/>
      <c r="G297" s="12" t="s">
        <v>186</v>
      </c>
      <c r="H297" s="50">
        <f>H296/$H$261</f>
        <v>46.00869483043396</v>
      </c>
      <c r="I297" s="13" t="s">
        <v>110</v>
      </c>
    </row>
    <row r="298" spans="1:15" ht="18.75" customHeight="1" x14ac:dyDescent="0.25">
      <c r="A298" s="1"/>
      <c r="B298" s="11" t="s">
        <v>187</v>
      </c>
      <c r="C298" s="11"/>
      <c r="D298" s="11"/>
      <c r="E298" s="11"/>
      <c r="F298" s="58">
        <f>IF(2*PI()/4*H298^2*H$263*H$262/($H$297*1000)&gt;125,2,IF(3*PI()/4*H298^2*H$263*H$262/(H297*1000)&gt;125,3,4))</f>
        <v>2</v>
      </c>
      <c r="G298" s="59" t="s">
        <v>391</v>
      </c>
      <c r="H298" s="60">
        <f>Input!$H$23</f>
        <v>12</v>
      </c>
      <c r="I298" s="96"/>
      <c r="M298" s="44"/>
      <c r="N298" s="63"/>
      <c r="O298" s="63"/>
    </row>
    <row r="299" spans="1:15" ht="18.75" customHeight="1" x14ac:dyDescent="0.25">
      <c r="A299" s="1"/>
      <c r="B299" s="11" t="s">
        <v>188</v>
      </c>
      <c r="C299" s="11"/>
      <c r="D299" s="11"/>
      <c r="E299" s="11"/>
      <c r="F299" s="11"/>
      <c r="G299" s="12" t="s">
        <v>455</v>
      </c>
      <c r="H299" s="47">
        <f>F298*PI()/4*H298^2</f>
        <v>226.1946710584651</v>
      </c>
      <c r="I299" s="13" t="s">
        <v>33</v>
      </c>
      <c r="M299" s="44"/>
      <c r="N299" s="63"/>
      <c r="O299" s="63"/>
    </row>
    <row r="300" spans="1:15" ht="18.75" customHeight="1" x14ac:dyDescent="0.25">
      <c r="A300" s="1"/>
      <c r="B300" s="11" t="s">
        <v>189</v>
      </c>
      <c r="C300" s="11"/>
      <c r="D300" s="11"/>
      <c r="E300" s="11"/>
      <c r="F300" s="11"/>
      <c r="G300" s="12" t="s">
        <v>190</v>
      </c>
      <c r="H300" s="47">
        <f>H299*$H$263*$H$262/H297/1000</f>
        <v>925.05969715549418</v>
      </c>
      <c r="I300" s="13" t="s">
        <v>19</v>
      </c>
      <c r="J300" s="242" t="s">
        <v>454</v>
      </c>
      <c r="M300" s="44"/>
      <c r="N300" s="63"/>
      <c r="O300" s="63"/>
    </row>
    <row r="301" spans="1:15" ht="18.75" customHeight="1" x14ac:dyDescent="0.25">
      <c r="A301" s="1"/>
      <c r="B301" s="11" t="s">
        <v>191</v>
      </c>
      <c r="C301" s="11"/>
      <c r="D301" s="11"/>
      <c r="F301" s="61">
        <f>F298</f>
        <v>2</v>
      </c>
      <c r="G301" s="149">
        <f>H298</f>
        <v>12</v>
      </c>
      <c r="H301" s="62">
        <f>H300</f>
        <v>925.05969715549418</v>
      </c>
      <c r="I301" s="13"/>
    </row>
    <row r="302" spans="1:15" ht="18.75" customHeight="1" x14ac:dyDescent="0.25">
      <c r="A302" s="1"/>
      <c r="B302" s="11"/>
      <c r="C302" s="11"/>
      <c r="D302" s="11"/>
      <c r="E302" s="12"/>
      <c r="F302" s="94"/>
      <c r="G302" s="95"/>
      <c r="H302" s="11"/>
      <c r="I302" s="13"/>
    </row>
    <row r="303" spans="1:15" ht="18.75" customHeight="1" x14ac:dyDescent="0.25">
      <c r="A303" s="167" t="s">
        <v>432</v>
      </c>
      <c r="B303" s="6" t="s">
        <v>433</v>
      </c>
      <c r="C303" s="6"/>
      <c r="D303" s="6"/>
      <c r="E303" s="6"/>
      <c r="F303" s="6"/>
      <c r="G303" s="234"/>
      <c r="H303" s="153"/>
      <c r="I303" s="235"/>
    </row>
    <row r="304" spans="1:15" ht="18.75" customHeight="1" x14ac:dyDescent="0.25">
      <c r="A304" s="1"/>
      <c r="B304" s="11" t="s">
        <v>151</v>
      </c>
      <c r="C304" s="11"/>
      <c r="D304" s="11"/>
      <c r="E304" s="11"/>
      <c r="F304" s="11"/>
      <c r="G304" s="12" t="s">
        <v>25</v>
      </c>
      <c r="H304" s="50">
        <f>Input!H36</f>
        <v>47.26</v>
      </c>
      <c r="I304" s="13" t="s">
        <v>110</v>
      </c>
    </row>
    <row r="305" spans="1:10" ht="18.75" customHeight="1" x14ac:dyDescent="0.25">
      <c r="A305" s="1"/>
      <c r="B305" s="11"/>
      <c r="C305" s="11"/>
      <c r="D305" s="11"/>
      <c r="E305" s="12"/>
      <c r="F305" s="94"/>
      <c r="G305" s="95"/>
      <c r="H305" s="11"/>
      <c r="I305" s="13"/>
    </row>
    <row r="306" spans="1:10" ht="18.75" customHeight="1" x14ac:dyDescent="0.25">
      <c r="A306" s="5"/>
      <c r="B306" s="11" t="s">
        <v>431</v>
      </c>
      <c r="I306" s="17"/>
      <c r="J306" s="242" t="s">
        <v>450</v>
      </c>
    </row>
    <row r="307" spans="1:10" ht="18.75" customHeight="1" x14ac:dyDescent="0.25">
      <c r="A307" s="5"/>
      <c r="B307" s="286" t="s">
        <v>157</v>
      </c>
      <c r="C307" s="287"/>
      <c r="D307" s="291" t="s">
        <v>165</v>
      </c>
      <c r="E307" s="292"/>
      <c r="F307" s="292"/>
      <c r="G307" s="292"/>
      <c r="H307" s="293"/>
      <c r="I307" s="17"/>
    </row>
    <row r="308" spans="1:10" ht="18.75" customHeight="1" x14ac:dyDescent="0.25">
      <c r="A308" s="5"/>
      <c r="B308" s="286"/>
      <c r="C308" s="287"/>
      <c r="D308" s="32">
        <f>H304</f>
        <v>47.26</v>
      </c>
      <c r="E308" s="31" t="str">
        <f>IF(D308&gt;F308,"&gt;","&lt;")</f>
        <v>&gt;</v>
      </c>
      <c r="F308" s="32">
        <f>0.5*$H$266</f>
        <v>46.00869483043396</v>
      </c>
      <c r="G308" s="52"/>
      <c r="H308" s="51"/>
      <c r="I308" s="17"/>
    </row>
    <row r="309" spans="1:10" ht="18.75" customHeight="1" x14ac:dyDescent="0.25">
      <c r="A309" s="5"/>
      <c r="B309" s="286" t="s">
        <v>160</v>
      </c>
      <c r="C309" s="287"/>
      <c r="D309" s="288" t="s">
        <v>166</v>
      </c>
      <c r="E309" s="289"/>
      <c r="F309" s="289"/>
      <c r="G309" s="289"/>
      <c r="H309" s="290"/>
      <c r="I309" s="17"/>
    </row>
    <row r="310" spans="1:10" ht="18.75" customHeight="1" x14ac:dyDescent="0.25">
      <c r="A310" s="5"/>
      <c r="B310" s="286"/>
      <c r="C310" s="287"/>
      <c r="D310" s="54">
        <f>$F$274</f>
        <v>46.00869483043396</v>
      </c>
      <c r="E310" s="53" t="str">
        <f>IF(D310&gt;F310,"&gt;","&lt;")</f>
        <v>&lt;</v>
      </c>
      <c r="F310" s="54">
        <f>$D$274</f>
        <v>68.42</v>
      </c>
      <c r="G310" s="53" t="str">
        <f>IF(F310&gt;H310,"&gt;","&lt;")</f>
        <v>&lt;</v>
      </c>
      <c r="H310" s="54">
        <f>$H$266</f>
        <v>92.01738966086792</v>
      </c>
      <c r="I310" s="17"/>
    </row>
    <row r="311" spans="1:10" ht="18.75" customHeight="1" x14ac:dyDescent="0.25">
      <c r="A311" s="5"/>
      <c r="B311" s="286" t="s">
        <v>161</v>
      </c>
      <c r="C311" s="287"/>
      <c r="D311" s="291" t="s">
        <v>167</v>
      </c>
      <c r="E311" s="292"/>
      <c r="F311" s="292"/>
      <c r="G311" s="292"/>
      <c r="H311" s="293"/>
      <c r="I311" s="17"/>
    </row>
    <row r="312" spans="1:10" ht="18.75" customHeight="1" x14ac:dyDescent="0.25">
      <c r="A312" s="5"/>
      <c r="B312" s="286"/>
      <c r="C312" s="287"/>
      <c r="D312" s="32">
        <f>$H$276</f>
        <v>92.01738966086792</v>
      </c>
      <c r="E312" s="31" t="str">
        <f>IF(D312&gt;F312,"&gt;","&lt;")</f>
        <v>&gt;</v>
      </c>
      <c r="F312" s="32">
        <f>$F$276</f>
        <v>68.42</v>
      </c>
      <c r="G312" s="31" t="str">
        <f>IF(F312&gt;H312,"&gt;","&lt;")</f>
        <v>&lt;</v>
      </c>
      <c r="H312" s="32">
        <f>$H$266+$H$261*$H$267</f>
        <v>126.5239107836934</v>
      </c>
      <c r="I312" s="17"/>
    </row>
    <row r="313" spans="1:10" ht="18.75" customHeight="1" x14ac:dyDescent="0.25">
      <c r="A313" s="5"/>
      <c r="B313" s="286" t="s">
        <v>162</v>
      </c>
      <c r="C313" s="287"/>
      <c r="D313" s="288" t="s">
        <v>168</v>
      </c>
      <c r="E313" s="289"/>
      <c r="F313" s="289"/>
      <c r="G313" s="289"/>
      <c r="H313" s="290"/>
      <c r="I313" s="17"/>
    </row>
    <row r="314" spans="1:10" ht="18.75" customHeight="1" x14ac:dyDescent="0.25">
      <c r="A314" s="5"/>
      <c r="B314" s="286"/>
      <c r="C314" s="287"/>
      <c r="D314" s="54">
        <f>$H$278</f>
        <v>126.5239107836934</v>
      </c>
      <c r="E314" s="53" t="str">
        <f>IF(D314&gt;F314,"&gt;","&lt;")</f>
        <v>&gt;</v>
      </c>
      <c r="F314" s="54">
        <f>$F$278</f>
        <v>68.42</v>
      </c>
      <c r="G314" s="53" t="str">
        <f>IF(F314&gt;H314,"&gt;","&lt;")</f>
        <v>&lt;</v>
      </c>
      <c r="H314" s="54">
        <f>$H$266+$H$261*1/3*SQRT($H$3)*Input!$H$20*Process!$H$262/1000</f>
        <v>276.05216898260375</v>
      </c>
      <c r="I314" s="17"/>
    </row>
    <row r="315" spans="1:10" ht="18.75" customHeight="1" x14ac:dyDescent="0.25">
      <c r="A315" s="5"/>
      <c r="B315" s="286" t="s">
        <v>163</v>
      </c>
      <c r="C315" s="287"/>
      <c r="D315" s="291" t="s">
        <v>169</v>
      </c>
      <c r="E315" s="292"/>
      <c r="F315" s="292"/>
      <c r="G315" s="292"/>
      <c r="H315" s="293"/>
      <c r="I315" s="17"/>
    </row>
    <row r="316" spans="1:10" ht="18.75" customHeight="1" x14ac:dyDescent="0.25">
      <c r="A316" s="5"/>
      <c r="B316" s="286"/>
      <c r="C316" s="287"/>
      <c r="D316" s="32">
        <f>H314</f>
        <v>276.05216898260375</v>
      </c>
      <c r="E316" s="31" t="str">
        <f>IF(D316&gt;F316,"&gt;","&lt;")</f>
        <v>&gt;</v>
      </c>
      <c r="F316" s="32">
        <f>F314</f>
        <v>68.42</v>
      </c>
      <c r="G316" s="31" t="str">
        <f>IF(F316&gt;H316,"&gt;","&lt;")</f>
        <v>&lt;</v>
      </c>
      <c r="H316" s="32">
        <f>$H$266+$H$261*2/3*SQRT($H$3)*Input!$H$20*Process!$H$262/1000</f>
        <v>460.08694830433961</v>
      </c>
      <c r="I316" s="17"/>
    </row>
    <row r="317" spans="1:10" ht="18.75" customHeight="1" x14ac:dyDescent="0.25">
      <c r="A317" s="5"/>
      <c r="B317" s="286" t="s">
        <v>164</v>
      </c>
      <c r="C317" s="287"/>
      <c r="D317" s="288" t="s">
        <v>170</v>
      </c>
      <c r="E317" s="289"/>
      <c r="F317" s="289"/>
      <c r="G317" s="289"/>
      <c r="H317" s="290"/>
      <c r="I317" s="17"/>
    </row>
    <row r="318" spans="1:10" ht="18.75" customHeight="1" x14ac:dyDescent="0.25">
      <c r="A318" s="5"/>
      <c r="B318" s="286"/>
      <c r="C318" s="287"/>
      <c r="D318" s="54">
        <f>$F$282</f>
        <v>68.42</v>
      </c>
      <c r="E318" s="53" t="str">
        <f>IF(D318&gt;F318,"&gt;","&lt;")</f>
        <v>&lt;</v>
      </c>
      <c r="F318" s="54">
        <f>$H$282</f>
        <v>460.08694830433961</v>
      </c>
      <c r="G318" s="55"/>
      <c r="H318" s="55"/>
      <c r="I318" s="17"/>
    </row>
    <row r="319" spans="1:10" ht="18.75" customHeight="1" x14ac:dyDescent="0.25">
      <c r="A319" s="5"/>
      <c r="I319" s="17"/>
    </row>
    <row r="320" spans="1:10" ht="18.75" customHeight="1" x14ac:dyDescent="0.25">
      <c r="A320" s="5"/>
      <c r="B320" s="11" t="s">
        <v>171</v>
      </c>
      <c r="I320" s="17"/>
    </row>
    <row r="321" spans="1:15" ht="18.75" customHeight="1" x14ac:dyDescent="0.25">
      <c r="A321" s="5"/>
      <c r="B321" s="294" t="s">
        <v>172</v>
      </c>
      <c r="C321" s="295" t="s">
        <v>173</v>
      </c>
      <c r="D321" s="296" t="s">
        <v>174</v>
      </c>
      <c r="E321" s="295" t="s">
        <v>175</v>
      </c>
      <c r="F321" s="295"/>
      <c r="I321" s="17"/>
    </row>
    <row r="322" spans="1:15" ht="18.75" customHeight="1" x14ac:dyDescent="0.25">
      <c r="A322" s="5"/>
      <c r="B322" s="294"/>
      <c r="C322" s="295"/>
      <c r="D322" s="296"/>
      <c r="E322" s="130" t="s">
        <v>278</v>
      </c>
      <c r="F322" s="130" t="s">
        <v>279</v>
      </c>
      <c r="H322" s="164"/>
      <c r="I322" s="17"/>
    </row>
    <row r="323" spans="1:15" ht="18.75" customHeight="1" x14ac:dyDescent="0.25">
      <c r="A323" s="5"/>
      <c r="B323" s="141">
        <v>1</v>
      </c>
      <c r="C323" s="142" t="str">
        <f>IF(D308&lt;=F308,"TERPENUHI","")</f>
        <v/>
      </c>
      <c r="D323" s="31" t="s">
        <v>176</v>
      </c>
      <c r="E323" s="31"/>
      <c r="F323" s="51"/>
      <c r="I323" s="17"/>
      <c r="M323" s="56"/>
    </row>
    <row r="324" spans="1:15" ht="18.75" customHeight="1" x14ac:dyDescent="0.25">
      <c r="A324" s="5"/>
      <c r="B324" s="141">
        <v>2</v>
      </c>
      <c r="C324" s="142" t="str">
        <f>IF(D310&lt;=F310,IF(F310&lt;H310,"TERPENUHI",""),"")</f>
        <v>TERPENUHI</v>
      </c>
      <c r="D324" s="31" t="s">
        <v>177</v>
      </c>
      <c r="E324" s="31" t="s">
        <v>178</v>
      </c>
      <c r="F324" s="31" t="s">
        <v>179</v>
      </c>
      <c r="I324" s="17"/>
      <c r="M324" s="56"/>
    </row>
    <row r="325" spans="1:15" ht="18.75" customHeight="1" x14ac:dyDescent="0.25">
      <c r="A325" s="5"/>
      <c r="B325" s="141">
        <v>3</v>
      </c>
      <c r="C325" s="142" t="str">
        <f>IF(D312&lt;=F312,IF(F312&lt;H312,"TERPENUHI",""),"")</f>
        <v/>
      </c>
      <c r="D325" s="31" t="s">
        <v>177</v>
      </c>
      <c r="E325" s="31" t="s">
        <v>178</v>
      </c>
      <c r="F325" s="31" t="s">
        <v>179</v>
      </c>
      <c r="I325" s="17"/>
      <c r="M325" s="56"/>
    </row>
    <row r="326" spans="1:15" ht="18.75" customHeight="1" x14ac:dyDescent="0.25">
      <c r="A326" s="5"/>
      <c r="B326" s="141">
        <v>4</v>
      </c>
      <c r="C326" s="142" t="str">
        <f>IF(D314&lt;=F314,IF(F314&lt;H314,"TERPENUHI",""),"")</f>
        <v/>
      </c>
      <c r="D326" s="57" t="s">
        <v>183</v>
      </c>
      <c r="E326" s="31" t="s">
        <v>178</v>
      </c>
      <c r="F326" s="31" t="s">
        <v>179</v>
      </c>
      <c r="I326" s="17"/>
      <c r="M326" s="56"/>
    </row>
    <row r="327" spans="1:15" ht="18.75" customHeight="1" x14ac:dyDescent="0.25">
      <c r="A327" s="5"/>
      <c r="B327" s="141">
        <v>5</v>
      </c>
      <c r="C327" s="142" t="str">
        <f>IF(D316&lt;=F316,IF(F316&lt;H316,"TERPENUHI",""),"")</f>
        <v/>
      </c>
      <c r="D327" s="57" t="s">
        <v>183</v>
      </c>
      <c r="E327" s="31" t="s">
        <v>180</v>
      </c>
      <c r="F327" s="31" t="s">
        <v>181</v>
      </c>
      <c r="I327" s="17"/>
      <c r="M327" s="56"/>
    </row>
    <row r="328" spans="1:15" ht="18.75" customHeight="1" x14ac:dyDescent="0.25">
      <c r="A328" s="5"/>
      <c r="B328" s="141">
        <v>6</v>
      </c>
      <c r="C328" s="142" t="str">
        <f>IF(D318&gt;=F318,"TERPENUHI","")</f>
        <v/>
      </c>
      <c r="D328" s="297" t="s">
        <v>182</v>
      </c>
      <c r="E328" s="298"/>
      <c r="F328" s="299"/>
      <c r="I328" s="17"/>
      <c r="M328" s="56"/>
    </row>
    <row r="329" spans="1:15" ht="18.75" customHeight="1" x14ac:dyDescent="0.25">
      <c r="A329" s="5"/>
      <c r="I329" s="17"/>
    </row>
    <row r="330" spans="1:15" ht="18.75" customHeight="1" x14ac:dyDescent="0.25">
      <c r="A330" s="1"/>
      <c r="B330" s="11" t="s">
        <v>184</v>
      </c>
      <c r="C330" s="11"/>
      <c r="D330" s="11"/>
      <c r="E330" s="11"/>
      <c r="F330" s="11"/>
      <c r="G330" s="12" t="str">
        <f>IF((IF(C323="TERPENUHI",1,0)+IF(C324="TERPENUHI",1,0)+IF(C325="TERPENUHI",1,0)=1),"φ * Vs = φ * Vs-min =",IF(IF(C326="TERPENUHI",1,0)+IF(C328="TERPENUHI",1,0)=1,"φ * Vs = Vu - φ * Vc =","Vs ="))</f>
        <v>φ * Vs = φ * Vs-min =</v>
      </c>
      <c r="H330" s="50">
        <f>IF((IF(C323="TERPENUHI",1,0)+IF(C324="TERPENUHI",1,0)+IF(C325="TERPENUHI",1,0))=1,$H$261*$H$267,IF((IF(C326="TERPENUHI",1,0)+IF(C328="TERPENUHI",1,0))=1,H304-$H$266,"EROR"))</f>
        <v>34.506521122825468</v>
      </c>
      <c r="I330" s="13" t="s">
        <v>110</v>
      </c>
    </row>
    <row r="331" spans="1:15" ht="18.75" customHeight="1" x14ac:dyDescent="0.25">
      <c r="A331" s="1"/>
      <c r="B331" s="11" t="s">
        <v>185</v>
      </c>
      <c r="C331" s="11"/>
      <c r="D331" s="11"/>
      <c r="E331" s="11"/>
      <c r="F331" s="11"/>
      <c r="G331" s="12" t="s">
        <v>186</v>
      </c>
      <c r="H331" s="50">
        <f>H330/$H$261</f>
        <v>46.00869483043396</v>
      </c>
      <c r="I331" s="13" t="s">
        <v>110</v>
      </c>
    </row>
    <row r="332" spans="1:15" ht="18.75" customHeight="1" x14ac:dyDescent="0.25">
      <c r="A332" s="1"/>
      <c r="B332" s="11" t="s">
        <v>187</v>
      </c>
      <c r="C332" s="11"/>
      <c r="D332" s="11"/>
      <c r="E332" s="11"/>
      <c r="F332" s="58">
        <f>IF(2*PI()/4*H332^2*H$263*H$262/($H$297*1000)&gt;125,2,IF(3*PI()/4*H332^2*H$263*H$262/(H331*1000)&gt;125,3,4))</f>
        <v>2</v>
      </c>
      <c r="G332" s="59" t="s">
        <v>391</v>
      </c>
      <c r="H332" s="60">
        <f>Input!$H$23</f>
        <v>12</v>
      </c>
      <c r="I332" s="96"/>
      <c r="M332" s="44"/>
      <c r="N332" s="63"/>
      <c r="O332" s="63"/>
    </row>
    <row r="333" spans="1:15" ht="18.75" customHeight="1" x14ac:dyDescent="0.25">
      <c r="A333" s="1"/>
      <c r="B333" s="11" t="s">
        <v>188</v>
      </c>
      <c r="C333" s="11"/>
      <c r="D333" s="11"/>
      <c r="E333" s="11"/>
      <c r="F333" s="11"/>
      <c r="G333" s="12" t="s">
        <v>455</v>
      </c>
      <c r="H333" s="47">
        <f>F332*PI()/4*H332^2</f>
        <v>226.1946710584651</v>
      </c>
      <c r="I333" s="13" t="s">
        <v>33</v>
      </c>
      <c r="M333" s="44"/>
      <c r="N333" s="63"/>
      <c r="O333" s="63"/>
    </row>
    <row r="334" spans="1:15" ht="18.75" customHeight="1" x14ac:dyDescent="0.25">
      <c r="A334" s="1"/>
      <c r="B334" s="11" t="s">
        <v>189</v>
      </c>
      <c r="C334" s="11"/>
      <c r="D334" s="11"/>
      <c r="E334" s="11"/>
      <c r="F334" s="11"/>
      <c r="G334" s="12" t="s">
        <v>190</v>
      </c>
      <c r="H334" s="47">
        <f>H333*$H$263*$H$262/H331/1000</f>
        <v>925.05969715549418</v>
      </c>
      <c r="I334" s="13" t="s">
        <v>19</v>
      </c>
      <c r="J334" s="242" t="s">
        <v>454</v>
      </c>
      <c r="M334" s="44"/>
      <c r="N334" s="63"/>
      <c r="O334" s="63"/>
    </row>
    <row r="335" spans="1:15" ht="18.75" customHeight="1" x14ac:dyDescent="0.25">
      <c r="A335" s="1"/>
      <c r="B335" s="11" t="s">
        <v>191</v>
      </c>
      <c r="C335" s="11"/>
      <c r="D335" s="11"/>
      <c r="F335" s="61">
        <f>F332</f>
        <v>2</v>
      </c>
      <c r="G335" s="149">
        <f>H332</f>
        <v>12</v>
      </c>
      <c r="H335" s="62">
        <f>H334</f>
        <v>925.05969715549418</v>
      </c>
      <c r="I335" s="13"/>
    </row>
    <row r="336" spans="1:15" ht="18.75" customHeight="1" x14ac:dyDescent="0.25">
      <c r="A336" s="1"/>
      <c r="B336" s="11"/>
      <c r="C336" s="11"/>
      <c r="D336" s="11"/>
      <c r="E336" s="12"/>
      <c r="F336" s="94"/>
      <c r="G336" s="95"/>
      <c r="H336" s="11"/>
      <c r="I336" s="13"/>
    </row>
    <row r="337" spans="1:10" ht="18.75" customHeight="1" x14ac:dyDescent="0.25">
      <c r="A337" s="166" t="s">
        <v>192</v>
      </c>
      <c r="B337" s="26" t="s">
        <v>193</v>
      </c>
      <c r="C337" s="26"/>
      <c r="D337" s="26"/>
      <c r="E337" s="27"/>
      <c r="F337" s="27"/>
      <c r="G337" s="236"/>
      <c r="H337" s="27"/>
      <c r="I337" s="93"/>
    </row>
    <row r="338" spans="1:10" ht="18.75" customHeight="1" x14ac:dyDescent="0.25">
      <c r="A338" s="1"/>
      <c r="B338" s="11" t="s">
        <v>194</v>
      </c>
      <c r="C338" s="11"/>
      <c r="D338" s="11"/>
      <c r="E338" s="11"/>
      <c r="F338" s="11"/>
      <c r="G338" s="12" t="s">
        <v>26</v>
      </c>
      <c r="H338" s="32">
        <f>Input!H30</f>
        <v>24.2</v>
      </c>
      <c r="I338" s="13" t="s">
        <v>27</v>
      </c>
    </row>
    <row r="339" spans="1:10" ht="18.75" customHeight="1" x14ac:dyDescent="0.25">
      <c r="A339" s="1"/>
      <c r="B339" s="11" t="s">
        <v>195</v>
      </c>
      <c r="C339" s="11"/>
      <c r="D339" s="11"/>
      <c r="E339" s="11"/>
      <c r="F339" s="11"/>
      <c r="G339" s="12" t="s">
        <v>62</v>
      </c>
      <c r="H339" s="34">
        <v>0.75</v>
      </c>
      <c r="I339" s="13"/>
    </row>
    <row r="340" spans="1:10" ht="18.75" customHeight="1" x14ac:dyDescent="0.25">
      <c r="A340" s="1"/>
      <c r="B340" s="11" t="s">
        <v>196</v>
      </c>
      <c r="C340" s="11"/>
      <c r="D340" s="11"/>
      <c r="E340" s="11"/>
      <c r="F340" s="11"/>
      <c r="G340" s="12" t="s">
        <v>197</v>
      </c>
      <c r="H340" s="34">
        <f>H338/H339</f>
        <v>32.266666666666666</v>
      </c>
      <c r="I340" s="13" t="s">
        <v>27</v>
      </c>
    </row>
    <row r="341" spans="1:10" ht="18.75" customHeight="1" x14ac:dyDescent="0.25">
      <c r="A341" s="1"/>
      <c r="B341" s="11" t="s">
        <v>198</v>
      </c>
      <c r="C341" s="11"/>
      <c r="D341" s="11"/>
      <c r="E341" s="11"/>
      <c r="F341" s="11"/>
      <c r="G341" s="12" t="s">
        <v>11</v>
      </c>
      <c r="H341" s="35">
        <f>Input!H6</f>
        <v>420</v>
      </c>
      <c r="I341" s="13" t="s">
        <v>9</v>
      </c>
    </row>
    <row r="342" spans="1:10" ht="18.75" customHeight="1" x14ac:dyDescent="0.25">
      <c r="A342" s="1"/>
      <c r="B342" s="11" t="s">
        <v>199</v>
      </c>
      <c r="C342" s="11"/>
      <c r="D342" s="12"/>
      <c r="E342" s="19"/>
      <c r="F342" s="18"/>
      <c r="G342" s="12" t="s">
        <v>200</v>
      </c>
      <c r="H342" s="34">
        <f>Input!H20*Input!H21</f>
        <v>150000</v>
      </c>
      <c r="I342" s="13" t="s">
        <v>33</v>
      </c>
    </row>
    <row r="343" spans="1:10" ht="18.75" customHeight="1" x14ac:dyDescent="0.25">
      <c r="A343" s="1"/>
      <c r="B343" s="11" t="s">
        <v>201</v>
      </c>
      <c r="C343" s="11"/>
      <c r="D343" s="11"/>
      <c r="E343" s="11"/>
      <c r="F343" s="11"/>
      <c r="G343" s="11"/>
      <c r="H343" s="11"/>
      <c r="I343" s="13"/>
    </row>
    <row r="344" spans="1:10" ht="18.75" customHeight="1" x14ac:dyDescent="0.25">
      <c r="A344" s="1"/>
      <c r="B344" s="11"/>
      <c r="C344" s="11"/>
      <c r="D344" s="11"/>
      <c r="E344" s="11"/>
      <c r="F344" s="11"/>
      <c r="G344" s="12" t="s">
        <v>228</v>
      </c>
      <c r="H344" s="34">
        <f>(Input!H20-2*(Input!H25+0.5*Input!H23))*(Input!H21-2*(Input!H25+0.5*Input!H23))</f>
        <v>84864</v>
      </c>
      <c r="I344" s="13" t="s">
        <v>33</v>
      </c>
      <c r="J344" s="242" t="s">
        <v>463</v>
      </c>
    </row>
    <row r="345" spans="1:10" ht="18.75" customHeight="1" x14ac:dyDescent="0.25">
      <c r="A345" s="1"/>
      <c r="B345" s="11" t="s">
        <v>202</v>
      </c>
      <c r="C345" s="11"/>
      <c r="D345" s="11"/>
      <c r="E345" s="11"/>
      <c r="F345" s="11"/>
      <c r="G345" s="12" t="s">
        <v>203</v>
      </c>
      <c r="H345" s="34">
        <f>2*(Input!H20+Input!H21)</f>
        <v>1600</v>
      </c>
      <c r="I345" s="13" t="s">
        <v>19</v>
      </c>
    </row>
    <row r="346" spans="1:10" ht="18.75" customHeight="1" x14ac:dyDescent="0.25">
      <c r="A346" s="1"/>
      <c r="B346" s="11" t="s">
        <v>204</v>
      </c>
      <c r="C346" s="11"/>
      <c r="D346" s="11"/>
      <c r="E346" s="11"/>
      <c r="F346" s="11"/>
      <c r="G346" s="11"/>
      <c r="H346" s="11"/>
      <c r="I346" s="13"/>
    </row>
    <row r="347" spans="1:10" ht="18.75" customHeight="1" x14ac:dyDescent="0.25">
      <c r="A347" s="1"/>
      <c r="B347" s="11"/>
      <c r="C347" s="11"/>
      <c r="D347" s="11"/>
      <c r="E347" s="11"/>
      <c r="F347" s="11"/>
      <c r="G347" s="12" t="s">
        <v>277</v>
      </c>
      <c r="H347" s="34">
        <f>2*((Input!H20-2*(Input!H25+0.5*Input!H23))+(Input!H21-2*(Input!H25+0.5*Input!H23)))</f>
        <v>1232</v>
      </c>
      <c r="I347" s="13" t="s">
        <v>19</v>
      </c>
      <c r="J347" s="242" t="s">
        <v>462</v>
      </c>
    </row>
    <row r="348" spans="1:10" ht="18.75" customHeight="1" x14ac:dyDescent="0.25">
      <c r="A348" s="1"/>
      <c r="B348" s="11"/>
      <c r="C348" s="11"/>
      <c r="D348" s="11"/>
      <c r="E348" s="11"/>
      <c r="F348" s="11"/>
      <c r="G348" s="12"/>
      <c r="H348" s="19"/>
      <c r="I348" s="13"/>
    </row>
    <row r="349" spans="1:10" ht="18.75" customHeight="1" x14ac:dyDescent="0.25">
      <c r="A349" s="1"/>
      <c r="B349" s="11" t="s">
        <v>205</v>
      </c>
      <c r="C349" s="11"/>
      <c r="D349" s="11"/>
      <c r="E349" s="11"/>
      <c r="F349" s="11"/>
      <c r="G349" s="12" t="s">
        <v>206</v>
      </c>
      <c r="H349" s="35">
        <f>H301</f>
        <v>925.05969715549418</v>
      </c>
      <c r="I349" s="13" t="s">
        <v>19</v>
      </c>
    </row>
    <row r="350" spans="1:10" ht="18.75" customHeight="1" x14ac:dyDescent="0.25">
      <c r="A350" s="1"/>
      <c r="B350" s="11"/>
      <c r="C350" s="11"/>
      <c r="D350" s="11"/>
      <c r="E350" s="11"/>
      <c r="F350" s="11"/>
      <c r="G350" s="12" t="s">
        <v>207</v>
      </c>
      <c r="H350" s="35">
        <v>300</v>
      </c>
      <c r="I350" s="13" t="s">
        <v>19</v>
      </c>
    </row>
    <row r="351" spans="1:10" ht="18.75" customHeight="1" x14ac:dyDescent="0.25">
      <c r="A351" s="1"/>
      <c r="B351" s="11"/>
      <c r="C351" s="11"/>
      <c r="D351" s="11"/>
      <c r="E351" s="11"/>
      <c r="F351" s="11"/>
      <c r="G351" s="12"/>
      <c r="H351" s="80"/>
      <c r="I351" s="13"/>
    </row>
    <row r="352" spans="1:10" ht="18.75" customHeight="1" x14ac:dyDescent="0.25">
      <c r="A352" s="1"/>
      <c r="B352" s="11" t="s">
        <v>209</v>
      </c>
      <c r="C352" s="11"/>
      <c r="D352" s="11"/>
      <c r="E352" s="11"/>
      <c r="F352" s="11"/>
      <c r="G352" s="11"/>
      <c r="H352" s="11"/>
      <c r="I352" s="13"/>
    </row>
    <row r="353" spans="1:10" ht="18.75" customHeight="1" x14ac:dyDescent="0.25">
      <c r="A353" s="1"/>
      <c r="B353" s="11"/>
      <c r="C353" s="11"/>
      <c r="D353" s="11"/>
      <c r="E353" s="11"/>
      <c r="F353" s="11"/>
      <c r="G353" s="12" t="s">
        <v>210</v>
      </c>
      <c r="H353" s="32">
        <f>(1/12*H339*(H3^0.5)*(H342^2/H345)*(1+Input!H29*1000/(1/3*H342*(H3^0.5)))^0.5)*10^-6</f>
        <v>4.9234646882086004</v>
      </c>
      <c r="I353" s="13" t="s">
        <v>27</v>
      </c>
      <c r="J353" s="242" t="s">
        <v>457</v>
      </c>
    </row>
    <row r="354" spans="1:10" ht="18.75" customHeight="1" x14ac:dyDescent="0.25">
      <c r="A354" s="1"/>
      <c r="B354" s="11"/>
      <c r="C354" s="11"/>
      <c r="D354" s="11"/>
      <c r="E354" s="11"/>
      <c r="F354" s="15" t="s">
        <v>41</v>
      </c>
      <c r="G354" s="89" t="str">
        <f>IF(H338&lt;H353,"Torsi boleh diabaikan","Torsi tidak boleh diabaikan")</f>
        <v>Torsi tidak boleh diabaikan</v>
      </c>
      <c r="H354" s="11"/>
      <c r="I354" s="13"/>
      <c r="J354" s="242" t="s">
        <v>456</v>
      </c>
    </row>
    <row r="355" spans="1:10" ht="18.75" customHeight="1" x14ac:dyDescent="0.25">
      <c r="A355" s="1"/>
      <c r="B355" s="11" t="s">
        <v>211</v>
      </c>
      <c r="C355" s="11"/>
      <c r="D355" s="11"/>
      <c r="E355" s="11"/>
      <c r="F355" s="11"/>
      <c r="G355" s="11"/>
      <c r="H355" s="11"/>
      <c r="I355" s="13"/>
    </row>
    <row r="356" spans="1:10" ht="18.75" customHeight="1" x14ac:dyDescent="0.25">
      <c r="A356" s="1"/>
      <c r="B356" s="285" t="s">
        <v>212</v>
      </c>
      <c r="C356" s="285"/>
      <c r="D356" s="285"/>
      <c r="E356" s="285"/>
      <c r="F356" s="285"/>
      <c r="G356" s="285"/>
      <c r="H356" s="285"/>
      <c r="I356" s="13"/>
      <c r="J356" s="242" t="s">
        <v>458</v>
      </c>
    </row>
    <row r="357" spans="1:10" ht="18.75" customHeight="1" x14ac:dyDescent="0.25">
      <c r="A357" s="1"/>
      <c r="B357" s="11"/>
      <c r="C357" s="11"/>
      <c r="D357" s="81">
        <f>((H270*1000/(Input!H20*H262))^2+(H338*1000*H347/1.7/H344^2)^2)^0.5</f>
        <v>0.50908320525633499</v>
      </c>
      <c r="E357" s="14" t="s">
        <v>159</v>
      </c>
      <c r="F357" s="81">
        <f>H261*(H265*1000/(Input!H20*H262)+2/3*H3^0.5)</f>
        <v>3.4232659844072879</v>
      </c>
      <c r="G357" s="11"/>
      <c r="H357" s="11"/>
      <c r="I357" s="13"/>
    </row>
    <row r="358" spans="1:10" ht="18.75" customHeight="1" x14ac:dyDescent="0.25">
      <c r="A358" s="1"/>
      <c r="B358" s="11"/>
      <c r="C358" s="11"/>
      <c r="D358" s="11"/>
      <c r="E358" s="11"/>
      <c r="F358" s="15" t="s">
        <v>41</v>
      </c>
      <c r="G358" s="89" t="str">
        <f>IF(D357&lt;=F357,"Tdk perlu ganti dimensi","perlu ganti dimensi")</f>
        <v>Tdk perlu ganti dimensi</v>
      </c>
      <c r="H358" s="11"/>
      <c r="I358" s="13"/>
    </row>
    <row r="359" spans="1:10" ht="18.75" customHeight="1" x14ac:dyDescent="0.25">
      <c r="A359" s="1"/>
      <c r="B359" s="11" t="s">
        <v>213</v>
      </c>
      <c r="C359" s="11"/>
      <c r="D359" s="11"/>
      <c r="E359" s="11"/>
      <c r="F359" s="11"/>
      <c r="G359" s="12" t="s">
        <v>214</v>
      </c>
      <c r="H359" s="34">
        <f>IF(H338&gt;=H353,H340*10^6/2/(0.85*H344)/H341,"diabaikan")</f>
        <v>0.53251567092397545</v>
      </c>
      <c r="I359" s="13"/>
      <c r="J359" s="242" t="s">
        <v>460</v>
      </c>
    </row>
    <row r="360" spans="1:10" ht="18.75" customHeight="1" x14ac:dyDescent="0.25">
      <c r="A360" s="1"/>
      <c r="B360" s="11" t="s">
        <v>215</v>
      </c>
      <c r="C360" s="11"/>
      <c r="D360" s="11"/>
      <c r="E360" s="11"/>
      <c r="F360" s="11"/>
      <c r="G360" s="12" t="s">
        <v>216</v>
      </c>
      <c r="H360" s="34">
        <f>IF(0.032*Input!H4^0.5*Input!H20/Process!H341-(0.5*MAX(Process!H299,Process!H333))&lt;0,0,0.032*Input!H4^0.5*Input!H20/Process!H341-(0.5*MAX(Process!H299,Process!H333)))</f>
        <v>0</v>
      </c>
      <c r="I360" s="13"/>
      <c r="J360" s="242" t="s">
        <v>448</v>
      </c>
    </row>
    <row r="361" spans="1:10" ht="18.75" customHeight="1" x14ac:dyDescent="0.25">
      <c r="A361" s="1"/>
      <c r="B361" s="11" t="s">
        <v>217</v>
      </c>
      <c r="C361" s="11"/>
      <c r="D361" s="11"/>
      <c r="E361" s="11"/>
      <c r="F361" s="11"/>
      <c r="G361" s="12" t="s">
        <v>218</v>
      </c>
      <c r="H361" s="34">
        <f>MAX(H359:H360)</f>
        <v>0.53251567092397545</v>
      </c>
      <c r="I361" s="13"/>
    </row>
    <row r="362" spans="1:10" ht="18.75" customHeight="1" x14ac:dyDescent="0.25">
      <c r="A362" s="1"/>
      <c r="B362" s="11" t="s">
        <v>219</v>
      </c>
      <c r="C362" s="11"/>
      <c r="D362" s="11"/>
      <c r="E362" s="11"/>
      <c r="F362" s="11"/>
      <c r="G362" s="12" t="s">
        <v>220</v>
      </c>
      <c r="H362" s="34">
        <f>IF(H338&gt;H353,H361*H347*(H341/H4),"diabaikan")</f>
        <v>656.05930657833778</v>
      </c>
      <c r="I362" s="13" t="s">
        <v>33</v>
      </c>
      <c r="J362" s="242" t="s">
        <v>461</v>
      </c>
    </row>
    <row r="363" spans="1:10" ht="18.75" customHeight="1" x14ac:dyDescent="0.25">
      <c r="A363" s="1"/>
      <c r="B363" s="11" t="s">
        <v>221</v>
      </c>
      <c r="C363" s="11"/>
      <c r="D363" s="11"/>
      <c r="E363" s="11"/>
      <c r="F363" s="11"/>
      <c r="G363" s="11"/>
      <c r="H363" s="11"/>
      <c r="I363" s="13"/>
    </row>
    <row r="364" spans="1:10" ht="18.75" customHeight="1" x14ac:dyDescent="0.25">
      <c r="A364" s="1"/>
      <c r="B364" s="11"/>
      <c r="C364" s="11"/>
      <c r="D364" s="11"/>
      <c r="E364" s="11"/>
      <c r="F364" s="11"/>
      <c r="G364" s="12" t="str">
        <f>IF(F366&gt;H366,"Al = 0,42 * (√ fc') * Acp / fy - ( At / s ) * Ph * ( fyt / fy ) =","Al = 0,42 * (√ fc') * Acp / fy - ( 0,175 * b / fyt ) * Ph * ( fyt / fy ) =")</f>
        <v>Al = 0,42 * (√ fc') * Acp / fy - ( At / s ) * Ph * ( fyt / fy ) =</v>
      </c>
      <c r="H364" s="34">
        <f>IF(H338&gt;H353,0.42*(H3^0.5)*H342/H4-(IF(F366&gt;H366,F366,H366))*H347*H341/H4,"diabaikan")</f>
        <v>165.52452967941122</v>
      </c>
      <c r="I364" s="13" t="s">
        <v>33</v>
      </c>
      <c r="J364" s="242" t="s">
        <v>449</v>
      </c>
    </row>
    <row r="365" spans="1:10" ht="18.75" customHeight="1" x14ac:dyDescent="0.25">
      <c r="A365" s="1"/>
      <c r="B365" s="11"/>
      <c r="C365" s="11"/>
      <c r="D365" s="11"/>
      <c r="E365" s="11" t="s">
        <v>222</v>
      </c>
      <c r="F365" s="14" t="s">
        <v>223</v>
      </c>
      <c r="G365" s="14" t="s">
        <v>224</v>
      </c>
      <c r="H365" s="14" t="s">
        <v>225</v>
      </c>
      <c r="I365" s="13"/>
    </row>
    <row r="366" spans="1:10" ht="18.75" customHeight="1" x14ac:dyDescent="0.25">
      <c r="A366" s="1"/>
      <c r="B366" s="11"/>
      <c r="C366" s="11"/>
      <c r="D366" s="11"/>
      <c r="E366" s="11"/>
      <c r="F366" s="76">
        <f>H361</f>
        <v>0.53251567092397545</v>
      </c>
      <c r="G366" s="14" t="s">
        <v>224</v>
      </c>
      <c r="H366" s="76">
        <f>0.175*Input!H20/H341</f>
        <v>0.125</v>
      </c>
      <c r="I366" s="13"/>
    </row>
    <row r="367" spans="1:10" ht="18.75" customHeight="1" x14ac:dyDescent="0.25">
      <c r="A367" s="1"/>
      <c r="B367" s="11"/>
      <c r="C367" s="11"/>
      <c r="D367" s="11"/>
      <c r="E367" s="11"/>
      <c r="F367" s="76"/>
      <c r="G367" s="14"/>
      <c r="H367" s="76"/>
      <c r="I367" s="13"/>
    </row>
    <row r="368" spans="1:10" ht="18.75" customHeight="1" x14ac:dyDescent="0.25">
      <c r="A368" s="1"/>
      <c r="B368" s="11" t="s">
        <v>226</v>
      </c>
      <c r="C368" s="11"/>
      <c r="D368" s="11"/>
      <c r="E368" s="11"/>
      <c r="F368" s="11"/>
      <c r="G368" s="12" t="s">
        <v>227</v>
      </c>
      <c r="H368" s="34">
        <f>IF(MAX(H362:H364)&gt;0,MAX(H362:H364),0)</f>
        <v>656.05930657833778</v>
      </c>
      <c r="I368" s="13" t="s">
        <v>33</v>
      </c>
    </row>
    <row r="369" spans="1:14" ht="18.75" customHeight="1" x14ac:dyDescent="0.25">
      <c r="A369" s="1"/>
      <c r="B369" s="11"/>
      <c r="C369" s="11"/>
      <c r="D369" s="11"/>
      <c r="E369" s="11"/>
      <c r="F369" s="11"/>
      <c r="G369" s="11"/>
      <c r="H369" s="44"/>
      <c r="I369" s="13"/>
    </row>
    <row r="370" spans="1:14" ht="18.75" customHeight="1" x14ac:dyDescent="0.25">
      <c r="A370" s="166" t="s">
        <v>229</v>
      </c>
      <c r="B370" s="26" t="s">
        <v>230</v>
      </c>
      <c r="C370" s="26"/>
      <c r="D370" s="26"/>
      <c r="E370" s="26"/>
      <c r="F370" s="26"/>
      <c r="G370" s="26"/>
      <c r="H370" s="26"/>
      <c r="I370" s="168"/>
    </row>
    <row r="371" spans="1:14" ht="18.75" customHeight="1" x14ac:dyDescent="0.25">
      <c r="A371" s="167" t="s">
        <v>231</v>
      </c>
      <c r="B371" s="6" t="s">
        <v>311</v>
      </c>
      <c r="C371" s="6"/>
      <c r="D371" s="6"/>
      <c r="E371" s="6"/>
      <c r="F371" s="6"/>
      <c r="G371" s="6"/>
      <c r="H371" s="6"/>
      <c r="I371" s="235"/>
    </row>
    <row r="372" spans="1:14" ht="18.75" customHeight="1" x14ac:dyDescent="0.25">
      <c r="A372" s="1"/>
      <c r="B372" s="11" t="s">
        <v>243</v>
      </c>
      <c r="C372" s="11"/>
      <c r="D372" s="11"/>
      <c r="E372" s="11"/>
      <c r="F372" s="11"/>
      <c r="G372" s="12" t="s">
        <v>322</v>
      </c>
      <c r="H372" s="35">
        <f>$H$115</f>
        <v>22</v>
      </c>
      <c r="I372" s="13" t="s">
        <v>19</v>
      </c>
    </row>
    <row r="373" spans="1:14" ht="18.75" customHeight="1" x14ac:dyDescent="0.25">
      <c r="A373" s="1"/>
      <c r="B373" s="11" t="s">
        <v>244</v>
      </c>
      <c r="C373" s="11"/>
      <c r="D373" s="11"/>
      <c r="E373" s="11"/>
      <c r="F373" s="11"/>
      <c r="G373" s="12" t="s">
        <v>245</v>
      </c>
      <c r="H373" s="34">
        <f>PI()*H372^2*0.25</f>
        <v>380.13271108436498</v>
      </c>
      <c r="I373" s="13" t="s">
        <v>33</v>
      </c>
    </row>
    <row r="374" spans="1:14" ht="18.75" customHeight="1" x14ac:dyDescent="0.25">
      <c r="A374" s="1"/>
      <c r="B374" s="11" t="s">
        <v>246</v>
      </c>
      <c r="C374" s="11"/>
      <c r="D374" s="11"/>
      <c r="E374" s="11"/>
      <c r="F374" s="11"/>
      <c r="G374" s="12" t="s">
        <v>383</v>
      </c>
      <c r="H374" s="35">
        <f>Input!$H$24</f>
        <v>13</v>
      </c>
      <c r="I374" s="13" t="s">
        <v>19</v>
      </c>
    </row>
    <row r="375" spans="1:14" ht="18.75" customHeight="1" x14ac:dyDescent="0.25">
      <c r="A375" s="1"/>
      <c r="B375" s="11" t="s">
        <v>376</v>
      </c>
      <c r="C375" s="11"/>
      <c r="D375" s="11"/>
      <c r="E375" s="11"/>
      <c r="F375" s="11"/>
      <c r="G375" s="12" t="s">
        <v>94</v>
      </c>
      <c r="H375" s="35">
        <f>IF(Input!$H$21/(1)&lt;=350,0,IF(Input!$H$21/(2)&lt;=350,1,2))*2</f>
        <v>2</v>
      </c>
      <c r="I375" s="13"/>
      <c r="M375" s="44"/>
      <c r="N375" s="44"/>
    </row>
    <row r="376" spans="1:14" ht="18.75" customHeight="1" x14ac:dyDescent="0.25">
      <c r="A376" s="1"/>
      <c r="B376" s="11" t="s">
        <v>247</v>
      </c>
      <c r="C376" s="11"/>
      <c r="D376" s="11"/>
      <c r="E376" s="11"/>
      <c r="F376" s="11"/>
      <c r="G376" s="12" t="s">
        <v>248</v>
      </c>
      <c r="H376" s="34">
        <f>H375*PI()*H374^2*0.25</f>
        <v>265.46457922833753</v>
      </c>
      <c r="I376" s="13" t="s">
        <v>33</v>
      </c>
      <c r="M376" s="44"/>
      <c r="N376" s="44"/>
    </row>
    <row r="377" spans="1:14" ht="18.75" customHeight="1" x14ac:dyDescent="0.25">
      <c r="A377" s="1"/>
      <c r="B377" s="11"/>
      <c r="C377" s="11"/>
      <c r="D377" s="11"/>
      <c r="E377" s="11"/>
      <c r="F377" s="11"/>
      <c r="G377" s="12"/>
      <c r="H377" s="19"/>
      <c r="I377" s="13"/>
      <c r="M377" s="44"/>
      <c r="N377" s="71"/>
    </row>
    <row r="378" spans="1:14" ht="18.75" customHeight="1" x14ac:dyDescent="0.25">
      <c r="A378" s="1"/>
      <c r="B378" s="11" t="s">
        <v>249</v>
      </c>
      <c r="C378" s="11"/>
      <c r="D378" s="11"/>
      <c r="E378" s="11"/>
      <c r="F378" s="11"/>
      <c r="G378" s="12" t="s">
        <v>227</v>
      </c>
      <c r="H378" s="34">
        <f>$H$368</f>
        <v>656.05930657833778</v>
      </c>
      <c r="I378" s="13" t="s">
        <v>33</v>
      </c>
    </row>
    <row r="379" spans="1:14" ht="18.75" customHeight="1" x14ac:dyDescent="0.25">
      <c r="A379" s="5"/>
      <c r="B379" s="11" t="s">
        <v>250</v>
      </c>
      <c r="C379" s="11"/>
      <c r="D379" s="11"/>
      <c r="E379" s="11"/>
      <c r="F379" s="11"/>
      <c r="G379" s="12" t="s">
        <v>251</v>
      </c>
      <c r="H379" s="34">
        <f>IF((H378-H376)/H373&gt;0,(H378-H376)/H373,0)</f>
        <v>1.0275220099732838</v>
      </c>
      <c r="I379" s="13" t="s">
        <v>252</v>
      </c>
    </row>
    <row r="380" spans="1:14" ht="18.75" customHeight="1" x14ac:dyDescent="0.25">
      <c r="A380" s="5"/>
      <c r="B380" s="11" t="s">
        <v>253</v>
      </c>
      <c r="C380" s="11"/>
      <c r="D380" s="11"/>
      <c r="E380" s="11"/>
      <c r="F380" s="11"/>
      <c r="G380" s="12" t="s">
        <v>254</v>
      </c>
      <c r="H380" s="34">
        <f>G115+G39</f>
        <v>4.0652897510499812</v>
      </c>
      <c r="I380" s="13" t="s">
        <v>252</v>
      </c>
    </row>
    <row r="381" spans="1:14" ht="18.75" customHeight="1" x14ac:dyDescent="0.25">
      <c r="A381" s="5"/>
      <c r="B381" s="11" t="s">
        <v>255</v>
      </c>
      <c r="C381" s="11"/>
      <c r="D381" s="11"/>
      <c r="E381" s="11"/>
      <c r="F381" s="11"/>
      <c r="G381" s="12" t="s">
        <v>256</v>
      </c>
      <c r="H381" s="34">
        <f>H379+H380</f>
        <v>5.092811761023265</v>
      </c>
      <c r="I381" s="13" t="s">
        <v>252</v>
      </c>
    </row>
    <row r="382" spans="1:14" ht="18.75" customHeight="1" x14ac:dyDescent="0.25">
      <c r="A382" s="5"/>
      <c r="I382" s="17"/>
    </row>
    <row r="383" spans="1:14" ht="18.75" customHeight="1" x14ac:dyDescent="0.25">
      <c r="A383" s="5"/>
      <c r="B383" s="11" t="s">
        <v>408</v>
      </c>
      <c r="G383" s="207">
        <f>ROUNDUP(IF(G39&lt;G77,IF(H379&lt;1,G39+H379,G39+H379/2),IF(H379&lt;1,G39,G39+0.5*H379)),0)</f>
        <v>4</v>
      </c>
      <c r="H383" s="208" t="str">
        <f>"D     "&amp;H372</f>
        <v>D     22</v>
      </c>
      <c r="I383" s="17"/>
      <c r="J383" s="243"/>
    </row>
    <row r="384" spans="1:14" ht="18.75" customHeight="1" x14ac:dyDescent="0.25">
      <c r="A384" s="5"/>
      <c r="B384" s="11" t="s">
        <v>409</v>
      </c>
      <c r="G384" s="207">
        <f>ROUNDUP(IF(G77&lt;G39,IF(H379&lt;1,G77+H379,G77+H379/2),IF(H379&lt;1,G77,G77+0.5*H379)),0)</f>
        <v>3</v>
      </c>
      <c r="H384" s="208" t="str">
        <f>"D     "&amp;H372</f>
        <v>D     22</v>
      </c>
      <c r="I384" s="17"/>
      <c r="J384" s="243"/>
    </row>
    <row r="385" spans="1:9" ht="18.75" customHeight="1" x14ac:dyDescent="0.25">
      <c r="A385" s="5"/>
      <c r="I385" s="17"/>
    </row>
    <row r="386" spans="1:9" ht="18.75" customHeight="1" x14ac:dyDescent="0.25">
      <c r="A386" s="5"/>
      <c r="B386" s="11" t="s">
        <v>367</v>
      </c>
      <c r="F386" s="11" t="s">
        <v>368</v>
      </c>
      <c r="G386" s="12"/>
      <c r="H386" s="12"/>
      <c r="I386" s="17"/>
    </row>
    <row r="387" spans="1:9" ht="18.75" customHeight="1" x14ac:dyDescent="0.25">
      <c r="A387" s="5"/>
      <c r="B387" s="204" t="s">
        <v>363</v>
      </c>
      <c r="C387" s="12" t="s">
        <v>356</v>
      </c>
      <c r="D387" s="34">
        <f>IF(G383&gt;$H$19,$H$19,G383)</f>
        <v>4</v>
      </c>
      <c r="E387" s="205" t="s">
        <v>52</v>
      </c>
      <c r="F387" s="204" t="s">
        <v>363</v>
      </c>
      <c r="G387" s="12" t="s">
        <v>356</v>
      </c>
      <c r="H387" s="34">
        <f>IF(G384&gt;$H$19,$H$19,G384)</f>
        <v>3</v>
      </c>
      <c r="I387" s="13" t="s">
        <v>52</v>
      </c>
    </row>
    <row r="388" spans="1:9" ht="18.75" customHeight="1" x14ac:dyDescent="0.25">
      <c r="A388" s="5"/>
      <c r="B388" s="204" t="s">
        <v>364</v>
      </c>
      <c r="C388" s="12" t="s">
        <v>357</v>
      </c>
      <c r="D388" s="34">
        <f>IF(G383&gt;$H$19,IF(G383-$H$19&lt;$H$19,G383-$H$19,$H$19),0)</f>
        <v>0</v>
      </c>
      <c r="E388" s="205" t="s">
        <v>52</v>
      </c>
      <c r="F388" s="204" t="s">
        <v>364</v>
      </c>
      <c r="G388" s="12" t="s">
        <v>357</v>
      </c>
      <c r="H388" s="34">
        <f>IF(G384&gt;$H$19,IF(G384-$H$19&lt;$H$19,G384-$H$19,$H$19),0)</f>
        <v>0</v>
      </c>
      <c r="I388" s="13" t="s">
        <v>52</v>
      </c>
    </row>
    <row r="389" spans="1:9" ht="18.75" customHeight="1" x14ac:dyDescent="0.25">
      <c r="A389" s="5"/>
      <c r="B389" s="204" t="s">
        <v>365</v>
      </c>
      <c r="C389" s="12" t="s">
        <v>358</v>
      </c>
      <c r="D389" s="34">
        <f>IF(G383&gt;2*$H$19,G383-2*$H$19,IF(G383&gt;2*H$19,G383-$H$19,0))</f>
        <v>0</v>
      </c>
      <c r="E389" s="205" t="s">
        <v>52</v>
      </c>
      <c r="F389" s="204" t="s">
        <v>365</v>
      </c>
      <c r="G389" s="12" t="s">
        <v>358</v>
      </c>
      <c r="H389" s="34">
        <f>IF(G384&gt;2*$H$19,G384-2*$H$19,IF(G384&gt;2*H$19,G384-H$19,0))</f>
        <v>0</v>
      </c>
      <c r="I389" s="13" t="s">
        <v>52</v>
      </c>
    </row>
    <row r="390" spans="1:9" ht="18.75" customHeight="1" x14ac:dyDescent="0.25">
      <c r="A390" s="5"/>
      <c r="I390" s="17"/>
    </row>
    <row r="391" spans="1:9" ht="18.75" customHeight="1" x14ac:dyDescent="0.25">
      <c r="A391" s="5"/>
      <c r="I391" s="17"/>
    </row>
    <row r="392" spans="1:9" ht="18.75" customHeight="1" x14ac:dyDescent="0.25">
      <c r="A392" s="5"/>
      <c r="I392" s="17"/>
    </row>
    <row r="393" spans="1:9" ht="18.75" customHeight="1" x14ac:dyDescent="0.25">
      <c r="A393" s="5"/>
      <c r="I393" s="17"/>
    </row>
    <row r="394" spans="1:9" ht="18.75" customHeight="1" x14ac:dyDescent="0.25">
      <c r="A394" s="5"/>
      <c r="I394" s="17"/>
    </row>
    <row r="395" spans="1:9" ht="18.75" customHeight="1" x14ac:dyDescent="0.25">
      <c r="A395" s="5"/>
      <c r="I395" s="17"/>
    </row>
    <row r="396" spans="1:9" ht="18.75" customHeight="1" x14ac:dyDescent="0.25">
      <c r="A396" s="5"/>
      <c r="I396" s="17"/>
    </row>
    <row r="397" spans="1:9" ht="18.75" customHeight="1" x14ac:dyDescent="0.25">
      <c r="A397" s="5"/>
      <c r="I397" s="17"/>
    </row>
    <row r="398" spans="1:9" ht="18.75" customHeight="1" x14ac:dyDescent="0.25">
      <c r="A398" s="5"/>
      <c r="I398" s="17"/>
    </row>
    <row r="399" spans="1:9" ht="18.75" customHeight="1" x14ac:dyDescent="0.25">
      <c r="A399" s="5"/>
      <c r="I399" s="17"/>
    </row>
    <row r="400" spans="1:9" ht="18.75" customHeight="1" x14ac:dyDescent="0.25">
      <c r="A400" s="5"/>
      <c r="I400" s="17"/>
    </row>
    <row r="401" spans="1:14" ht="18.75" customHeight="1" x14ac:dyDescent="0.25">
      <c r="A401" s="5"/>
      <c r="I401" s="17"/>
    </row>
    <row r="402" spans="1:14" ht="18.75" customHeight="1" x14ac:dyDescent="0.25">
      <c r="A402" s="5"/>
      <c r="I402" s="17"/>
    </row>
    <row r="403" spans="1:14" ht="18.75" customHeight="1" x14ac:dyDescent="0.25">
      <c r="A403" s="167" t="s">
        <v>258</v>
      </c>
      <c r="B403" s="6" t="s">
        <v>312</v>
      </c>
      <c r="C403" s="6"/>
      <c r="D403" s="6"/>
      <c r="E403" s="6"/>
      <c r="F403" s="6"/>
      <c r="G403" s="6"/>
      <c r="H403" s="6"/>
      <c r="I403" s="235"/>
    </row>
    <row r="404" spans="1:14" ht="18.75" customHeight="1" x14ac:dyDescent="0.25">
      <c r="A404" s="1"/>
      <c r="B404" s="11" t="s">
        <v>243</v>
      </c>
      <c r="C404" s="11"/>
      <c r="D404" s="11"/>
      <c r="E404" s="11"/>
      <c r="F404" s="11"/>
      <c r="G404" s="12" t="s">
        <v>322</v>
      </c>
      <c r="H404" s="35">
        <f>$H$115</f>
        <v>22</v>
      </c>
      <c r="I404" s="13" t="s">
        <v>19</v>
      </c>
    </row>
    <row r="405" spans="1:14" ht="18.75" customHeight="1" x14ac:dyDescent="0.25">
      <c r="A405" s="1"/>
      <c r="B405" s="11" t="s">
        <v>244</v>
      </c>
      <c r="C405" s="11"/>
      <c r="D405" s="11"/>
      <c r="E405" s="11"/>
      <c r="F405" s="11"/>
      <c r="G405" s="12" t="s">
        <v>245</v>
      </c>
      <c r="H405" s="34">
        <f>PI()*H404^2*0.25</f>
        <v>380.13271108436498</v>
      </c>
      <c r="I405" s="13" t="s">
        <v>33</v>
      </c>
    </row>
    <row r="406" spans="1:14" ht="18.75" customHeight="1" x14ac:dyDescent="0.25">
      <c r="A406" s="1"/>
      <c r="B406" s="11" t="s">
        <v>246</v>
      </c>
      <c r="C406" s="11"/>
      <c r="D406" s="11"/>
      <c r="E406" s="11"/>
      <c r="F406" s="11"/>
      <c r="G406" s="12" t="s">
        <v>383</v>
      </c>
      <c r="H406" s="35">
        <f>Input!$H$24</f>
        <v>13</v>
      </c>
      <c r="I406" s="13" t="s">
        <v>19</v>
      </c>
    </row>
    <row r="407" spans="1:14" ht="18.75" customHeight="1" x14ac:dyDescent="0.25">
      <c r="A407" s="1"/>
      <c r="B407" s="11" t="s">
        <v>376</v>
      </c>
      <c r="C407" s="11"/>
      <c r="D407" s="11"/>
      <c r="E407" s="11"/>
      <c r="F407" s="11"/>
      <c r="G407" s="12" t="s">
        <v>94</v>
      </c>
      <c r="H407" s="35">
        <f>IF(Input!$H$21/(1)&lt;=350,0,IF(Input!$H$21/(2)&lt;=350,1,2))*2</f>
        <v>2</v>
      </c>
      <c r="I407" s="13"/>
      <c r="M407" s="44"/>
      <c r="N407" s="44"/>
    </row>
    <row r="408" spans="1:14" ht="18.75" customHeight="1" x14ac:dyDescent="0.25">
      <c r="A408" s="1"/>
      <c r="B408" s="11" t="s">
        <v>247</v>
      </c>
      <c r="C408" s="11"/>
      <c r="D408" s="11"/>
      <c r="E408" s="11"/>
      <c r="F408" s="11"/>
      <c r="G408" s="12" t="s">
        <v>248</v>
      </c>
      <c r="H408" s="34">
        <f>H407*PI()*H406^2*0.25</f>
        <v>265.46457922833753</v>
      </c>
      <c r="I408" s="13" t="s">
        <v>33</v>
      </c>
      <c r="M408" s="44"/>
      <c r="N408" s="44"/>
    </row>
    <row r="409" spans="1:14" ht="18.75" customHeight="1" x14ac:dyDescent="0.25">
      <c r="A409" s="1"/>
      <c r="B409" s="11"/>
      <c r="C409" s="11"/>
      <c r="D409" s="11"/>
      <c r="E409" s="11"/>
      <c r="F409" s="11"/>
      <c r="G409" s="12"/>
      <c r="H409" s="19"/>
      <c r="I409" s="13"/>
      <c r="M409" s="44"/>
      <c r="N409" s="71"/>
    </row>
    <row r="410" spans="1:14" ht="18.75" customHeight="1" x14ac:dyDescent="0.25">
      <c r="A410" s="1"/>
      <c r="B410" s="11" t="s">
        <v>249</v>
      </c>
      <c r="C410" s="11"/>
      <c r="D410" s="11"/>
      <c r="E410" s="11"/>
      <c r="F410" s="11"/>
      <c r="G410" s="12" t="s">
        <v>227</v>
      </c>
      <c r="H410" s="34">
        <f>$H$368</f>
        <v>656.05930657833778</v>
      </c>
      <c r="I410" s="13" t="s">
        <v>33</v>
      </c>
    </row>
    <row r="411" spans="1:14" ht="18.75" customHeight="1" x14ac:dyDescent="0.25">
      <c r="A411" s="1"/>
      <c r="B411" s="11" t="s">
        <v>250</v>
      </c>
      <c r="C411" s="11"/>
      <c r="D411" s="11"/>
      <c r="E411" s="11"/>
      <c r="F411" s="11"/>
      <c r="G411" s="12" t="s">
        <v>251</v>
      </c>
      <c r="H411" s="34">
        <f>IF((H410-H408)/H405&gt;0,(H410-H408)/H405,0)</f>
        <v>1.0275220099732838</v>
      </c>
      <c r="I411" s="13" t="s">
        <v>252</v>
      </c>
    </row>
    <row r="412" spans="1:14" ht="18.75" customHeight="1" x14ac:dyDescent="0.25">
      <c r="A412" s="1"/>
      <c r="B412" s="11" t="s">
        <v>253</v>
      </c>
      <c r="C412" s="11"/>
      <c r="D412" s="11"/>
      <c r="E412" s="11"/>
      <c r="F412" s="11"/>
      <c r="G412" s="12" t="s">
        <v>254</v>
      </c>
      <c r="H412" s="34">
        <f>G115+G153</f>
        <v>4.0652897510499812</v>
      </c>
      <c r="I412" s="13" t="s">
        <v>252</v>
      </c>
    </row>
    <row r="413" spans="1:14" ht="18.75" customHeight="1" x14ac:dyDescent="0.25">
      <c r="A413" s="1"/>
      <c r="B413" s="11" t="s">
        <v>255</v>
      </c>
      <c r="C413" s="11"/>
      <c r="D413" s="11"/>
      <c r="E413" s="11"/>
      <c r="F413" s="11"/>
      <c r="G413" s="12" t="s">
        <v>256</v>
      </c>
      <c r="H413" s="34">
        <f>H411+H412</f>
        <v>5.092811761023265</v>
      </c>
      <c r="I413" s="13" t="s">
        <v>252</v>
      </c>
    </row>
    <row r="414" spans="1:14" ht="18.75" customHeight="1" x14ac:dyDescent="0.25">
      <c r="A414" s="5"/>
      <c r="I414" s="17"/>
    </row>
    <row r="415" spans="1:14" ht="18.75" customHeight="1" x14ac:dyDescent="0.25">
      <c r="A415" s="5"/>
      <c r="B415" s="11" t="s">
        <v>410</v>
      </c>
      <c r="G415" s="210">
        <f>ROUNDUP(IF(G115&lt;G153,IF(H379&lt;1,G115+H379,G115+H379/2),IF(H379&lt;1,G115,G115+0.5*H379)),0)</f>
        <v>3</v>
      </c>
      <c r="H415" s="209" t="str">
        <f>"D     "&amp;H404</f>
        <v>D     22</v>
      </c>
      <c r="I415" s="17"/>
      <c r="J415" s="243"/>
    </row>
    <row r="416" spans="1:14" ht="18.75" customHeight="1" x14ac:dyDescent="0.25">
      <c r="A416" s="5"/>
      <c r="B416" s="11" t="s">
        <v>411</v>
      </c>
      <c r="G416" s="210">
        <f>ROUNDUP(IF(G153&lt;G115,IF(H411&lt;1,G153+H411,G153+H411/2),IF(H411&lt;1,G153,G153+0.5*H411)),0)</f>
        <v>4</v>
      </c>
      <c r="H416" s="209" t="str">
        <f>"D     "&amp;H404</f>
        <v>D     22</v>
      </c>
      <c r="I416" s="17"/>
      <c r="J416" s="243"/>
    </row>
    <row r="417" spans="1:9" ht="18.75" customHeight="1" x14ac:dyDescent="0.25">
      <c r="A417" s="5"/>
      <c r="I417" s="17"/>
    </row>
    <row r="418" spans="1:9" ht="18.75" customHeight="1" x14ac:dyDescent="0.25">
      <c r="A418" s="5"/>
      <c r="B418" s="11" t="s">
        <v>362</v>
      </c>
      <c r="F418" s="128" t="s">
        <v>366</v>
      </c>
      <c r="G418" s="12"/>
      <c r="H418" s="12"/>
      <c r="I418" s="17"/>
    </row>
    <row r="419" spans="1:9" ht="18.75" customHeight="1" x14ac:dyDescent="0.25">
      <c r="A419" s="5"/>
      <c r="B419" s="204" t="s">
        <v>363</v>
      </c>
      <c r="C419" s="12" t="s">
        <v>356</v>
      </c>
      <c r="D419" s="34">
        <f>IF(G415&gt;$H$19,$H$19,G415)</f>
        <v>3</v>
      </c>
      <c r="E419" s="205" t="s">
        <v>52</v>
      </c>
      <c r="F419" s="204" t="s">
        <v>363</v>
      </c>
      <c r="G419" s="12" t="s">
        <v>359</v>
      </c>
      <c r="H419" s="34">
        <f>IF(G416&gt;$H$19,$H$19,G416)</f>
        <v>4</v>
      </c>
      <c r="I419" s="13" t="s">
        <v>52</v>
      </c>
    </row>
    <row r="420" spans="1:9" ht="18.75" customHeight="1" x14ac:dyDescent="0.25">
      <c r="A420" s="5"/>
      <c r="B420" s="204" t="s">
        <v>364</v>
      </c>
      <c r="C420" s="12" t="s">
        <v>357</v>
      </c>
      <c r="D420" s="34">
        <f>IF(G415&gt;$H$19,IF(G415-$H$19&lt;$H$19,G415-$H$19,$H$19),0)</f>
        <v>0</v>
      </c>
      <c r="E420" s="205" t="s">
        <v>52</v>
      </c>
      <c r="F420" s="204" t="s">
        <v>364</v>
      </c>
      <c r="G420" s="12" t="s">
        <v>360</v>
      </c>
      <c r="H420" s="34">
        <f>IF(G416&gt;$H$19,IF(G416-$H$19&lt;$H$19,G416-$H$19,$H$19),0)</f>
        <v>0</v>
      </c>
      <c r="I420" s="13" t="s">
        <v>52</v>
      </c>
    </row>
    <row r="421" spans="1:9" ht="18.75" customHeight="1" x14ac:dyDescent="0.25">
      <c r="A421" s="5"/>
      <c r="B421" s="204" t="s">
        <v>365</v>
      </c>
      <c r="C421" s="12" t="s">
        <v>358</v>
      </c>
      <c r="D421" s="34">
        <f>IF(G415&gt;2*$H$19,G415-2*$H$19,IF(G415&gt;2*H$19,G415-$H$19,0))</f>
        <v>0</v>
      </c>
      <c r="E421" s="205" t="s">
        <v>52</v>
      </c>
      <c r="F421" s="204" t="s">
        <v>365</v>
      </c>
      <c r="G421" s="12" t="s">
        <v>361</v>
      </c>
      <c r="H421" s="34">
        <f>IF(G416&gt;2*$H$19,G416-2*$H$19,IF(G416&gt;2*H$19,G416-H$19,0))</f>
        <v>0</v>
      </c>
      <c r="I421" s="13" t="s">
        <v>52</v>
      </c>
    </row>
    <row r="422" spans="1:9" ht="18.75" customHeight="1" x14ac:dyDescent="0.25">
      <c r="A422" s="5"/>
      <c r="I422" s="17"/>
    </row>
    <row r="423" spans="1:9" ht="18.75" customHeight="1" x14ac:dyDescent="0.25">
      <c r="A423" s="5"/>
      <c r="I423" s="17"/>
    </row>
    <row r="424" spans="1:9" ht="18.75" customHeight="1" x14ac:dyDescent="0.25">
      <c r="A424" s="5"/>
      <c r="I424" s="17"/>
    </row>
    <row r="425" spans="1:9" ht="18.75" customHeight="1" x14ac:dyDescent="0.25">
      <c r="A425" s="5"/>
      <c r="I425" s="17"/>
    </row>
    <row r="426" spans="1:9" ht="18.75" customHeight="1" x14ac:dyDescent="0.25">
      <c r="A426" s="5"/>
      <c r="I426" s="17"/>
    </row>
    <row r="427" spans="1:9" ht="18.75" customHeight="1" x14ac:dyDescent="0.25">
      <c r="A427" s="5"/>
      <c r="I427" s="17"/>
    </row>
    <row r="428" spans="1:9" ht="18.75" customHeight="1" x14ac:dyDescent="0.25">
      <c r="A428" s="5"/>
      <c r="I428" s="17"/>
    </row>
    <row r="429" spans="1:9" ht="18.75" customHeight="1" x14ac:dyDescent="0.25">
      <c r="A429" s="5"/>
      <c r="I429" s="17"/>
    </row>
    <row r="430" spans="1:9" ht="18.75" customHeight="1" x14ac:dyDescent="0.25">
      <c r="A430" s="5"/>
      <c r="I430" s="17"/>
    </row>
    <row r="431" spans="1:9" ht="18.75" customHeight="1" x14ac:dyDescent="0.25">
      <c r="A431" s="5"/>
      <c r="I431" s="17"/>
    </row>
    <row r="432" spans="1:9" ht="18.75" customHeight="1" x14ac:dyDescent="0.25">
      <c r="A432" s="5"/>
      <c r="I432" s="17"/>
    </row>
    <row r="433" spans="1:10" ht="18.75" customHeight="1" x14ac:dyDescent="0.25">
      <c r="A433" s="5"/>
      <c r="I433" s="17"/>
    </row>
    <row r="434" spans="1:10" ht="18.75" customHeight="1" x14ac:dyDescent="0.25">
      <c r="A434" s="5"/>
      <c r="I434" s="17"/>
    </row>
    <row r="435" spans="1:10" ht="18.75" customHeight="1" x14ac:dyDescent="0.25">
      <c r="A435" s="72"/>
      <c r="B435" s="97"/>
      <c r="C435" s="97"/>
      <c r="D435" s="97"/>
      <c r="E435" s="97"/>
      <c r="F435" s="112"/>
      <c r="G435" s="97"/>
      <c r="H435" s="97"/>
      <c r="I435" s="98"/>
    </row>
    <row r="436" spans="1:10" ht="18.75" customHeight="1" x14ac:dyDescent="0.25">
      <c r="A436" s="167" t="s">
        <v>313</v>
      </c>
      <c r="B436" s="6" t="s">
        <v>428</v>
      </c>
      <c r="C436" s="6"/>
      <c r="D436" s="6"/>
      <c r="E436" s="6"/>
      <c r="F436" s="6"/>
      <c r="G436" s="6"/>
      <c r="H436" s="6"/>
      <c r="I436" s="235"/>
    </row>
    <row r="437" spans="1:10" ht="18.75" customHeight="1" x14ac:dyDescent="0.25">
      <c r="A437" s="1"/>
      <c r="B437" s="11" t="s">
        <v>232</v>
      </c>
      <c r="C437" s="11"/>
      <c r="D437" s="11"/>
      <c r="E437" s="11"/>
      <c r="F437" s="11"/>
      <c r="G437" s="12" t="s">
        <v>233</v>
      </c>
      <c r="H437" s="65">
        <f>H299/H300+2*H361</f>
        <v>1.3095503407341857</v>
      </c>
      <c r="I437" s="13" t="s">
        <v>257</v>
      </c>
    </row>
    <row r="438" spans="1:10" ht="18.75" customHeight="1" x14ac:dyDescent="0.25">
      <c r="A438" s="1"/>
      <c r="B438" s="11" t="s">
        <v>187</v>
      </c>
      <c r="C438" s="11"/>
      <c r="D438" s="11"/>
      <c r="E438" s="11"/>
      <c r="F438" s="66">
        <f>IF(2*0.25*PI()*H438^2/H437&gt;125,2,IF(3*0.25*PI()*H438^2/H437&gt;125,3,IF(4*0.25*PI()*H438^2/H437&gt;125,4,"[ EROR ]")))</f>
        <v>2</v>
      </c>
      <c r="G438" s="67" t="s">
        <v>391</v>
      </c>
      <c r="H438" s="70">
        <f>H298</f>
        <v>12</v>
      </c>
      <c r="I438" s="13"/>
    </row>
    <row r="439" spans="1:10" ht="18.75" customHeight="1" x14ac:dyDescent="0.25">
      <c r="A439" s="1"/>
      <c r="B439" s="11" t="s">
        <v>234</v>
      </c>
      <c r="C439" s="11"/>
      <c r="D439" s="11"/>
      <c r="E439" s="11"/>
      <c r="F439" s="11"/>
      <c r="G439" s="12" t="s">
        <v>459</v>
      </c>
      <c r="H439" s="39">
        <f>F438*PI()/4*H438^2</f>
        <v>226.1946710584651</v>
      </c>
      <c r="I439" s="13" t="s">
        <v>33</v>
      </c>
    </row>
    <row r="440" spans="1:10" ht="18.75" customHeight="1" x14ac:dyDescent="0.25">
      <c r="A440" s="1"/>
      <c r="B440" s="11" t="s">
        <v>235</v>
      </c>
      <c r="C440" s="11"/>
      <c r="D440" s="11"/>
      <c r="E440" s="11"/>
      <c r="F440" s="11"/>
      <c r="G440" s="12" t="s">
        <v>236</v>
      </c>
      <c r="H440" s="68">
        <f>H439/H437</f>
        <v>172.72697659843411</v>
      </c>
      <c r="I440" s="13" t="s">
        <v>19</v>
      </c>
      <c r="J440" s="242" t="s">
        <v>444</v>
      </c>
    </row>
    <row r="441" spans="1:10" ht="18.75" customHeight="1" x14ac:dyDescent="0.25">
      <c r="A441" s="69"/>
      <c r="B441" s="11" t="s">
        <v>237</v>
      </c>
      <c r="C441" s="11"/>
      <c r="D441" s="11"/>
      <c r="E441" s="11"/>
      <c r="F441" s="11"/>
      <c r="G441" s="12" t="str">
        <f>IF((IF(C289="TERPENUHI",1,0)+IF(C290="TERPENUHI",1,0)+IF(C291="TERPENUHI",1,0))=1,"smax = d/2 =",IF(IF(C292="TERPENUHI",1,0)+IF(C294="TERPENUHI",1,0)=1,"smax = d/4 =","EROR"))</f>
        <v>smax = d/2 =</v>
      </c>
      <c r="H441" s="31">
        <f>IF((IF(C289="TERPENUHI",1,0)+IF(C290="TERPENUHI",1,0)+IF(C291="TERPENUHI",1,0))=1,H262/2,IF(IF(C292="TERPENUHI",1,0)+IF(C294="TERPENUHI",1,0)=1,H262/4,"EROR"))</f>
        <v>224</v>
      </c>
      <c r="I441" s="13" t="s">
        <v>19</v>
      </c>
    </row>
    <row r="442" spans="1:10" ht="18.75" customHeight="1" x14ac:dyDescent="0.25">
      <c r="A442" s="69"/>
      <c r="B442" s="11" t="s">
        <v>237</v>
      </c>
      <c r="C442" s="11"/>
      <c r="D442" s="11"/>
      <c r="E442" s="11"/>
      <c r="F442" s="11"/>
      <c r="G442" s="12" t="s">
        <v>238</v>
      </c>
      <c r="H442" s="31">
        <f>IF((IF(C289="TERPENUHI",1,0)+IF(C290="TERPENUHI",1,0)+IF(C291="TERPENUHI",1,0))=1,600,IF(IF(C292="TERPENUHI",1,0)+IF(C294="TERPENUHI",1,0)=1,300,"EROR"))</f>
        <v>600</v>
      </c>
      <c r="I442" s="13" t="s">
        <v>19</v>
      </c>
    </row>
    <row r="443" spans="1:10" ht="18.75" customHeight="1" x14ac:dyDescent="0.25">
      <c r="A443" s="1"/>
      <c r="B443" s="11" t="s">
        <v>239</v>
      </c>
      <c r="C443" s="11"/>
      <c r="D443" s="11"/>
      <c r="E443" s="11"/>
      <c r="F443" s="11"/>
      <c r="G443" s="12" t="s">
        <v>240</v>
      </c>
      <c r="H443" s="35">
        <f>IF(H338&gt;H353,H347/8,"-")</f>
        <v>154</v>
      </c>
      <c r="I443" s="13" t="s">
        <v>19</v>
      </c>
    </row>
    <row r="444" spans="1:10" ht="18.75" customHeight="1" x14ac:dyDescent="0.25">
      <c r="A444" s="69"/>
      <c r="B444" s="11" t="s">
        <v>241</v>
      </c>
      <c r="C444" s="11"/>
      <c r="D444" s="11"/>
      <c r="E444" s="11"/>
      <c r="F444" s="11"/>
      <c r="G444" s="12" t="s">
        <v>208</v>
      </c>
      <c r="H444" s="35">
        <f>ROUNDDOWN(MIN(H440:H443)/25,0)*25</f>
        <v>150</v>
      </c>
      <c r="I444" s="13" t="s">
        <v>19</v>
      </c>
    </row>
    <row r="445" spans="1:10" ht="18.75" customHeight="1" x14ac:dyDescent="0.25">
      <c r="A445" s="1"/>
      <c r="B445" s="11" t="s">
        <v>242</v>
      </c>
      <c r="C445" s="11"/>
      <c r="D445" s="11"/>
      <c r="F445" s="150">
        <f>F438</f>
        <v>2</v>
      </c>
      <c r="G445" s="151" t="str">
        <f>"D"&amp;H438</f>
        <v>D12</v>
      </c>
      <c r="H445" s="170">
        <f>H444</f>
        <v>150</v>
      </c>
      <c r="I445" s="13"/>
    </row>
    <row r="446" spans="1:10" ht="18.600000000000001" customHeight="1" x14ac:dyDescent="0.25">
      <c r="A446" s="1"/>
      <c r="B446" s="11"/>
      <c r="C446" s="11"/>
      <c r="D446" s="11"/>
      <c r="E446" s="11"/>
      <c r="F446" s="11"/>
      <c r="H446" s="11"/>
      <c r="I446" s="13"/>
    </row>
    <row r="447" spans="1:10" ht="18.75" customHeight="1" x14ac:dyDescent="0.25">
      <c r="A447" s="167" t="s">
        <v>313</v>
      </c>
      <c r="B447" s="6" t="s">
        <v>428</v>
      </c>
      <c r="C447" s="6"/>
      <c r="D447" s="6"/>
      <c r="E447" s="6"/>
      <c r="F447" s="6"/>
      <c r="G447" s="6"/>
      <c r="H447" s="6"/>
      <c r="I447" s="235"/>
    </row>
    <row r="448" spans="1:10" ht="18.75" customHeight="1" x14ac:dyDescent="0.25">
      <c r="A448" s="1"/>
      <c r="B448" s="11" t="s">
        <v>232</v>
      </c>
      <c r="C448" s="11"/>
      <c r="D448" s="11"/>
      <c r="E448" s="11"/>
      <c r="F448" s="11"/>
      <c r="G448" s="12" t="s">
        <v>233</v>
      </c>
      <c r="H448" s="65">
        <f>H333/H334+2*H361</f>
        <v>1.3095503407341857</v>
      </c>
      <c r="I448" s="13" t="s">
        <v>257</v>
      </c>
    </row>
    <row r="449" spans="1:10" ht="18.75" customHeight="1" x14ac:dyDescent="0.25">
      <c r="A449" s="1"/>
      <c r="B449" s="11" t="s">
        <v>187</v>
      </c>
      <c r="C449" s="11"/>
      <c r="D449" s="11"/>
      <c r="E449" s="11"/>
      <c r="F449" s="66">
        <f>IF(2*0.25*PI()*H449^2/H448&gt;125,2,IF(3*0.25*PI()*H449^2/H448&gt;125,3,IF(4*0.25*PI()*H449^2/H448&gt;125,4,"[ EROR ]")))</f>
        <v>2</v>
      </c>
      <c r="G449" s="67" t="s">
        <v>391</v>
      </c>
      <c r="H449" s="70">
        <f>Input!H23</f>
        <v>12</v>
      </c>
      <c r="I449" s="13"/>
    </row>
    <row r="450" spans="1:10" ht="18.75" customHeight="1" x14ac:dyDescent="0.25">
      <c r="A450" s="1"/>
      <c r="B450" s="11" t="s">
        <v>234</v>
      </c>
      <c r="C450" s="11"/>
      <c r="D450" s="11"/>
      <c r="E450" s="11"/>
      <c r="F450" s="11"/>
      <c r="G450" s="12" t="s">
        <v>459</v>
      </c>
      <c r="H450" s="39">
        <f>F449*PI()/4*H449^2</f>
        <v>226.1946710584651</v>
      </c>
      <c r="I450" s="13" t="s">
        <v>33</v>
      </c>
    </row>
    <row r="451" spans="1:10" ht="18.75" customHeight="1" x14ac:dyDescent="0.25">
      <c r="A451" s="1"/>
      <c r="B451" s="11" t="s">
        <v>235</v>
      </c>
      <c r="C451" s="11"/>
      <c r="D451" s="11"/>
      <c r="E451" s="11"/>
      <c r="F451" s="11"/>
      <c r="G451" s="12" t="s">
        <v>236</v>
      </c>
      <c r="H451" s="68">
        <f>H450/H448</f>
        <v>172.72697659843411</v>
      </c>
      <c r="I451" s="13" t="s">
        <v>19</v>
      </c>
      <c r="J451" s="242" t="s">
        <v>444</v>
      </c>
    </row>
    <row r="452" spans="1:10" ht="18.75" customHeight="1" x14ac:dyDescent="0.25">
      <c r="A452" s="69"/>
      <c r="B452" s="11" t="s">
        <v>237</v>
      </c>
      <c r="C452" s="11"/>
      <c r="D452" s="11"/>
      <c r="E452" s="11"/>
      <c r="F452" s="11"/>
      <c r="G452" s="12" t="str">
        <f>IF((IF(C323="TERPENUHI",1,0)+IF(C324="TERPENUHI",1,0)+IF(C325="TERPENUHI",1,0))=1,"smax = d/2 =",IF(IF(C326="TERPENUHI",1,0)+IF(C328="TERPENUHI",1,0)=1,"smax = d/4 =","EROR"))</f>
        <v>smax = d/2 =</v>
      </c>
      <c r="H452" s="31">
        <f>IF((IF(C323="TERPENUHI",1,0)+IF(C324="TERPENUHI",1,0)+IF(C325="TERPENUHI",1,0))=1,$H$262/2,IF(IF(C326="TERPENUHI",1,0)+IF(C328="TERPENUHI",1,0)=1,$H$262/4,"EROR"))</f>
        <v>224</v>
      </c>
      <c r="I452" s="13" t="s">
        <v>19</v>
      </c>
    </row>
    <row r="453" spans="1:10" ht="18.75" customHeight="1" x14ac:dyDescent="0.25">
      <c r="A453" s="69"/>
      <c r="B453" s="11" t="s">
        <v>237</v>
      </c>
      <c r="C453" s="11"/>
      <c r="D453" s="11"/>
      <c r="E453" s="11"/>
      <c r="F453" s="11"/>
      <c r="G453" s="12" t="s">
        <v>238</v>
      </c>
      <c r="H453" s="31">
        <f>IF((IF(C323="TERPENUHI",1,0)+IF(C324="TERPENUHI",1,0)+IF(C325="TERPENUHI",1,0))=1,600,IF(IF(C326="TERPENUHI",1,0)+IF(C328="TERPENUHI",1,0)=1,300,"EROR"))</f>
        <v>600</v>
      </c>
      <c r="I453" s="13" t="s">
        <v>19</v>
      </c>
    </row>
    <row r="454" spans="1:10" ht="18.75" customHeight="1" x14ac:dyDescent="0.25">
      <c r="A454" s="1"/>
      <c r="B454" s="11" t="s">
        <v>239</v>
      </c>
      <c r="C454" s="11"/>
      <c r="D454" s="11"/>
      <c r="E454" s="11"/>
      <c r="F454" s="11"/>
      <c r="G454" s="12" t="s">
        <v>240</v>
      </c>
      <c r="H454" s="35">
        <f>IF(H338&gt;H353,H347/8,"-")</f>
        <v>154</v>
      </c>
      <c r="I454" s="13" t="s">
        <v>19</v>
      </c>
    </row>
    <row r="455" spans="1:10" ht="18.75" customHeight="1" x14ac:dyDescent="0.25">
      <c r="A455" s="69"/>
      <c r="B455" s="11" t="s">
        <v>241</v>
      </c>
      <c r="C455" s="11"/>
      <c r="D455" s="11"/>
      <c r="E455" s="11"/>
      <c r="F455" s="11"/>
      <c r="G455" s="12" t="s">
        <v>208</v>
      </c>
      <c r="H455" s="35">
        <f>ROUNDDOWN(MIN(H451:H454)/25,0)*25</f>
        <v>150</v>
      </c>
      <c r="I455" s="13" t="s">
        <v>19</v>
      </c>
    </row>
    <row r="456" spans="1:10" ht="18.75" customHeight="1" x14ac:dyDescent="0.25">
      <c r="A456" s="1"/>
      <c r="B456" s="11" t="s">
        <v>242</v>
      </c>
      <c r="C456" s="11"/>
      <c r="D456" s="11"/>
      <c r="F456" s="150">
        <f>F449</f>
        <v>2</v>
      </c>
      <c r="G456" s="151" t="str">
        <f>"D"&amp;H449</f>
        <v>D12</v>
      </c>
      <c r="H456" s="170">
        <f>H455</f>
        <v>150</v>
      </c>
      <c r="I456" s="13"/>
    </row>
    <row r="457" spans="1:10" ht="18.75" customHeight="1" x14ac:dyDescent="0.25">
      <c r="A457" s="1"/>
      <c r="I457" s="13"/>
    </row>
    <row r="458" spans="1:10" ht="18.75" customHeight="1" x14ac:dyDescent="0.25">
      <c r="A458" s="1"/>
      <c r="I458" s="13"/>
    </row>
    <row r="459" spans="1:10" ht="18.75" customHeight="1" x14ac:dyDescent="0.25">
      <c r="A459" s="1"/>
      <c r="I459" s="13"/>
    </row>
    <row r="460" spans="1:10" ht="18.75" customHeight="1" x14ac:dyDescent="0.25">
      <c r="A460" s="1"/>
      <c r="I460" s="13"/>
    </row>
    <row r="461" spans="1:10" ht="18.75" customHeight="1" x14ac:dyDescent="0.25">
      <c r="A461" s="1"/>
      <c r="I461" s="13"/>
    </row>
    <row r="462" spans="1:10" ht="18.75" customHeight="1" x14ac:dyDescent="0.25">
      <c r="A462" s="1"/>
      <c r="I462" s="13"/>
    </row>
    <row r="463" spans="1:10" ht="18.75" customHeight="1" x14ac:dyDescent="0.25">
      <c r="A463" s="1"/>
      <c r="I463" s="13"/>
    </row>
    <row r="464" spans="1:10" ht="18.75" customHeight="1" x14ac:dyDescent="0.25">
      <c r="A464" s="1"/>
      <c r="I464" s="13"/>
    </row>
    <row r="465" spans="1:9" ht="18.75" customHeight="1" x14ac:dyDescent="0.25">
      <c r="A465" s="1"/>
      <c r="I465" s="13"/>
    </row>
    <row r="466" spans="1:9" ht="18.75" customHeight="1" x14ac:dyDescent="0.25">
      <c r="A466" s="1"/>
      <c r="I466" s="13"/>
    </row>
    <row r="467" spans="1:9" ht="18.75" customHeight="1" x14ac:dyDescent="0.25">
      <c r="A467" s="1"/>
      <c r="I467" s="13"/>
    </row>
    <row r="468" spans="1:9" ht="18.75" customHeight="1" x14ac:dyDescent="0.25">
      <c r="A468" s="1"/>
      <c r="I468" s="13"/>
    </row>
    <row r="469" spans="1:9" ht="18.75" customHeight="1" x14ac:dyDescent="0.25">
      <c r="A469" s="1"/>
      <c r="I469" s="13"/>
    </row>
    <row r="470" spans="1:9" ht="18.75" customHeight="1" x14ac:dyDescent="0.25">
      <c r="A470" s="1"/>
      <c r="I470" s="13"/>
    </row>
    <row r="471" spans="1:9" ht="18.75" customHeight="1" x14ac:dyDescent="0.25">
      <c r="A471" s="1"/>
      <c r="I471" s="13"/>
    </row>
    <row r="472" spans="1:9" ht="18.75" customHeight="1" x14ac:dyDescent="0.25">
      <c r="A472" s="1"/>
      <c r="I472" s="13"/>
    </row>
    <row r="473" spans="1:9" ht="18.75" customHeight="1" x14ac:dyDescent="0.25">
      <c r="A473" s="1"/>
      <c r="I473" s="13"/>
    </row>
    <row r="474" spans="1:9" ht="18.75" customHeight="1" x14ac:dyDescent="0.25">
      <c r="A474" s="1"/>
      <c r="I474" s="13"/>
    </row>
    <row r="475" spans="1:9" ht="18.75" customHeight="1" x14ac:dyDescent="0.25">
      <c r="A475" s="1"/>
      <c r="I475" s="13"/>
    </row>
    <row r="476" spans="1:9" ht="18.75" customHeight="1" x14ac:dyDescent="0.25">
      <c r="A476" s="1"/>
      <c r="I476" s="13"/>
    </row>
    <row r="477" spans="1:9" ht="18.75" customHeight="1" x14ac:dyDescent="0.25">
      <c r="A477" s="1"/>
      <c r="I477" s="13"/>
    </row>
    <row r="478" spans="1:9" ht="18.75" customHeight="1" x14ac:dyDescent="0.25">
      <c r="A478" s="1"/>
      <c r="I478" s="13"/>
    </row>
    <row r="479" spans="1:9" ht="18.75" customHeight="1" x14ac:dyDescent="0.25">
      <c r="A479" s="1"/>
      <c r="I479" s="13"/>
    </row>
    <row r="480" spans="1:9" ht="18.75" customHeight="1" x14ac:dyDescent="0.25">
      <c r="A480" s="1"/>
      <c r="I480" s="13"/>
    </row>
    <row r="481" spans="1:9" ht="18.75" customHeight="1" x14ac:dyDescent="0.25">
      <c r="A481" s="238"/>
      <c r="B481" s="20"/>
      <c r="C481" s="20"/>
      <c r="D481" s="21"/>
      <c r="E481" s="22"/>
      <c r="F481" s="23"/>
      <c r="G481" s="22"/>
      <c r="H481" s="24"/>
      <c r="I481" s="240"/>
    </row>
  </sheetData>
  <mergeCells count="38">
    <mergeCell ref="D328:F328"/>
    <mergeCell ref="B317:C318"/>
    <mergeCell ref="D317:H317"/>
    <mergeCell ref="B321:B322"/>
    <mergeCell ref="C321:C322"/>
    <mergeCell ref="D321:D322"/>
    <mergeCell ref="E321:F321"/>
    <mergeCell ref="B311:C312"/>
    <mergeCell ref="D311:H311"/>
    <mergeCell ref="B313:C314"/>
    <mergeCell ref="D313:H313"/>
    <mergeCell ref="B315:C316"/>
    <mergeCell ref="D315:H315"/>
    <mergeCell ref="B277:C278"/>
    <mergeCell ref="D277:H277"/>
    <mergeCell ref="D275:H275"/>
    <mergeCell ref="D273:H273"/>
    <mergeCell ref="B1:F1"/>
    <mergeCell ref="H186:I186"/>
    <mergeCell ref="H227:I227"/>
    <mergeCell ref="B273:C274"/>
    <mergeCell ref="B275:C276"/>
    <mergeCell ref="B356:H356"/>
    <mergeCell ref="B279:C280"/>
    <mergeCell ref="B281:C282"/>
    <mergeCell ref="B283:C284"/>
    <mergeCell ref="D283:H283"/>
    <mergeCell ref="D281:H281"/>
    <mergeCell ref="D279:H279"/>
    <mergeCell ref="B287:B288"/>
    <mergeCell ref="C287:C288"/>
    <mergeCell ref="D287:D288"/>
    <mergeCell ref="E287:F287"/>
    <mergeCell ref="D294:F294"/>
    <mergeCell ref="B307:C308"/>
    <mergeCell ref="D307:H307"/>
    <mergeCell ref="B309:C310"/>
    <mergeCell ref="D309:H309"/>
  </mergeCells>
  <pageMargins left="0.7" right="0.7" top="0.75" bottom="0.75" header="0.3" footer="0.3"/>
  <pageSetup paperSize="9" orientation="portrait" horizontalDpi="4294967293" r:id="rId1"/>
  <ignoredErrors>
    <ignoredError sqref="F282 E284 E109" formula="1"/>
    <ignoredError sqref="G186 G227" evalError="1"/>
    <ignoredError sqref="H438 H440 F43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93F7A-02A5-4A82-97E1-06CF2C6BEA6D}">
  <sheetPr>
    <tabColor theme="8" tint="-0.499984740745262"/>
  </sheetPr>
  <dimension ref="B1:M39"/>
  <sheetViews>
    <sheetView showGridLines="0" zoomScaleNormal="100" workbookViewId="0">
      <selection activeCell="H38" sqref="H38"/>
    </sheetView>
  </sheetViews>
  <sheetFormatPr defaultColWidth="9.140625" defaultRowHeight="18.75" customHeight="1" x14ac:dyDescent="0.25"/>
  <cols>
    <col min="1" max="1" width="9.140625" style="99"/>
    <col min="2" max="2" width="4.5703125" style="99" customWidth="1"/>
    <col min="3" max="9" width="9.140625" style="99"/>
    <col min="10" max="10" width="4.5703125" style="99" customWidth="1"/>
    <col min="11" max="16384" width="9.140625" style="99"/>
  </cols>
  <sheetData>
    <row r="1" spans="2:10" ht="18.75" customHeight="1" thickBot="1" x14ac:dyDescent="0.3"/>
    <row r="2" spans="2:10" ht="18.75" customHeight="1" x14ac:dyDescent="0.25">
      <c r="B2" s="115"/>
      <c r="C2" s="116"/>
      <c r="D2" s="116"/>
      <c r="E2" s="116"/>
      <c r="F2" s="116"/>
      <c r="G2" s="116"/>
      <c r="H2" s="116"/>
      <c r="I2" s="116"/>
      <c r="J2" s="117"/>
    </row>
    <row r="3" spans="2:10" ht="18.75" customHeight="1" x14ac:dyDescent="0.25">
      <c r="B3" s="118"/>
      <c r="C3" s="119" t="s">
        <v>270</v>
      </c>
      <c r="J3" s="120"/>
    </row>
    <row r="4" spans="2:10" ht="18.75" customHeight="1" x14ac:dyDescent="0.25">
      <c r="B4" s="118"/>
      <c r="C4" s="125" t="s">
        <v>271</v>
      </c>
      <c r="G4" s="100"/>
      <c r="H4" s="124">
        <f>Input!H21</f>
        <v>500</v>
      </c>
      <c r="I4" s="102" t="s">
        <v>19</v>
      </c>
      <c r="J4" s="120"/>
    </row>
    <row r="5" spans="2:10" ht="18.75" customHeight="1" x14ac:dyDescent="0.25">
      <c r="B5" s="118"/>
      <c r="C5" s="125" t="s">
        <v>272</v>
      </c>
      <c r="G5" s="100"/>
      <c r="H5" s="124">
        <f>Input!H20</f>
        <v>300</v>
      </c>
      <c r="I5" s="102" t="s">
        <v>19</v>
      </c>
      <c r="J5" s="120"/>
    </row>
    <row r="6" spans="2:10" ht="18.75" customHeight="1" x14ac:dyDescent="0.25">
      <c r="B6" s="118"/>
      <c r="C6" s="125" t="s">
        <v>465</v>
      </c>
      <c r="G6" s="100"/>
      <c r="H6" s="124">
        <f>Input!H25</f>
        <v>40</v>
      </c>
      <c r="I6" s="102" t="s">
        <v>19</v>
      </c>
      <c r="J6" s="120"/>
    </row>
    <row r="7" spans="2:10" ht="18.75" customHeight="1" x14ac:dyDescent="0.25">
      <c r="B7" s="118"/>
      <c r="C7" s="125" t="s">
        <v>466</v>
      </c>
      <c r="J7" s="120"/>
    </row>
    <row r="8" spans="2:10" ht="18.75" customHeight="1" x14ac:dyDescent="0.25">
      <c r="B8" s="118"/>
      <c r="C8" s="126" t="s">
        <v>259</v>
      </c>
      <c r="G8" s="100"/>
      <c r="H8" s="101">
        <f>Process!G383</f>
        <v>4</v>
      </c>
      <c r="I8" s="104" t="str">
        <f>Process!H383</f>
        <v>D     22</v>
      </c>
      <c r="J8" s="120"/>
    </row>
    <row r="9" spans="2:10" ht="18.75" customHeight="1" x14ac:dyDescent="0.25">
      <c r="B9" s="118"/>
      <c r="C9" s="126" t="s">
        <v>260</v>
      </c>
      <c r="G9" s="100"/>
      <c r="H9" s="101">
        <f>Process!G384</f>
        <v>3</v>
      </c>
      <c r="I9" s="104" t="str">
        <f>Process!H384</f>
        <v>D     22</v>
      </c>
      <c r="J9" s="120"/>
    </row>
    <row r="10" spans="2:10" ht="18.75" customHeight="1" x14ac:dyDescent="0.25">
      <c r="B10" s="118"/>
      <c r="C10" s="126" t="s">
        <v>464</v>
      </c>
      <c r="G10" s="100"/>
      <c r="H10" s="103">
        <f>Process!H375</f>
        <v>2</v>
      </c>
      <c r="I10" s="104" t="str">
        <f>"D     "&amp;Process!H374</f>
        <v>D     13</v>
      </c>
      <c r="J10" s="120"/>
    </row>
    <row r="11" spans="2:10" ht="18.75" customHeight="1" x14ac:dyDescent="0.25">
      <c r="B11" s="118"/>
      <c r="C11" s="126" t="s">
        <v>261</v>
      </c>
      <c r="G11" s="100">
        <f>Process!F445</f>
        <v>2</v>
      </c>
      <c r="H11" s="105" t="str">
        <f>Process!G445</f>
        <v>D12</v>
      </c>
      <c r="I11" s="104">
        <f>Process!H445</f>
        <v>150</v>
      </c>
      <c r="J11" s="120"/>
    </row>
    <row r="12" spans="2:10" ht="18.75" customHeight="1" x14ac:dyDescent="0.25">
      <c r="B12" s="118"/>
      <c r="C12" s="126"/>
      <c r="H12" s="165"/>
      <c r="I12" s="245"/>
      <c r="J12" s="120"/>
    </row>
    <row r="13" spans="2:10" ht="18.75" customHeight="1" x14ac:dyDescent="0.25">
      <c r="B13" s="118"/>
      <c r="C13" s="125" t="s">
        <v>467</v>
      </c>
      <c r="J13" s="120"/>
    </row>
    <row r="14" spans="2:10" ht="18.75" customHeight="1" x14ac:dyDescent="0.25">
      <c r="B14" s="118"/>
      <c r="C14" s="126" t="s">
        <v>259</v>
      </c>
      <c r="G14" s="100"/>
      <c r="H14" s="101">
        <f>Process!G415</f>
        <v>3</v>
      </c>
      <c r="I14" s="105" t="str">
        <f>Process!H415</f>
        <v>D     22</v>
      </c>
      <c r="J14" s="120"/>
    </row>
    <row r="15" spans="2:10" ht="18.75" customHeight="1" x14ac:dyDescent="0.25">
      <c r="B15" s="118"/>
      <c r="C15" s="126" t="s">
        <v>260</v>
      </c>
      <c r="G15" s="100"/>
      <c r="H15" s="101">
        <f>Process!G416</f>
        <v>4</v>
      </c>
      <c r="I15" s="105" t="str">
        <f>Process!H416</f>
        <v>D     22</v>
      </c>
      <c r="J15" s="120"/>
    </row>
    <row r="16" spans="2:10" ht="18.75" customHeight="1" x14ac:dyDescent="0.25">
      <c r="B16" s="118"/>
      <c r="C16" s="126" t="s">
        <v>464</v>
      </c>
      <c r="G16" s="100"/>
      <c r="H16" s="103">
        <f>Process!H407</f>
        <v>2</v>
      </c>
      <c r="I16" s="104" t="str">
        <f>"D     "&amp;Process!H406</f>
        <v>D     13</v>
      </c>
      <c r="J16" s="120"/>
    </row>
    <row r="17" spans="2:13" ht="18.75" customHeight="1" x14ac:dyDescent="0.25">
      <c r="B17" s="118"/>
      <c r="C17" s="126" t="s">
        <v>261</v>
      </c>
      <c r="G17" s="100">
        <f>Process!F456</f>
        <v>2</v>
      </c>
      <c r="H17" s="105" t="str">
        <f>Process!G456</f>
        <v>D12</v>
      </c>
      <c r="I17" s="104">
        <f>Process!H456</f>
        <v>150</v>
      </c>
      <c r="J17" s="120"/>
    </row>
    <row r="18" spans="2:13" ht="18.75" customHeight="1" x14ac:dyDescent="0.25">
      <c r="B18" s="118"/>
      <c r="J18" s="120"/>
    </row>
    <row r="19" spans="2:13" ht="18.75" customHeight="1" x14ac:dyDescent="0.25">
      <c r="B19" s="118"/>
      <c r="C19" s="119" t="s">
        <v>262</v>
      </c>
      <c r="J19" s="120"/>
    </row>
    <row r="20" spans="2:13" ht="18.75" customHeight="1" x14ac:dyDescent="0.25">
      <c r="B20" s="118"/>
      <c r="C20" s="246" t="s">
        <v>468</v>
      </c>
      <c r="J20" s="120"/>
    </row>
    <row r="21" spans="2:13" ht="18.75" customHeight="1" x14ac:dyDescent="0.25">
      <c r="B21" s="118"/>
      <c r="C21" s="247" t="s">
        <v>473</v>
      </c>
      <c r="J21" s="120"/>
    </row>
    <row r="22" spans="2:13" ht="18.75" customHeight="1" x14ac:dyDescent="0.25">
      <c r="B22" s="118"/>
      <c r="C22" s="247"/>
      <c r="D22" s="304" t="s">
        <v>73</v>
      </c>
      <c r="E22" s="111"/>
      <c r="F22" s="108" t="s">
        <v>471</v>
      </c>
      <c r="G22" s="107" t="s">
        <v>159</v>
      </c>
      <c r="H22" s="108" t="s">
        <v>134</v>
      </c>
      <c r="I22" s="109"/>
      <c r="J22" s="120"/>
      <c r="K22" s="14"/>
      <c r="L22" s="14"/>
      <c r="M22" s="14"/>
    </row>
    <row r="23" spans="2:13" ht="18.75" customHeight="1" x14ac:dyDescent="0.25">
      <c r="B23" s="118"/>
      <c r="C23" s="247"/>
      <c r="D23" s="305"/>
      <c r="E23" s="112"/>
      <c r="F23" s="113">
        <f>Process!F216</f>
        <v>143.04</v>
      </c>
      <c r="G23" s="110" t="str">
        <f>IF(F23&lt;=H23,"≤","&gt;")</f>
        <v>≤</v>
      </c>
      <c r="H23" s="113">
        <f>Process!D216</f>
        <v>151.42463456741166</v>
      </c>
      <c r="I23" s="114" t="str">
        <f>IF(F23&lt;=H23,"[ OK ]","[ NOT OK ]")</f>
        <v>[ OK ]</v>
      </c>
      <c r="J23" s="120"/>
    </row>
    <row r="24" spans="2:13" ht="18.75" customHeight="1" x14ac:dyDescent="0.25">
      <c r="B24" s="118"/>
      <c r="C24" s="247" t="s">
        <v>266</v>
      </c>
      <c r="J24" s="120"/>
    </row>
    <row r="25" spans="2:13" ht="18.75" customHeight="1" x14ac:dyDescent="0.25">
      <c r="B25" s="118"/>
      <c r="C25" s="247"/>
      <c r="D25" s="304" t="s">
        <v>73</v>
      </c>
      <c r="E25" s="111"/>
      <c r="F25" s="108" t="s">
        <v>158</v>
      </c>
      <c r="G25" s="107" t="s">
        <v>159</v>
      </c>
      <c r="H25" s="108" t="s">
        <v>267</v>
      </c>
      <c r="I25" s="109"/>
      <c r="J25" s="120"/>
    </row>
    <row r="26" spans="2:13" ht="18.75" customHeight="1" x14ac:dyDescent="0.25">
      <c r="B26" s="118"/>
      <c r="C26" s="247"/>
      <c r="D26" s="305"/>
      <c r="E26" s="112"/>
      <c r="F26" s="113">
        <f>Process!H270</f>
        <v>68.42</v>
      </c>
      <c r="G26" s="110" t="str">
        <f>IF(F26&lt;=H26,"≤","&gt;")</f>
        <v>≤</v>
      </c>
      <c r="H26" s="113">
        <f>Process!H261*(Process!H265+Process!H297)</f>
        <v>126.52391078369338</v>
      </c>
      <c r="I26" s="114" t="str">
        <f>IF(F26&lt;=H26,"[ OK ]","[ NOT OK ]")</f>
        <v>[ OK ]</v>
      </c>
      <c r="J26" s="120"/>
    </row>
    <row r="27" spans="2:13" ht="18.75" customHeight="1" x14ac:dyDescent="0.25">
      <c r="B27" s="118"/>
      <c r="D27" s="165"/>
      <c r="F27" s="248"/>
      <c r="G27" s="165"/>
      <c r="H27" s="248"/>
      <c r="I27" s="143"/>
      <c r="J27" s="120"/>
    </row>
    <row r="28" spans="2:13" ht="18.75" customHeight="1" x14ac:dyDescent="0.25">
      <c r="B28" s="118"/>
      <c r="C28" s="246" t="s">
        <v>469</v>
      </c>
      <c r="J28" s="120"/>
    </row>
    <row r="29" spans="2:13" ht="18.75" customHeight="1" x14ac:dyDescent="0.25">
      <c r="B29" s="118"/>
      <c r="C29" s="247" t="s">
        <v>474</v>
      </c>
      <c r="J29" s="120"/>
      <c r="L29" s="106"/>
    </row>
    <row r="30" spans="2:13" ht="18.75" customHeight="1" x14ac:dyDescent="0.25">
      <c r="B30" s="118"/>
      <c r="C30" s="247"/>
      <c r="D30" s="304" t="s">
        <v>73</v>
      </c>
      <c r="E30" s="111"/>
      <c r="F30" s="108" t="s">
        <v>472</v>
      </c>
      <c r="G30" s="107" t="s">
        <v>159</v>
      </c>
      <c r="H30" s="108" t="s">
        <v>134</v>
      </c>
      <c r="I30" s="109"/>
      <c r="J30" s="120"/>
    </row>
    <row r="31" spans="2:13" ht="18.75" customHeight="1" x14ac:dyDescent="0.25">
      <c r="B31" s="118"/>
      <c r="C31" s="247"/>
      <c r="D31" s="305"/>
      <c r="E31" s="112"/>
      <c r="F31" s="113">
        <f>Process!F257</f>
        <v>143.04</v>
      </c>
      <c r="G31" s="110" t="str">
        <f>IF(F31&lt;=H31,"≤","&gt;")</f>
        <v>≤</v>
      </c>
      <c r="H31" s="113">
        <f>Process!D257</f>
        <v>151.42463456741163</v>
      </c>
      <c r="I31" s="114" t="str">
        <f>IF(F31&lt;=H31,"[ OK ]","[ NOT OK ]")</f>
        <v>[ OK ]</v>
      </c>
      <c r="J31" s="120"/>
    </row>
    <row r="32" spans="2:13" ht="18.75" customHeight="1" x14ac:dyDescent="0.25">
      <c r="B32" s="118"/>
      <c r="C32" s="247" t="s">
        <v>266</v>
      </c>
      <c r="J32" s="120"/>
    </row>
    <row r="33" spans="2:10" ht="18.75" customHeight="1" x14ac:dyDescent="0.25">
      <c r="B33" s="118"/>
      <c r="C33" s="247"/>
      <c r="D33" s="304" t="s">
        <v>73</v>
      </c>
      <c r="E33" s="111"/>
      <c r="F33" s="108" t="s">
        <v>158</v>
      </c>
      <c r="G33" s="107" t="s">
        <v>159</v>
      </c>
      <c r="H33" s="108" t="s">
        <v>267</v>
      </c>
      <c r="I33" s="109"/>
      <c r="J33" s="120"/>
    </row>
    <row r="34" spans="2:10" ht="18.75" customHeight="1" x14ac:dyDescent="0.25">
      <c r="B34" s="118"/>
      <c r="C34" s="247"/>
      <c r="D34" s="305"/>
      <c r="E34" s="112"/>
      <c r="F34" s="113">
        <f>Process!H304</f>
        <v>47.26</v>
      </c>
      <c r="G34" s="110" t="str">
        <f>IF(F34&lt;=H34,"≤","&gt;")</f>
        <v>≤</v>
      </c>
      <c r="H34" s="113">
        <f>Process!H261*(Process!H265+Process!H331)</f>
        <v>126.52391078369338</v>
      </c>
      <c r="I34" s="114" t="str">
        <f>IF(F34&lt;=H34,"[ OK ]","[ NOT OK ]")</f>
        <v>[ OK ]</v>
      </c>
      <c r="J34" s="120"/>
    </row>
    <row r="35" spans="2:10" ht="18.75" customHeight="1" x14ac:dyDescent="0.25">
      <c r="B35" s="118"/>
      <c r="C35" s="247"/>
      <c r="D35" s="165"/>
      <c r="F35" s="248"/>
      <c r="G35" s="165"/>
      <c r="H35" s="248"/>
      <c r="I35" s="143"/>
      <c r="J35" s="120"/>
    </row>
    <row r="36" spans="2:10" ht="18.75" customHeight="1" x14ac:dyDescent="0.25">
      <c r="B36" s="118"/>
      <c r="C36" s="125" t="s">
        <v>276</v>
      </c>
      <c r="J36" s="120"/>
    </row>
    <row r="37" spans="2:10" ht="18.75" customHeight="1" x14ac:dyDescent="0.25">
      <c r="B37" s="118"/>
      <c r="C37" s="304" t="s">
        <v>73</v>
      </c>
      <c r="D37" s="111"/>
      <c r="E37" s="111"/>
      <c r="F37" s="108" t="s">
        <v>268</v>
      </c>
      <c r="G37" s="107" t="s">
        <v>159</v>
      </c>
      <c r="H37" s="108" t="s">
        <v>269</v>
      </c>
      <c r="I37" s="109"/>
      <c r="J37" s="120"/>
    </row>
    <row r="38" spans="2:10" ht="18.75" customHeight="1" x14ac:dyDescent="0.25">
      <c r="B38" s="118"/>
      <c r="C38" s="305"/>
      <c r="D38" s="112"/>
      <c r="E38" s="112"/>
      <c r="F38" s="113">
        <f>Process!H338</f>
        <v>24.2</v>
      </c>
      <c r="G38" s="110" t="str">
        <f>IF(F38&lt;=H38,"≤","&gt;")</f>
        <v>≤</v>
      </c>
      <c r="H38" s="113">
        <f>IF(Process!G354="Torsi boleh diabaikan","diabaikan",Process!H339*Process!H361*2*Process!H344*Process!H341/1000^2)</f>
        <v>28.470588235294116</v>
      </c>
      <c r="I38" s="114" t="str">
        <f>IF(F38&lt;=H38,"[ OK ]","[ NOT OK ]")</f>
        <v>[ OK ]</v>
      </c>
      <c r="J38" s="120"/>
    </row>
    <row r="39" spans="2:10" ht="18.75" customHeight="1" thickBot="1" x14ac:dyDescent="0.3">
      <c r="B39" s="121"/>
      <c r="C39" s="122"/>
      <c r="D39" s="122"/>
      <c r="E39" s="122"/>
      <c r="F39" s="122"/>
      <c r="G39" s="122"/>
      <c r="H39" s="122"/>
      <c r="I39" s="122"/>
      <c r="J39" s="123"/>
    </row>
  </sheetData>
  <mergeCells count="5">
    <mergeCell ref="D33:D34"/>
    <mergeCell ref="D22:D23"/>
    <mergeCell ref="D30:D31"/>
    <mergeCell ref="D25:D26"/>
    <mergeCell ref="C37:C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D47C-C6E2-420F-BB44-856BCDF0F892}">
  <sheetPr>
    <tabColor theme="4"/>
  </sheetPr>
  <dimension ref="A1:L584"/>
  <sheetViews>
    <sheetView showGridLines="0" view="pageLayout" zoomScaleNormal="100" zoomScaleSheetLayoutView="100" workbookViewId="0">
      <selection activeCell="H297" sqref="H297:I297"/>
    </sheetView>
  </sheetViews>
  <sheetFormatPr defaultColWidth="9.140625" defaultRowHeight="18.75" customHeight="1" x14ac:dyDescent="0.25"/>
  <cols>
    <col min="1" max="1" width="4.42578125" style="119" bestFit="1" customWidth="1"/>
    <col min="2" max="8" width="10.28515625" style="99" customWidth="1"/>
    <col min="9" max="9" width="9.85546875" style="99" customWidth="1"/>
    <col min="10" max="16384" width="9.140625" style="99"/>
  </cols>
  <sheetData>
    <row r="1" spans="1:9" ht="18.75" customHeight="1" x14ac:dyDescent="0.25">
      <c r="A1" s="314" t="s">
        <v>283</v>
      </c>
      <c r="B1" s="314"/>
      <c r="C1" s="314"/>
      <c r="D1" s="314"/>
      <c r="E1" s="314"/>
      <c r="F1" s="314"/>
      <c r="G1" s="314"/>
      <c r="H1" s="314"/>
      <c r="I1" s="314"/>
    </row>
    <row r="2" spans="1:9" ht="18.75" customHeight="1" x14ac:dyDescent="0.25">
      <c r="D2" s="143"/>
      <c r="E2" s="143"/>
      <c r="F2" s="143"/>
      <c r="G2" s="143"/>
      <c r="H2" s="143"/>
      <c r="I2" s="143"/>
    </row>
    <row r="3" spans="1:9" ht="37.5" customHeight="1" x14ac:dyDescent="0.25">
      <c r="A3" s="315"/>
      <c r="B3" s="315"/>
      <c r="C3" s="315"/>
      <c r="D3" s="126" t="s">
        <v>284</v>
      </c>
      <c r="F3" s="308" t="s">
        <v>288</v>
      </c>
      <c r="G3" s="309"/>
      <c r="H3" s="309"/>
      <c r="I3" s="310"/>
    </row>
    <row r="4" spans="1:9" ht="18.75" customHeight="1" x14ac:dyDescent="0.25">
      <c r="A4" s="315"/>
      <c r="B4" s="315"/>
      <c r="C4" s="315"/>
      <c r="D4" s="126" t="s">
        <v>285</v>
      </c>
      <c r="F4" s="311" t="s">
        <v>496</v>
      </c>
      <c r="G4" s="312"/>
      <c r="H4" s="312"/>
      <c r="I4" s="313"/>
    </row>
    <row r="5" spans="1:9" ht="18.75" customHeight="1" x14ac:dyDescent="0.25">
      <c r="A5" s="315"/>
      <c r="B5" s="315"/>
      <c r="C5" s="315"/>
      <c r="D5" s="126" t="s">
        <v>286</v>
      </c>
      <c r="F5" s="316" t="s">
        <v>491</v>
      </c>
      <c r="G5" s="312"/>
      <c r="H5" s="312"/>
      <c r="I5" s="313"/>
    </row>
    <row r="6" spans="1:9" ht="18.75" customHeight="1" x14ac:dyDescent="0.25">
      <c r="A6" s="315"/>
      <c r="B6" s="315"/>
      <c r="C6" s="315"/>
      <c r="D6" s="126"/>
      <c r="F6" s="249" t="s">
        <v>492</v>
      </c>
      <c r="G6" s="250"/>
      <c r="H6" s="250"/>
      <c r="I6" s="251"/>
    </row>
    <row r="7" spans="1:9" ht="7.5" customHeight="1" x14ac:dyDescent="0.25">
      <c r="A7" s="315"/>
      <c r="B7" s="315"/>
      <c r="C7" s="315"/>
      <c r="D7" s="126"/>
      <c r="F7" s="249"/>
      <c r="G7" s="250"/>
      <c r="H7" s="250"/>
      <c r="I7" s="251"/>
    </row>
    <row r="8" spans="1:9" ht="18.75" customHeight="1" x14ac:dyDescent="0.25">
      <c r="A8" s="315"/>
      <c r="B8" s="315"/>
      <c r="C8" s="315"/>
      <c r="D8" s="126" t="s">
        <v>497</v>
      </c>
      <c r="F8" s="249" t="s">
        <v>493</v>
      </c>
      <c r="G8" s="250"/>
      <c r="H8" s="250"/>
      <c r="I8" s="251"/>
    </row>
    <row r="9" spans="1:9" ht="18.75" customHeight="1" x14ac:dyDescent="0.25">
      <c r="A9" s="315"/>
      <c r="B9" s="315"/>
      <c r="C9" s="315"/>
      <c r="D9" s="126"/>
      <c r="F9" s="249" t="s">
        <v>494</v>
      </c>
      <c r="G9" s="250"/>
      <c r="H9" s="250"/>
      <c r="I9" s="251"/>
    </row>
    <row r="10" spans="1:9" ht="7.5" customHeight="1" x14ac:dyDescent="0.25">
      <c r="A10" s="315"/>
      <c r="B10" s="315"/>
      <c r="C10" s="315"/>
      <c r="D10" s="126"/>
      <c r="F10" s="249"/>
      <c r="G10" s="250"/>
      <c r="H10" s="250"/>
      <c r="I10" s="251"/>
    </row>
    <row r="11" spans="1:9" ht="18.75" customHeight="1" x14ac:dyDescent="0.25">
      <c r="A11" s="315"/>
      <c r="B11" s="315"/>
      <c r="C11" s="315"/>
      <c r="D11" s="126" t="s">
        <v>287</v>
      </c>
      <c r="F11" s="317" t="s">
        <v>299</v>
      </c>
      <c r="G11" s="312"/>
      <c r="H11" s="312"/>
      <c r="I11" s="313"/>
    </row>
    <row r="13" spans="1:9" ht="18.75" customHeight="1" x14ac:dyDescent="0.25">
      <c r="A13" s="152" t="s">
        <v>102</v>
      </c>
      <c r="B13" s="145" t="s">
        <v>273</v>
      </c>
      <c r="C13" s="146"/>
      <c r="D13" s="146"/>
      <c r="E13" s="146"/>
      <c r="F13" s="146"/>
      <c r="G13" s="147"/>
      <c r="H13" s="144"/>
      <c r="I13" s="148"/>
    </row>
    <row r="14" spans="1:9" ht="18.75" customHeight="1" x14ac:dyDescent="0.25">
      <c r="A14" s="153" t="s">
        <v>5</v>
      </c>
      <c r="B14" s="6" t="s">
        <v>274</v>
      </c>
      <c r="C14" s="7"/>
      <c r="D14" s="7"/>
      <c r="E14" s="7"/>
      <c r="F14" s="7"/>
      <c r="G14" s="8"/>
      <c r="H14" s="9"/>
      <c r="I14" s="127"/>
    </row>
    <row r="15" spans="1:9" ht="18.75" customHeight="1" x14ac:dyDescent="0.25">
      <c r="A15" s="77"/>
      <c r="B15" s="11" t="s">
        <v>7</v>
      </c>
      <c r="C15" s="11"/>
      <c r="D15" s="11"/>
      <c r="E15" s="11"/>
      <c r="F15" s="11"/>
      <c r="G15" s="12" t="s">
        <v>8</v>
      </c>
      <c r="H15" s="31">
        <f>Input!H4</f>
        <v>30</v>
      </c>
      <c r="I15" s="128" t="s">
        <v>9</v>
      </c>
    </row>
    <row r="16" spans="1:9" ht="18.75" customHeight="1" x14ac:dyDescent="0.25">
      <c r="A16" s="77"/>
      <c r="B16" s="11" t="s">
        <v>10</v>
      </c>
      <c r="C16" s="11"/>
      <c r="D16" s="11"/>
      <c r="E16" s="11"/>
      <c r="F16" s="11"/>
      <c r="G16" s="12" t="s">
        <v>11</v>
      </c>
      <c r="H16" s="31">
        <f>Input!H5</f>
        <v>420</v>
      </c>
      <c r="I16" s="128" t="s">
        <v>9</v>
      </c>
    </row>
    <row r="17" spans="1:9" ht="18.75" customHeight="1" x14ac:dyDescent="0.25">
      <c r="A17" s="77"/>
      <c r="B17" s="11" t="s">
        <v>12</v>
      </c>
      <c r="C17" s="11"/>
      <c r="D17" s="11"/>
      <c r="E17" s="11"/>
      <c r="F17" s="11"/>
      <c r="G17" s="12" t="s">
        <v>11</v>
      </c>
      <c r="H17" s="31">
        <f>Input!H6</f>
        <v>420</v>
      </c>
      <c r="I17" s="128" t="s">
        <v>9</v>
      </c>
    </row>
    <row r="18" spans="1:9" ht="18.75" customHeight="1" x14ac:dyDescent="0.25">
      <c r="A18" s="77"/>
      <c r="B18" s="11" t="s">
        <v>13</v>
      </c>
      <c r="C18" s="11"/>
      <c r="D18" s="11"/>
      <c r="E18" s="11"/>
      <c r="F18" s="11"/>
      <c r="G18" s="12" t="s">
        <v>14</v>
      </c>
      <c r="H18" s="31">
        <f>Input!H7</f>
        <v>200000</v>
      </c>
      <c r="I18" s="128" t="s">
        <v>9</v>
      </c>
    </row>
    <row r="19" spans="1:9" ht="18.75" customHeight="1" x14ac:dyDescent="0.25">
      <c r="A19" s="77"/>
      <c r="B19" s="11"/>
      <c r="C19" s="11"/>
      <c r="D19" s="11"/>
      <c r="E19" s="11"/>
      <c r="F19" s="11"/>
      <c r="G19" s="12"/>
      <c r="H19" s="14"/>
      <c r="I19" s="128"/>
    </row>
    <row r="20" spans="1:9" ht="18.75" customHeight="1" x14ac:dyDescent="0.25">
      <c r="A20" s="153" t="s">
        <v>15</v>
      </c>
      <c r="B20" s="6" t="s">
        <v>275</v>
      </c>
      <c r="C20" s="7"/>
      <c r="D20" s="7"/>
      <c r="E20" s="7"/>
      <c r="F20" s="7"/>
      <c r="G20" s="8"/>
      <c r="H20" s="9"/>
      <c r="I20" s="127"/>
    </row>
    <row r="21" spans="1:9" customFormat="1" ht="18.75" customHeight="1" x14ac:dyDescent="0.25">
      <c r="A21" s="77"/>
      <c r="B21" s="89"/>
      <c r="C21" s="11"/>
      <c r="D21" s="11"/>
      <c r="E21" s="11"/>
      <c r="F21" s="11"/>
      <c r="G21" s="12"/>
      <c r="H21" s="14"/>
      <c r="I21" s="128"/>
    </row>
    <row r="22" spans="1:9" customFormat="1" ht="18.75" customHeight="1" x14ac:dyDescent="0.25">
      <c r="A22" s="77"/>
      <c r="B22" s="89"/>
      <c r="C22" s="11"/>
      <c r="D22" s="11"/>
      <c r="E22" s="11"/>
      <c r="F22" s="11"/>
      <c r="G22" s="12"/>
      <c r="H22" s="14"/>
      <c r="I22" s="128"/>
    </row>
    <row r="23" spans="1:9" customFormat="1" ht="18.75" customHeight="1" x14ac:dyDescent="0.25">
      <c r="A23" s="77"/>
      <c r="B23" s="89"/>
      <c r="C23" s="11"/>
      <c r="D23" s="11"/>
      <c r="E23" s="11"/>
      <c r="F23" s="11"/>
      <c r="G23" s="12"/>
      <c r="H23" s="14"/>
      <c r="I23" s="128"/>
    </row>
    <row r="24" spans="1:9" customFormat="1" ht="18.75" customHeight="1" x14ac:dyDescent="0.25">
      <c r="A24" s="77"/>
      <c r="B24" s="89"/>
      <c r="C24" s="11"/>
      <c r="D24" s="11"/>
      <c r="E24" s="11"/>
      <c r="F24" s="11"/>
      <c r="G24" s="12"/>
      <c r="H24" s="14"/>
      <c r="I24" s="128"/>
    </row>
    <row r="25" spans="1:9" customFormat="1" ht="18.75" customHeight="1" x14ac:dyDescent="0.25">
      <c r="A25" s="77"/>
      <c r="B25" s="89"/>
      <c r="C25" s="11"/>
      <c r="D25" s="11"/>
      <c r="E25" s="11"/>
      <c r="F25" s="11"/>
      <c r="G25" s="12"/>
      <c r="H25" s="14"/>
      <c r="I25" s="128"/>
    </row>
    <row r="26" spans="1:9" customFormat="1" ht="18.75" customHeight="1" x14ac:dyDescent="0.25">
      <c r="A26" s="77"/>
      <c r="B26" s="89"/>
      <c r="C26" s="11"/>
      <c r="D26" s="11"/>
      <c r="E26" s="11"/>
      <c r="F26" s="11"/>
      <c r="G26" s="12"/>
      <c r="H26" s="14"/>
      <c r="I26" s="128"/>
    </row>
    <row r="27" spans="1:9" customFormat="1" ht="18.75" customHeight="1" x14ac:dyDescent="0.25">
      <c r="A27" s="77"/>
      <c r="B27" s="89"/>
      <c r="C27" s="11"/>
      <c r="D27" s="11"/>
      <c r="E27" s="11"/>
      <c r="F27" s="11"/>
      <c r="G27" s="12"/>
      <c r="H27" s="14"/>
      <c r="I27" s="128"/>
    </row>
    <row r="28" spans="1:9" customFormat="1" ht="18.75" customHeight="1" x14ac:dyDescent="0.25">
      <c r="A28" s="77"/>
      <c r="B28" s="89"/>
      <c r="C28" s="11"/>
      <c r="D28" s="11"/>
      <c r="E28" s="11"/>
      <c r="F28" s="11"/>
      <c r="G28" s="12"/>
      <c r="H28" s="14"/>
      <c r="I28" s="128"/>
    </row>
    <row r="29" spans="1:9" customFormat="1" ht="18.75" customHeight="1" x14ac:dyDescent="0.25">
      <c r="A29" s="77"/>
      <c r="B29" s="89"/>
      <c r="C29" s="11"/>
      <c r="D29" s="11"/>
      <c r="E29" s="11"/>
      <c r="F29" s="11"/>
      <c r="G29" s="12"/>
      <c r="H29" s="14"/>
      <c r="I29" s="128"/>
    </row>
    <row r="30" spans="1:9" customFormat="1" ht="18.75" customHeight="1" x14ac:dyDescent="0.25">
      <c r="A30" s="77"/>
      <c r="B30" s="89"/>
      <c r="C30" s="11"/>
      <c r="D30" s="11"/>
      <c r="E30" s="11"/>
      <c r="F30" s="11"/>
      <c r="G30" s="12"/>
      <c r="H30" s="14"/>
      <c r="I30" s="128"/>
    </row>
    <row r="31" spans="1:9" customFormat="1" ht="18.75" customHeight="1" x14ac:dyDescent="0.25">
      <c r="A31" s="77"/>
      <c r="B31" s="11" t="s">
        <v>17</v>
      </c>
      <c r="C31" s="14"/>
      <c r="D31" s="14"/>
      <c r="E31" s="15"/>
      <c r="F31" s="16"/>
      <c r="G31" s="12" t="s">
        <v>18</v>
      </c>
      <c r="H31" s="252">
        <f>Input!H20</f>
        <v>300</v>
      </c>
      <c r="I31" s="128" t="s">
        <v>19</v>
      </c>
    </row>
    <row r="32" spans="1:9" customFormat="1" ht="18.75" customHeight="1" x14ac:dyDescent="0.25">
      <c r="A32" s="77"/>
      <c r="B32" s="11" t="s">
        <v>20</v>
      </c>
      <c r="C32" s="14"/>
      <c r="D32" s="14"/>
      <c r="E32" s="15"/>
      <c r="F32" s="16"/>
      <c r="G32" s="12" t="s">
        <v>21</v>
      </c>
      <c r="H32" s="252">
        <f>Input!H21</f>
        <v>500</v>
      </c>
      <c r="I32" s="128" t="s">
        <v>19</v>
      </c>
    </row>
    <row r="33" spans="1:9" customFormat="1" ht="18.75" customHeight="1" x14ac:dyDescent="0.25">
      <c r="A33" s="77"/>
      <c r="B33" s="11" t="s">
        <v>321</v>
      </c>
      <c r="C33" s="14"/>
      <c r="D33" s="14"/>
      <c r="E33" s="15"/>
      <c r="F33" s="16"/>
      <c r="G33" s="12" t="s">
        <v>322</v>
      </c>
      <c r="H33" s="252">
        <f>Input!H22</f>
        <v>22</v>
      </c>
      <c r="I33" s="128" t="s">
        <v>19</v>
      </c>
    </row>
    <row r="34" spans="1:9" customFormat="1" ht="18.75" customHeight="1" x14ac:dyDescent="0.25">
      <c r="A34" s="77"/>
      <c r="B34" s="11" t="s">
        <v>320</v>
      </c>
      <c r="C34" s="14"/>
      <c r="D34" s="14"/>
      <c r="E34" s="15"/>
      <c r="F34" s="16"/>
      <c r="G34" s="12" t="s">
        <v>323</v>
      </c>
      <c r="H34" s="252">
        <f>Input!H23</f>
        <v>12</v>
      </c>
      <c r="I34" s="128" t="s">
        <v>19</v>
      </c>
    </row>
    <row r="35" spans="1:9" customFormat="1" ht="18.75" customHeight="1" x14ac:dyDescent="0.25">
      <c r="A35" s="77"/>
      <c r="B35" s="11" t="s">
        <v>382</v>
      </c>
      <c r="C35" s="14"/>
      <c r="D35" s="14"/>
      <c r="E35" s="15"/>
      <c r="F35" s="16"/>
      <c r="G35" s="12" t="s">
        <v>383</v>
      </c>
      <c r="H35" s="252">
        <f>Input!H24</f>
        <v>13</v>
      </c>
      <c r="I35" s="128" t="s">
        <v>19</v>
      </c>
    </row>
    <row r="36" spans="1:9" customFormat="1" ht="18.75" customHeight="1" x14ac:dyDescent="0.25">
      <c r="A36" s="77"/>
      <c r="B36" s="11" t="s">
        <v>22</v>
      </c>
      <c r="C36" s="11"/>
      <c r="D36" s="14"/>
      <c r="E36" s="15"/>
      <c r="F36" s="16"/>
      <c r="G36" s="12" t="s">
        <v>324</v>
      </c>
      <c r="H36" s="252">
        <f>Input!H25</f>
        <v>40</v>
      </c>
      <c r="I36" s="128" t="s">
        <v>19</v>
      </c>
    </row>
    <row r="37" spans="1:9" customFormat="1" ht="18.75" customHeight="1" x14ac:dyDescent="0.25">
      <c r="A37" s="239"/>
    </row>
    <row r="38" spans="1:9" customFormat="1" ht="18.75" customHeight="1" x14ac:dyDescent="0.25">
      <c r="A38" s="239"/>
    </row>
    <row r="39" spans="1:9" customFormat="1" ht="18.75" customHeight="1" x14ac:dyDescent="0.25">
      <c r="A39" s="239"/>
    </row>
    <row r="40" spans="1:9" customFormat="1" ht="18.75" customHeight="1" x14ac:dyDescent="0.25">
      <c r="A40" s="239"/>
    </row>
    <row r="41" spans="1:9" customFormat="1" ht="18.75" customHeight="1" x14ac:dyDescent="0.25">
      <c r="A41" s="153" t="s">
        <v>28</v>
      </c>
      <c r="B41" s="6" t="s">
        <v>265</v>
      </c>
      <c r="C41" s="7"/>
      <c r="D41" s="7"/>
      <c r="E41" s="7"/>
      <c r="F41" s="7"/>
      <c r="G41" s="8"/>
      <c r="H41" s="9"/>
      <c r="I41" s="127"/>
    </row>
    <row r="42" spans="1:9" customFormat="1" ht="18.75" customHeight="1" x14ac:dyDescent="0.25">
      <c r="A42" s="77"/>
      <c r="B42" s="18" t="s">
        <v>377</v>
      </c>
      <c r="C42" s="14"/>
      <c r="D42" s="14"/>
      <c r="E42" s="12"/>
      <c r="F42" s="19"/>
      <c r="G42" s="19"/>
      <c r="H42" s="19"/>
      <c r="I42" s="128"/>
    </row>
    <row r="43" spans="1:9" customFormat="1" ht="18.75" customHeight="1" x14ac:dyDescent="0.25">
      <c r="A43" s="77"/>
      <c r="B43" s="18" t="s">
        <v>263</v>
      </c>
      <c r="C43" s="11"/>
      <c r="D43" s="11"/>
      <c r="E43" s="11"/>
      <c r="F43" s="11"/>
      <c r="G43" s="12" t="s">
        <v>23</v>
      </c>
      <c r="H43" s="31">
        <f>Input!H29</f>
        <v>12.6</v>
      </c>
      <c r="I43" s="128" t="s">
        <v>24</v>
      </c>
    </row>
    <row r="44" spans="1:9" customFormat="1" ht="18.75" customHeight="1" x14ac:dyDescent="0.25">
      <c r="A44" s="77"/>
      <c r="B44" s="18" t="s">
        <v>264</v>
      </c>
      <c r="C44" s="11"/>
      <c r="D44" s="11"/>
      <c r="E44" s="11"/>
      <c r="F44" s="11"/>
      <c r="G44" s="12" t="s">
        <v>26</v>
      </c>
      <c r="H44" s="31">
        <f>Input!H30</f>
        <v>24.2</v>
      </c>
      <c r="I44" s="128" t="s">
        <v>27</v>
      </c>
    </row>
    <row r="45" spans="1:9" customFormat="1" ht="18.75" customHeight="1" x14ac:dyDescent="0.25">
      <c r="A45" s="77"/>
      <c r="B45" s="11" t="s">
        <v>427</v>
      </c>
      <c r="C45" s="11"/>
      <c r="D45" s="11"/>
      <c r="E45" s="11"/>
      <c r="F45" s="11"/>
      <c r="G45" s="12"/>
      <c r="H45" s="12"/>
      <c r="I45" s="128"/>
    </row>
    <row r="46" spans="1:9" customFormat="1" ht="18.75" customHeight="1" x14ac:dyDescent="0.25">
      <c r="A46" s="77"/>
      <c r="B46" s="128" t="s">
        <v>423</v>
      </c>
      <c r="C46" s="11"/>
      <c r="D46" s="11"/>
      <c r="E46" s="11"/>
      <c r="F46" s="11"/>
      <c r="G46" s="12" t="s">
        <v>425</v>
      </c>
      <c r="H46" s="31">
        <f>Input!H32</f>
        <v>68.42</v>
      </c>
      <c r="I46" s="128" t="s">
        <v>24</v>
      </c>
    </row>
    <row r="47" spans="1:9" customFormat="1" ht="18.75" customHeight="1" x14ac:dyDescent="0.25">
      <c r="A47" s="77"/>
      <c r="B47" s="128" t="s">
        <v>412</v>
      </c>
      <c r="C47" s="14"/>
      <c r="D47" s="14"/>
      <c r="E47" s="12"/>
      <c r="F47" s="19"/>
      <c r="G47" s="12" t="s">
        <v>378</v>
      </c>
      <c r="H47" s="31">
        <f>Input!H33</f>
        <v>143.04</v>
      </c>
      <c r="I47" s="128" t="s">
        <v>27</v>
      </c>
    </row>
    <row r="48" spans="1:9" customFormat="1" ht="18.75" customHeight="1" x14ac:dyDescent="0.25">
      <c r="A48" s="77"/>
      <c r="B48" s="128" t="s">
        <v>413</v>
      </c>
      <c r="C48" s="14"/>
      <c r="D48" s="14"/>
      <c r="E48" s="12"/>
      <c r="F48" s="19"/>
      <c r="G48" s="12" t="s">
        <v>379</v>
      </c>
      <c r="H48" s="31">
        <f>Input!H34</f>
        <v>85.53</v>
      </c>
      <c r="I48" s="128" t="s">
        <v>27</v>
      </c>
    </row>
    <row r="49" spans="1:9" customFormat="1" ht="18.75" customHeight="1" x14ac:dyDescent="0.25">
      <c r="A49" s="77"/>
      <c r="B49" s="11" t="s">
        <v>427</v>
      </c>
      <c r="C49" s="11"/>
      <c r="D49" s="11"/>
      <c r="E49" s="11"/>
      <c r="F49" s="11"/>
      <c r="G49" s="12"/>
      <c r="H49" s="12"/>
      <c r="I49" s="128"/>
    </row>
    <row r="50" spans="1:9" customFormat="1" ht="18.75" customHeight="1" x14ac:dyDescent="0.25">
      <c r="A50" s="77"/>
      <c r="B50" s="128" t="s">
        <v>424</v>
      </c>
      <c r="C50" s="11"/>
      <c r="D50" s="11"/>
      <c r="E50" s="11"/>
      <c r="F50" s="11"/>
      <c r="G50" s="12" t="s">
        <v>426</v>
      </c>
      <c r="H50" s="31">
        <f>Input!H36</f>
        <v>47.26</v>
      </c>
      <c r="I50" s="128" t="s">
        <v>24</v>
      </c>
    </row>
    <row r="51" spans="1:9" customFormat="1" ht="18.75" customHeight="1" x14ac:dyDescent="0.25">
      <c r="A51" s="77"/>
      <c r="B51" s="128" t="s">
        <v>414</v>
      </c>
      <c r="C51" s="14"/>
      <c r="D51" s="14"/>
      <c r="E51" s="12"/>
      <c r="F51" s="19"/>
      <c r="G51" s="12" t="s">
        <v>380</v>
      </c>
      <c r="H51" s="31">
        <f>Input!H37</f>
        <v>143.04</v>
      </c>
      <c r="I51" s="128" t="s">
        <v>27</v>
      </c>
    </row>
    <row r="52" spans="1:9" customFormat="1" ht="18.75" customHeight="1" x14ac:dyDescent="0.25">
      <c r="A52" s="77"/>
      <c r="B52" s="128" t="s">
        <v>415</v>
      </c>
      <c r="C52" s="14"/>
      <c r="D52" s="14"/>
      <c r="E52" s="12"/>
      <c r="F52" s="19"/>
      <c r="G52" s="12" t="s">
        <v>381</v>
      </c>
      <c r="H52" s="31">
        <f>Input!H38</f>
        <v>85.53</v>
      </c>
      <c r="I52" s="128" t="s">
        <v>27</v>
      </c>
    </row>
    <row r="53" spans="1:9" customFormat="1" ht="18.75" customHeight="1" x14ac:dyDescent="0.25">
      <c r="A53" s="77"/>
      <c r="B53" s="18"/>
      <c r="C53" s="14"/>
      <c r="D53" s="14"/>
      <c r="E53" s="12"/>
      <c r="F53" s="19"/>
      <c r="G53" s="12"/>
      <c r="H53" s="12"/>
      <c r="I53" s="128"/>
    </row>
    <row r="54" spans="1:9" ht="18.75" customHeight="1" x14ac:dyDescent="0.25">
      <c r="A54" s="152" t="s">
        <v>29</v>
      </c>
      <c r="B54" s="145" t="s">
        <v>30</v>
      </c>
      <c r="C54" s="146"/>
      <c r="D54" s="146"/>
      <c r="E54" s="146"/>
      <c r="F54" s="146"/>
      <c r="G54" s="147"/>
      <c r="H54" s="144"/>
      <c r="I54" s="148"/>
    </row>
    <row r="55" spans="1:9" customFormat="1" ht="18.75" customHeight="1" x14ac:dyDescent="0.25">
      <c r="A55" s="14"/>
      <c r="B55" s="11" t="s">
        <v>7</v>
      </c>
      <c r="C55" s="11"/>
      <c r="D55" s="11"/>
      <c r="E55" s="11"/>
      <c r="F55" s="11"/>
      <c r="G55" s="12" t="s">
        <v>8</v>
      </c>
      <c r="H55" s="35">
        <f>Process!H3</f>
        <v>30</v>
      </c>
      <c r="I55" s="128" t="s">
        <v>9</v>
      </c>
    </row>
    <row r="56" spans="1:9" customFormat="1" ht="18.75" customHeight="1" x14ac:dyDescent="0.25">
      <c r="A56" s="14"/>
      <c r="B56" s="11" t="s">
        <v>10</v>
      </c>
      <c r="C56" s="11"/>
      <c r="D56" s="11"/>
      <c r="E56" s="11"/>
      <c r="F56" s="11"/>
      <c r="G56" s="12" t="s">
        <v>11</v>
      </c>
      <c r="H56" s="35">
        <f>Process!H4</f>
        <v>420</v>
      </c>
      <c r="I56" s="128" t="s">
        <v>9</v>
      </c>
    </row>
    <row r="57" spans="1:9" customFormat="1" ht="18.75" customHeight="1" x14ac:dyDescent="0.25">
      <c r="A57" s="14"/>
      <c r="B57" s="11" t="s">
        <v>141</v>
      </c>
      <c r="C57" s="11"/>
      <c r="D57" s="11"/>
      <c r="E57" s="11"/>
      <c r="F57" s="11"/>
      <c r="G57" s="12" t="s">
        <v>14</v>
      </c>
      <c r="H57" s="35">
        <f>Process!H5</f>
        <v>200000</v>
      </c>
      <c r="I57" s="128" t="s">
        <v>9</v>
      </c>
    </row>
    <row r="58" spans="1:9" customFormat="1" ht="18.75" customHeight="1" x14ac:dyDescent="0.25">
      <c r="A58" s="14"/>
      <c r="B58" s="11" t="s">
        <v>31</v>
      </c>
      <c r="C58" s="11"/>
      <c r="D58" s="11"/>
      <c r="E58" s="11"/>
      <c r="F58" s="11"/>
      <c r="G58" s="12" t="s">
        <v>59</v>
      </c>
      <c r="H58" s="35">
        <f>Process!H6</f>
        <v>437</v>
      </c>
      <c r="I58" s="128" t="s">
        <v>19</v>
      </c>
    </row>
    <row r="59" spans="1:9" customFormat="1" ht="18.75" customHeight="1" x14ac:dyDescent="0.25"/>
    <row r="60" spans="1:9" customFormat="1" ht="18.75" customHeight="1" x14ac:dyDescent="0.25">
      <c r="A60" s="14"/>
      <c r="B60" s="11" t="s">
        <v>35</v>
      </c>
      <c r="C60" s="11"/>
      <c r="D60" s="11"/>
      <c r="E60" s="11"/>
      <c r="F60" s="11"/>
      <c r="G60" s="12" t="s">
        <v>36</v>
      </c>
      <c r="H60" s="34" t="str">
        <f>Process!H8</f>
        <v>-</v>
      </c>
      <c r="I60" s="128"/>
    </row>
    <row r="61" spans="1:9" customFormat="1" ht="18.75" customHeight="1" x14ac:dyDescent="0.25">
      <c r="A61" s="14"/>
      <c r="B61" s="11" t="s">
        <v>37</v>
      </c>
      <c r="C61" s="11"/>
      <c r="D61" s="11"/>
      <c r="E61" s="11"/>
      <c r="F61" s="11"/>
      <c r="G61" s="12" t="s">
        <v>290</v>
      </c>
      <c r="H61" s="34">
        <f>Process!H9</f>
        <v>0.83571428571428574</v>
      </c>
      <c r="I61" s="128"/>
    </row>
    <row r="62" spans="1:9" customFormat="1" ht="18.75" customHeight="1" x14ac:dyDescent="0.25">
      <c r="A62" s="14"/>
      <c r="B62" s="11" t="s">
        <v>38</v>
      </c>
      <c r="C62" s="11"/>
      <c r="D62" s="11"/>
      <c r="E62" s="11"/>
      <c r="F62" s="11"/>
      <c r="G62" s="12" t="s">
        <v>39</v>
      </c>
      <c r="H62" s="34" t="str">
        <f>Process!H10</f>
        <v>-</v>
      </c>
      <c r="I62" s="128"/>
    </row>
    <row r="63" spans="1:9" customFormat="1" ht="18.75" customHeight="1" x14ac:dyDescent="0.25">
      <c r="A63" s="14"/>
      <c r="B63" s="11" t="s">
        <v>40</v>
      </c>
      <c r="C63" s="11"/>
      <c r="D63" s="11"/>
      <c r="E63" s="11"/>
      <c r="F63" s="15" t="s">
        <v>41</v>
      </c>
      <c r="G63" s="12" t="s">
        <v>39</v>
      </c>
      <c r="H63" s="34">
        <f>Process!H11</f>
        <v>0.83571428571428574</v>
      </c>
      <c r="I63" s="128"/>
    </row>
    <row r="64" spans="1:9" customFormat="1" ht="18.75" customHeight="1" x14ac:dyDescent="0.25">
      <c r="A64" s="14"/>
      <c r="B64" s="11" t="s">
        <v>42</v>
      </c>
      <c r="C64" s="11"/>
      <c r="D64" s="11"/>
      <c r="E64" s="11"/>
      <c r="F64" s="15"/>
      <c r="G64" s="12"/>
      <c r="H64" s="14"/>
      <c r="I64" s="128"/>
    </row>
    <row r="65" spans="1:9" customFormat="1" ht="18.75" customHeight="1" x14ac:dyDescent="0.25">
      <c r="A65" s="14"/>
      <c r="B65" s="11"/>
      <c r="C65" s="19"/>
      <c r="D65" s="11"/>
      <c r="E65" s="11"/>
      <c r="F65" s="11"/>
      <c r="G65" s="12" t="s">
        <v>43</v>
      </c>
      <c r="H65" s="33">
        <f>Process!H13</f>
        <v>2.9846938775510208E-2</v>
      </c>
      <c r="I65" s="128"/>
    </row>
    <row r="66" spans="1:9" customFormat="1" ht="18.75" customHeight="1" x14ac:dyDescent="0.25">
      <c r="A66" s="14"/>
      <c r="B66" s="11" t="s">
        <v>44</v>
      </c>
      <c r="C66" s="11"/>
      <c r="D66" s="73"/>
      <c r="E66" s="14"/>
      <c r="F66" s="18"/>
      <c r="G66" s="12" t="s">
        <v>45</v>
      </c>
      <c r="H66" s="33">
        <f>Process!H14</f>
        <v>2.2385204081632658E-2</v>
      </c>
      <c r="I66" s="128"/>
    </row>
    <row r="67" spans="1:9" customFormat="1" ht="18.75" customHeight="1" x14ac:dyDescent="0.25">
      <c r="A67" s="14"/>
      <c r="B67" s="11" t="s">
        <v>46</v>
      </c>
      <c r="C67" s="11"/>
      <c r="D67" s="11"/>
      <c r="E67" s="18" t="s">
        <v>32</v>
      </c>
      <c r="F67" s="11"/>
      <c r="G67" s="12" t="s">
        <v>47</v>
      </c>
      <c r="H67" s="33">
        <f>Process!H15</f>
        <v>3.2602533184831316E-3</v>
      </c>
      <c r="I67" s="128"/>
    </row>
    <row r="68" spans="1:9" customFormat="1" ht="18.75" customHeight="1" x14ac:dyDescent="0.25">
      <c r="A68" s="14"/>
      <c r="B68" s="11"/>
      <c r="C68" s="11"/>
      <c r="D68" s="11"/>
      <c r="E68" s="11" t="s">
        <v>34</v>
      </c>
      <c r="F68" s="11"/>
      <c r="G68" s="12" t="s">
        <v>48</v>
      </c>
      <c r="H68" s="33">
        <f>Process!H16</f>
        <v>3.3333333333333331E-3</v>
      </c>
      <c r="I68" s="128"/>
    </row>
    <row r="69" spans="1:9" customFormat="1" ht="18.75" customHeight="1" x14ac:dyDescent="0.25">
      <c r="A69" s="14"/>
      <c r="B69" s="11" t="s">
        <v>325</v>
      </c>
      <c r="C69" s="11"/>
      <c r="D69" s="11"/>
      <c r="E69" s="11"/>
      <c r="F69" s="11"/>
      <c r="G69" s="99"/>
      <c r="H69" s="99"/>
      <c r="I69" s="99"/>
    </row>
    <row r="70" spans="1:9" customFormat="1" ht="18.75" customHeight="1" x14ac:dyDescent="0.25">
      <c r="A70" s="14"/>
      <c r="B70" s="11"/>
      <c r="C70" s="11"/>
      <c r="D70" s="11"/>
      <c r="E70" s="11"/>
      <c r="F70" s="11"/>
      <c r="G70" s="12" t="s">
        <v>49</v>
      </c>
      <c r="H70" s="34">
        <f>Process!H17</f>
        <v>63</v>
      </c>
      <c r="I70" s="128" t="s">
        <v>19</v>
      </c>
    </row>
    <row r="71" spans="1:9" customFormat="1" ht="18.75" customHeight="1" x14ac:dyDescent="0.25">
      <c r="A71" s="14"/>
      <c r="B71" s="11" t="s">
        <v>315</v>
      </c>
      <c r="C71" s="11"/>
      <c r="D71" s="11"/>
      <c r="E71" s="11"/>
      <c r="F71" s="11"/>
      <c r="G71" s="12" t="s">
        <v>50</v>
      </c>
      <c r="H71" s="34">
        <f>Process!H18</f>
        <v>4.7021276595744679</v>
      </c>
      <c r="I71" s="128" t="s">
        <v>52</v>
      </c>
    </row>
    <row r="72" spans="1:9" customFormat="1" ht="18.75" customHeight="1" x14ac:dyDescent="0.25">
      <c r="A72" s="14"/>
      <c r="B72" s="11" t="s">
        <v>314</v>
      </c>
      <c r="C72" s="11"/>
      <c r="D72" s="11"/>
      <c r="E72" s="11"/>
      <c r="F72" s="11"/>
      <c r="G72" s="12" t="s">
        <v>51</v>
      </c>
      <c r="H72" s="34">
        <f>Process!H19</f>
        <v>4</v>
      </c>
      <c r="I72" s="128" t="s">
        <v>52</v>
      </c>
    </row>
    <row r="73" spans="1:9" customFormat="1" ht="18.75" customHeight="1" x14ac:dyDescent="0.25">
      <c r="A73" s="14"/>
      <c r="B73" s="11" t="s">
        <v>53</v>
      </c>
      <c r="C73" s="11"/>
      <c r="D73" s="11"/>
      <c r="E73" s="11"/>
      <c r="F73" s="11"/>
      <c r="G73" s="12" t="s">
        <v>54</v>
      </c>
      <c r="H73" s="34">
        <f>Process!H20</f>
        <v>58</v>
      </c>
      <c r="I73" s="128" t="s">
        <v>19</v>
      </c>
    </row>
    <row r="74" spans="1:9" customFormat="1" ht="18.75" customHeight="1" x14ac:dyDescent="0.25">
      <c r="A74" s="14"/>
      <c r="B74" s="11" t="s">
        <v>55</v>
      </c>
      <c r="C74" s="11"/>
      <c r="D74" s="11"/>
      <c r="E74" s="11"/>
      <c r="F74" s="11"/>
      <c r="G74" s="12" t="s">
        <v>56</v>
      </c>
      <c r="H74" s="34">
        <f>Process!H21</f>
        <v>47</v>
      </c>
      <c r="I74" s="128" t="s">
        <v>19</v>
      </c>
    </row>
    <row r="75" spans="1:9" customFormat="1" ht="18.75" customHeight="1" x14ac:dyDescent="0.25">
      <c r="A75" s="14"/>
      <c r="B75" s="11" t="s">
        <v>57</v>
      </c>
      <c r="C75" s="11"/>
      <c r="D75" s="11"/>
      <c r="E75" s="11"/>
      <c r="F75" s="11"/>
      <c r="G75" s="99"/>
      <c r="H75" s="99"/>
      <c r="I75" s="128"/>
    </row>
    <row r="76" spans="1:9" customFormat="1" ht="18.75" customHeight="1" x14ac:dyDescent="0.25">
      <c r="A76" s="14"/>
      <c r="B76" s="11"/>
      <c r="C76" s="11"/>
      <c r="D76" s="11"/>
      <c r="E76" s="11"/>
      <c r="F76" s="11"/>
      <c r="G76" s="12" t="s">
        <v>58</v>
      </c>
      <c r="H76" s="34">
        <f>Process!H22</f>
        <v>16.47058823529412</v>
      </c>
      <c r="I76" s="128"/>
    </row>
    <row r="77" spans="1:9" customFormat="1" ht="18.75" customHeight="1" x14ac:dyDescent="0.25"/>
    <row r="78" spans="1:9" customFormat="1" ht="18.75" customHeight="1" x14ac:dyDescent="0.25"/>
    <row r="79" spans="1:9" customFormat="1" ht="18.75" customHeight="1" x14ac:dyDescent="0.25"/>
    <row r="80" spans="1:9" customFormat="1" ht="18.75" customHeight="1" x14ac:dyDescent="0.25"/>
    <row r="81" spans="1:9" customFormat="1" ht="18.75" customHeight="1" x14ac:dyDescent="0.25">
      <c r="A81" s="153" t="s">
        <v>60</v>
      </c>
      <c r="B81" s="6" t="s">
        <v>418</v>
      </c>
      <c r="C81" s="7"/>
      <c r="D81" s="7"/>
      <c r="E81" s="7"/>
      <c r="F81" s="8"/>
      <c r="G81" s="8"/>
      <c r="H81" s="9"/>
      <c r="I81" s="127"/>
    </row>
    <row r="82" spans="1:9" customFormat="1" ht="18.75" customHeight="1" x14ac:dyDescent="0.25">
      <c r="A82" s="14"/>
      <c r="B82" s="11" t="s">
        <v>61</v>
      </c>
      <c r="C82" s="11"/>
      <c r="D82" s="11"/>
      <c r="E82" s="11"/>
      <c r="F82" s="12"/>
      <c r="G82" s="12" t="s">
        <v>62</v>
      </c>
      <c r="H82" s="34">
        <f>Process!H25</f>
        <v>0.85</v>
      </c>
      <c r="I82" s="128"/>
    </row>
    <row r="83" spans="1:9" customFormat="1" ht="18.75" customHeight="1" x14ac:dyDescent="0.25">
      <c r="A83" s="14"/>
      <c r="B83" s="11" t="s">
        <v>63</v>
      </c>
      <c r="C83" s="11"/>
      <c r="D83" s="11"/>
      <c r="E83" s="11"/>
      <c r="F83" s="12"/>
      <c r="G83" s="12" t="s">
        <v>378</v>
      </c>
      <c r="H83" s="34">
        <f>Process!H26</f>
        <v>143.04</v>
      </c>
      <c r="I83" s="128" t="s">
        <v>27</v>
      </c>
    </row>
    <row r="84" spans="1:9" customFormat="1" ht="18.75" customHeight="1" x14ac:dyDescent="0.25">
      <c r="A84" s="14"/>
      <c r="B84" s="11" t="s">
        <v>64</v>
      </c>
      <c r="C84" s="11"/>
      <c r="D84" s="11"/>
      <c r="E84" s="11"/>
      <c r="F84" s="12"/>
      <c r="G84" s="12" t="s">
        <v>65</v>
      </c>
      <c r="H84" s="34">
        <f>Process!H27</f>
        <v>168.28235294117647</v>
      </c>
      <c r="I84" s="128" t="s">
        <v>27</v>
      </c>
    </row>
    <row r="85" spans="1:9" customFormat="1" ht="18.75" customHeight="1" x14ac:dyDescent="0.25">
      <c r="A85" s="14"/>
      <c r="B85" s="11" t="s">
        <v>66</v>
      </c>
      <c r="C85" s="19"/>
      <c r="D85" s="11"/>
      <c r="E85" s="11"/>
      <c r="F85" s="11"/>
      <c r="G85" s="12" t="s">
        <v>67</v>
      </c>
      <c r="H85" s="34">
        <f>Process!H28</f>
        <v>25742.960202742808</v>
      </c>
      <c r="I85" s="128" t="s">
        <v>9</v>
      </c>
    </row>
    <row r="86" spans="1:9" customFormat="1" ht="18.75" customHeight="1" x14ac:dyDescent="0.25">
      <c r="A86" s="14"/>
      <c r="B86" s="11" t="s">
        <v>68</v>
      </c>
      <c r="C86" s="19"/>
      <c r="D86" s="11"/>
      <c r="E86" s="11"/>
      <c r="F86" s="11"/>
      <c r="G86" s="74" t="s">
        <v>69</v>
      </c>
      <c r="H86" s="34">
        <f>Process!H29</f>
        <v>2.9373415395723299</v>
      </c>
      <c r="I86" s="128"/>
    </row>
    <row r="87" spans="1:9" customFormat="1" ht="18.75" customHeight="1" x14ac:dyDescent="0.25">
      <c r="A87" s="14"/>
      <c r="B87" s="11" t="s">
        <v>70</v>
      </c>
      <c r="C87" s="19"/>
      <c r="D87" s="11"/>
      <c r="E87" s="11"/>
      <c r="F87" s="11"/>
      <c r="G87" s="74" t="s">
        <v>71</v>
      </c>
      <c r="H87" s="33">
        <f>Process!H30</f>
        <v>7.4508546165755604E-3</v>
      </c>
      <c r="I87" s="18"/>
    </row>
    <row r="88" spans="1:9" customFormat="1" ht="18.75" customHeight="1" x14ac:dyDescent="0.25">
      <c r="A88" s="14"/>
      <c r="B88" s="11"/>
      <c r="C88" s="19"/>
      <c r="D88" s="11"/>
      <c r="E88" s="11"/>
      <c r="F88" s="11"/>
      <c r="G88" s="74"/>
      <c r="H88" s="19"/>
      <c r="I88" s="18"/>
    </row>
    <row r="89" spans="1:9" customFormat="1" ht="18.75" customHeight="1" x14ac:dyDescent="0.25">
      <c r="A89" s="14"/>
      <c r="B89" s="11" t="s">
        <v>72</v>
      </c>
      <c r="C89" s="11"/>
      <c r="D89" s="11"/>
      <c r="E89" s="11"/>
      <c r="F89" s="11"/>
      <c r="G89" s="12"/>
      <c r="H89" s="76"/>
      <c r="I89" s="128"/>
    </row>
    <row r="90" spans="1:9" customFormat="1" ht="18.75" customHeight="1" x14ac:dyDescent="0.25">
      <c r="A90" s="14"/>
      <c r="B90" s="11"/>
      <c r="C90" s="11" t="s">
        <v>73</v>
      </c>
      <c r="D90" s="14" t="s">
        <v>74</v>
      </c>
      <c r="E90" s="14" t="s">
        <v>75</v>
      </c>
      <c r="F90" s="14" t="s">
        <v>76</v>
      </c>
      <c r="G90" s="12"/>
      <c r="H90" s="76"/>
      <c r="I90" s="128"/>
    </row>
    <row r="91" spans="1:9" customFormat="1" ht="18.75" customHeight="1" x14ac:dyDescent="0.25">
      <c r="A91" s="14"/>
      <c r="B91" s="11"/>
      <c r="C91" s="11"/>
      <c r="D91" s="76">
        <f>Process!D33</f>
        <v>3.2602533184831316E-3</v>
      </c>
      <c r="E91" s="76">
        <f>Process!E33</f>
        <v>7.4508546165755604E-3</v>
      </c>
      <c r="F91" s="76">
        <f>Process!F33</f>
        <v>2.2385204081632658E-2</v>
      </c>
      <c r="G91" s="15" t="s">
        <v>41</v>
      </c>
      <c r="H91" s="77" t="str">
        <f>IF(D91&lt;E91,(IF(E91&lt;F91,"[ OK ]","[ NOT OK ]")),"[ Pakai ρmin ]")</f>
        <v>[ OK ]</v>
      </c>
      <c r="I91" s="128"/>
    </row>
    <row r="92" spans="1:9" customFormat="1" ht="18.75" customHeight="1" x14ac:dyDescent="0.25">
      <c r="A92" s="14"/>
      <c r="B92" s="11"/>
      <c r="C92" s="11"/>
      <c r="D92" s="11"/>
      <c r="E92" s="11"/>
      <c r="F92" s="11"/>
      <c r="G92" s="12"/>
      <c r="H92" s="14"/>
      <c r="I92" s="128"/>
    </row>
    <row r="93" spans="1:9" customFormat="1" ht="18.75" customHeight="1" x14ac:dyDescent="0.25">
      <c r="A93" s="14"/>
      <c r="B93" s="11" t="s">
        <v>77</v>
      </c>
      <c r="C93" s="11"/>
      <c r="D93" s="11"/>
      <c r="E93" s="11"/>
      <c r="F93" s="11"/>
      <c r="G93" s="12" t="s">
        <v>78</v>
      </c>
      <c r="H93" s="33">
        <f>Process!H35</f>
        <v>7.4508546165755604E-3</v>
      </c>
      <c r="I93" s="128"/>
    </row>
    <row r="94" spans="1:9" customFormat="1" ht="18.75" customHeight="1" x14ac:dyDescent="0.25">
      <c r="A94" s="14"/>
      <c r="B94" s="14"/>
      <c r="C94" s="14"/>
      <c r="D94" s="19"/>
      <c r="E94" s="19"/>
      <c r="F94" s="11"/>
      <c r="G94" s="12"/>
      <c r="H94" s="14"/>
      <c r="I94" s="253"/>
    </row>
    <row r="95" spans="1:9" customFormat="1" ht="18.75" customHeight="1" x14ac:dyDescent="0.25">
      <c r="A95" s="14"/>
      <c r="B95" s="18" t="s">
        <v>384</v>
      </c>
      <c r="C95" s="14"/>
      <c r="D95" s="12"/>
      <c r="E95" s="14"/>
      <c r="F95" s="11"/>
      <c r="G95" s="12" t="s">
        <v>80</v>
      </c>
      <c r="H95" s="34">
        <f>Process!H37</f>
        <v>976.807040233056</v>
      </c>
      <c r="I95" s="128" t="s">
        <v>33</v>
      </c>
    </row>
    <row r="96" spans="1:9" customFormat="1" ht="18.75" customHeight="1" x14ac:dyDescent="0.25">
      <c r="A96" s="14"/>
      <c r="B96" s="18" t="s">
        <v>81</v>
      </c>
      <c r="C96" s="11"/>
      <c r="D96" s="11"/>
      <c r="E96" s="14"/>
      <c r="F96" s="11"/>
      <c r="G96" s="12" t="s">
        <v>291</v>
      </c>
      <c r="H96" s="34">
        <f>Process!H38</f>
        <v>2.5696474198356154</v>
      </c>
      <c r="I96" s="253"/>
    </row>
    <row r="97" spans="1:9" customFormat="1" ht="18.75" customHeight="1" x14ac:dyDescent="0.25">
      <c r="A97" s="14"/>
      <c r="B97" s="18" t="s">
        <v>83</v>
      </c>
      <c r="C97" s="19"/>
      <c r="D97" s="14"/>
      <c r="E97" s="80"/>
      <c r="F97" s="11"/>
      <c r="G97" s="34">
        <f>Process!G39</f>
        <v>2.5696474198356154</v>
      </c>
      <c r="H97" s="35">
        <f>Process!H39</f>
        <v>22</v>
      </c>
      <c r="I97" s="253"/>
    </row>
    <row r="98" spans="1:9" customFormat="1" ht="18.75" customHeight="1" x14ac:dyDescent="0.25">
      <c r="A98" s="14"/>
      <c r="B98" s="18" t="s">
        <v>84</v>
      </c>
      <c r="C98" s="11"/>
      <c r="D98" s="11"/>
      <c r="E98" s="11"/>
      <c r="F98" s="11"/>
      <c r="G98" s="12" t="s">
        <v>85</v>
      </c>
      <c r="H98" s="34">
        <f>Process!H40</f>
        <v>1</v>
      </c>
      <c r="I98" s="253"/>
    </row>
    <row r="99" spans="1:9" customFormat="1" ht="18.75" customHeight="1" x14ac:dyDescent="0.25">
      <c r="A99" s="14"/>
      <c r="B99" s="11"/>
      <c r="C99" s="11" t="s">
        <v>86</v>
      </c>
      <c r="D99" s="12" t="s">
        <v>87</v>
      </c>
      <c r="E99" s="14" t="s">
        <v>101</v>
      </c>
      <c r="F99" s="11"/>
      <c r="G99" s="15" t="s">
        <v>41</v>
      </c>
      <c r="H99" s="254" t="str">
        <f>Process!H41</f>
        <v>[OK]</v>
      </c>
      <c r="I99" s="253"/>
    </row>
    <row r="100" spans="1:9" customFormat="1" ht="18.75" customHeight="1" x14ac:dyDescent="0.25">
      <c r="A100" s="14"/>
      <c r="B100" s="11"/>
      <c r="C100" s="11"/>
      <c r="D100" s="11"/>
      <c r="E100" s="11"/>
      <c r="F100" s="11"/>
      <c r="G100" s="12"/>
      <c r="H100" s="81"/>
      <c r="I100" s="253"/>
    </row>
    <row r="101" spans="1:9" customFormat="1" ht="18.75" customHeight="1" x14ac:dyDescent="0.25">
      <c r="A101" s="259"/>
      <c r="B101" s="131" t="s">
        <v>89</v>
      </c>
      <c r="C101" s="132" t="s">
        <v>90</v>
      </c>
      <c r="D101" s="132" t="s">
        <v>91</v>
      </c>
      <c r="E101" s="132" t="s">
        <v>92</v>
      </c>
      <c r="F101" s="11"/>
      <c r="G101" s="12"/>
      <c r="H101" s="81"/>
      <c r="I101" s="253"/>
    </row>
    <row r="102" spans="1:9" customFormat="1" ht="18.75" customHeight="1" x14ac:dyDescent="0.25">
      <c r="A102" s="259"/>
      <c r="B102" s="131" t="s">
        <v>93</v>
      </c>
      <c r="C102" s="132" t="s">
        <v>280</v>
      </c>
      <c r="D102" s="132" t="s">
        <v>281</v>
      </c>
      <c r="E102" s="132" t="s">
        <v>282</v>
      </c>
      <c r="F102" s="11"/>
      <c r="G102" s="12"/>
      <c r="H102" s="81"/>
      <c r="I102" s="253"/>
    </row>
    <row r="103" spans="1:9" customFormat="1" ht="18.75" customHeight="1" x14ac:dyDescent="0.25">
      <c r="A103" s="259"/>
      <c r="B103" s="41">
        <v>1</v>
      </c>
      <c r="C103" s="34">
        <f>Process!C45</f>
        <v>2.5696474198356154</v>
      </c>
      <c r="D103" s="34">
        <f>Process!D45</f>
        <v>63</v>
      </c>
      <c r="E103" s="34">
        <f>Process!E45</f>
        <v>161.88778744964378</v>
      </c>
      <c r="F103" s="11"/>
      <c r="G103" s="12"/>
      <c r="H103" s="81"/>
      <c r="I103" s="253"/>
    </row>
    <row r="104" spans="1:9" customFormat="1" ht="18.75" customHeight="1" x14ac:dyDescent="0.25">
      <c r="A104" s="259"/>
      <c r="B104" s="41">
        <v>2</v>
      </c>
      <c r="C104" s="34">
        <f>Process!C46</f>
        <v>0</v>
      </c>
      <c r="D104" s="34">
        <f>Process!D46</f>
        <v>0</v>
      </c>
      <c r="E104" s="34">
        <f>Process!E46</f>
        <v>0</v>
      </c>
      <c r="F104" s="11"/>
      <c r="G104" s="12"/>
      <c r="H104" s="81"/>
      <c r="I104" s="253"/>
    </row>
    <row r="105" spans="1:9" customFormat="1" ht="18.75" customHeight="1" x14ac:dyDescent="0.25">
      <c r="A105" s="259"/>
      <c r="B105" s="41">
        <v>3</v>
      </c>
      <c r="C105" s="34">
        <f>Process!C47</f>
        <v>0</v>
      </c>
      <c r="D105" s="34">
        <f>Process!D47</f>
        <v>0</v>
      </c>
      <c r="E105" s="34">
        <f>Process!E47</f>
        <v>0</v>
      </c>
      <c r="F105" s="11"/>
      <c r="G105" s="12"/>
      <c r="H105" s="81"/>
      <c r="I105" s="253"/>
    </row>
    <row r="106" spans="1:9" customFormat="1" ht="18.75" customHeight="1" x14ac:dyDescent="0.25">
      <c r="A106" s="259"/>
      <c r="B106" s="137" t="s">
        <v>94</v>
      </c>
      <c r="C106" s="138">
        <f>SUM(C103:C105)</f>
        <v>2.5696474198356154</v>
      </c>
      <c r="D106" s="139" t="s">
        <v>95</v>
      </c>
      <c r="E106" s="138">
        <f>SUM(E103:E105)</f>
        <v>161.88778744964378</v>
      </c>
      <c r="F106" s="11"/>
      <c r="G106" s="12"/>
      <c r="H106" s="81"/>
      <c r="I106" s="253"/>
    </row>
    <row r="107" spans="1:9" customFormat="1" ht="18.75" customHeight="1" x14ac:dyDescent="0.25">
      <c r="A107" s="14"/>
      <c r="B107" s="15"/>
      <c r="C107" s="16"/>
      <c r="D107" s="15"/>
      <c r="E107" s="16"/>
      <c r="F107" s="11"/>
      <c r="G107" s="12"/>
      <c r="H107" s="81"/>
      <c r="I107" s="253"/>
    </row>
    <row r="108" spans="1:9" customFormat="1" ht="18.75" customHeight="1" x14ac:dyDescent="0.25">
      <c r="A108" s="259"/>
      <c r="B108" s="15"/>
      <c r="C108" s="16"/>
      <c r="D108" s="15"/>
      <c r="E108" s="16"/>
      <c r="F108" s="11"/>
      <c r="G108" s="12"/>
      <c r="H108" s="81"/>
      <c r="I108" s="253"/>
    </row>
    <row r="109" spans="1:9" customFormat="1" ht="18.75" customHeight="1" x14ac:dyDescent="0.25">
      <c r="A109" s="259"/>
      <c r="B109" s="15"/>
      <c r="C109" s="16"/>
      <c r="D109" s="15"/>
      <c r="E109" s="16"/>
      <c r="F109" s="11"/>
      <c r="G109" s="12"/>
      <c r="H109" s="81"/>
      <c r="I109" s="253"/>
    </row>
    <row r="110" spans="1:9" customFormat="1" ht="18.75" customHeight="1" x14ac:dyDescent="0.25">
      <c r="A110" s="259"/>
      <c r="B110" s="15"/>
      <c r="C110" s="16"/>
      <c r="D110" s="15"/>
      <c r="E110" s="16"/>
      <c r="F110" s="11"/>
      <c r="G110" s="12"/>
      <c r="H110" s="81"/>
      <c r="I110" s="253"/>
    </row>
    <row r="111" spans="1:9" customFormat="1" ht="18.75" customHeight="1" x14ac:dyDescent="0.25">
      <c r="A111" s="259"/>
      <c r="B111" s="15"/>
      <c r="C111" s="16"/>
      <c r="D111" s="15"/>
      <c r="E111" s="16"/>
      <c r="F111" s="11"/>
      <c r="G111" s="12"/>
      <c r="H111" s="81"/>
      <c r="I111" s="253"/>
    </row>
    <row r="112" spans="1:9" customFormat="1" ht="18.75" customHeight="1" x14ac:dyDescent="0.25">
      <c r="A112" s="259"/>
      <c r="B112" s="15"/>
      <c r="C112" s="16"/>
      <c r="D112" s="15"/>
      <c r="E112" s="16"/>
      <c r="F112" s="11"/>
      <c r="G112" s="12"/>
      <c r="H112" s="81"/>
      <c r="I112" s="253"/>
    </row>
    <row r="113" spans="1:9" customFormat="1" ht="18.75" customHeight="1" x14ac:dyDescent="0.25">
      <c r="A113" s="259"/>
      <c r="B113" s="15"/>
      <c r="C113" s="16"/>
      <c r="D113" s="15"/>
      <c r="E113" s="16"/>
      <c r="F113" s="11"/>
      <c r="G113" s="12"/>
      <c r="H113" s="81"/>
      <c r="I113" s="253"/>
    </row>
    <row r="114" spans="1:9" customFormat="1" ht="18.75" customHeight="1" x14ac:dyDescent="0.25">
      <c r="A114" s="259"/>
      <c r="B114" s="15"/>
      <c r="C114" s="16"/>
      <c r="D114" s="15"/>
      <c r="E114" s="16"/>
      <c r="F114" s="11"/>
      <c r="G114" s="12"/>
      <c r="H114" s="81"/>
      <c r="I114" s="253"/>
    </row>
    <row r="115" spans="1:9" customFormat="1" ht="18.75" customHeight="1" x14ac:dyDescent="0.25">
      <c r="A115" s="259"/>
      <c r="B115" s="15"/>
      <c r="C115" s="16"/>
      <c r="D115" s="15"/>
      <c r="E115" s="16"/>
      <c r="F115" s="11"/>
      <c r="G115" s="12"/>
      <c r="H115" s="81"/>
      <c r="I115" s="253"/>
    </row>
    <row r="116" spans="1:9" customFormat="1" ht="18.75" customHeight="1" x14ac:dyDescent="0.25">
      <c r="A116" s="259"/>
      <c r="B116" s="11"/>
      <c r="C116" s="11"/>
      <c r="D116" s="11"/>
      <c r="E116" s="11"/>
      <c r="F116" s="11"/>
      <c r="G116" s="12"/>
      <c r="H116" s="14"/>
      <c r="I116" s="128"/>
    </row>
    <row r="117" spans="1:9" customFormat="1" ht="18.75" customHeight="1" x14ac:dyDescent="0.25">
      <c r="A117" s="14"/>
      <c r="B117" s="11" t="s">
        <v>480</v>
      </c>
      <c r="C117" s="11"/>
      <c r="D117" s="11"/>
      <c r="E117" s="77"/>
      <c r="F117" s="11"/>
      <c r="G117" s="12" t="s">
        <v>88</v>
      </c>
      <c r="H117" s="34">
        <f>Process!H59</f>
        <v>437</v>
      </c>
      <c r="I117" s="253" t="s">
        <v>19</v>
      </c>
    </row>
    <row r="118" spans="1:9" customFormat="1" ht="18.75" customHeight="1" x14ac:dyDescent="0.25">
      <c r="A118" s="14"/>
      <c r="B118" s="11" t="s">
        <v>481</v>
      </c>
      <c r="C118" s="11"/>
      <c r="D118" s="11"/>
      <c r="E118" s="77"/>
      <c r="F118" s="11"/>
      <c r="G118" s="12" t="s">
        <v>100</v>
      </c>
      <c r="H118" s="34">
        <f>Process!H60</f>
        <v>63.000000000000007</v>
      </c>
      <c r="I118" s="253" t="s">
        <v>19</v>
      </c>
    </row>
    <row r="119" spans="1:9" customFormat="1" ht="18.75" customHeight="1" x14ac:dyDescent="0.25"/>
    <row r="120" spans="1:9" customFormat="1" ht="18.75" customHeight="1" x14ac:dyDescent="0.25"/>
    <row r="121" spans="1:9" customFormat="1" ht="18.75" customHeight="1" x14ac:dyDescent="0.25">
      <c r="A121" s="153" t="s">
        <v>104</v>
      </c>
      <c r="B121" s="6" t="s">
        <v>404</v>
      </c>
      <c r="C121" s="7"/>
      <c r="D121" s="7"/>
      <c r="E121" s="7"/>
      <c r="F121" s="8"/>
      <c r="G121" s="8"/>
      <c r="H121" s="9"/>
      <c r="I121" s="127"/>
    </row>
    <row r="122" spans="1:9" customFormat="1" ht="18.75" customHeight="1" x14ac:dyDescent="0.25">
      <c r="A122" s="14"/>
      <c r="B122" s="11" t="s">
        <v>61</v>
      </c>
      <c r="C122" s="11"/>
      <c r="D122" s="11"/>
      <c r="E122" s="11"/>
      <c r="F122" s="12"/>
      <c r="G122" s="12" t="s">
        <v>62</v>
      </c>
      <c r="H122" s="34">
        <f>Process!H63</f>
        <v>0.85</v>
      </c>
      <c r="I122" s="128"/>
    </row>
    <row r="123" spans="1:9" customFormat="1" ht="18.75" customHeight="1" x14ac:dyDescent="0.25">
      <c r="A123" s="14"/>
      <c r="B123" s="11" t="s">
        <v>63</v>
      </c>
      <c r="C123" s="11"/>
      <c r="D123" s="11"/>
      <c r="E123" s="11"/>
      <c r="F123" s="12"/>
      <c r="G123" s="12" t="s">
        <v>379</v>
      </c>
      <c r="H123" s="34">
        <f>Process!H64</f>
        <v>85.53</v>
      </c>
      <c r="I123" s="128" t="s">
        <v>27</v>
      </c>
    </row>
    <row r="124" spans="1:9" customFormat="1" ht="18.75" customHeight="1" x14ac:dyDescent="0.25">
      <c r="A124" s="14"/>
      <c r="B124" s="11" t="s">
        <v>64</v>
      </c>
      <c r="C124" s="11"/>
      <c r="D124" s="11"/>
      <c r="E124" s="11"/>
      <c r="F124" s="12"/>
      <c r="G124" s="12" t="s">
        <v>65</v>
      </c>
      <c r="H124" s="34">
        <f>Process!H65</f>
        <v>100.62352941176471</v>
      </c>
      <c r="I124" s="128" t="s">
        <v>27</v>
      </c>
    </row>
    <row r="125" spans="1:9" customFormat="1" ht="18.75" customHeight="1" x14ac:dyDescent="0.25">
      <c r="A125" s="14"/>
      <c r="B125" s="11" t="s">
        <v>66</v>
      </c>
      <c r="C125" s="19"/>
      <c r="D125" s="11"/>
      <c r="E125" s="11"/>
      <c r="F125" s="11"/>
      <c r="G125" s="12" t="s">
        <v>67</v>
      </c>
      <c r="H125" s="34">
        <f>Process!H66</f>
        <v>25742.960202742808</v>
      </c>
      <c r="I125" s="128" t="s">
        <v>9</v>
      </c>
    </row>
    <row r="126" spans="1:9" customFormat="1" ht="18.75" customHeight="1" x14ac:dyDescent="0.25">
      <c r="A126" s="14"/>
      <c r="B126" s="11" t="s">
        <v>68</v>
      </c>
      <c r="C126" s="19"/>
      <c r="D126" s="11"/>
      <c r="E126" s="11"/>
      <c r="F126" s="11"/>
      <c r="G126" s="74" t="s">
        <v>69</v>
      </c>
      <c r="H126" s="34">
        <f>Process!H67</f>
        <v>1.7563676026259885</v>
      </c>
      <c r="I126" s="128"/>
    </row>
    <row r="127" spans="1:9" customFormat="1" ht="18.75" customHeight="1" x14ac:dyDescent="0.25">
      <c r="A127" s="14"/>
      <c r="B127" s="11" t="s">
        <v>70</v>
      </c>
      <c r="C127" s="19"/>
      <c r="D127" s="11"/>
      <c r="E127" s="11"/>
      <c r="F127" s="11"/>
      <c r="G127" s="74" t="s">
        <v>71</v>
      </c>
      <c r="H127" s="33">
        <f>Process!H68</f>
        <v>4.3367091851796834E-3</v>
      </c>
      <c r="I127" s="18"/>
    </row>
    <row r="128" spans="1:9" customFormat="1" ht="18.75" customHeight="1" x14ac:dyDescent="0.25">
      <c r="A128" s="14"/>
      <c r="B128" s="11" t="s">
        <v>72</v>
      </c>
      <c r="C128" s="11"/>
      <c r="D128" s="11"/>
      <c r="E128" s="11"/>
      <c r="F128" s="11"/>
      <c r="G128" s="12"/>
      <c r="H128" s="76"/>
      <c r="I128" s="128"/>
    </row>
    <row r="129" spans="1:9" customFormat="1" ht="18.75" customHeight="1" x14ac:dyDescent="0.25">
      <c r="A129" s="14"/>
      <c r="B129" s="11"/>
      <c r="C129" s="11" t="s">
        <v>73</v>
      </c>
      <c r="D129" s="14" t="s">
        <v>74</v>
      </c>
      <c r="E129" s="14" t="s">
        <v>75</v>
      </c>
      <c r="F129" s="14" t="s">
        <v>76</v>
      </c>
      <c r="G129" s="12"/>
      <c r="H129" s="76"/>
      <c r="I129" s="128"/>
    </row>
    <row r="130" spans="1:9" customFormat="1" ht="18.75" customHeight="1" x14ac:dyDescent="0.25">
      <c r="A130" s="14"/>
      <c r="B130" s="11"/>
      <c r="C130" s="11"/>
      <c r="D130" s="76">
        <f>Process!D71</f>
        <v>3.2602533184831316E-3</v>
      </c>
      <c r="E130" s="76">
        <f>Process!E71</f>
        <v>4.3367091851796834E-3</v>
      </c>
      <c r="F130" s="76">
        <f>Process!F71</f>
        <v>2.2385204081632658E-2</v>
      </c>
      <c r="G130" s="15" t="s">
        <v>41</v>
      </c>
      <c r="H130" s="77" t="str">
        <f>IF(D130&lt;E130,(IF(E130&lt;F130,"[ OK ]","[ NOT OK ]")),"[ Pakai ρmin ]")</f>
        <v>[ OK ]</v>
      </c>
      <c r="I130" s="128"/>
    </row>
    <row r="131" spans="1:9" customFormat="1" ht="18.75" customHeight="1" x14ac:dyDescent="0.25">
      <c r="A131" s="14"/>
      <c r="B131" s="11"/>
      <c r="C131" s="11"/>
      <c r="D131" s="11"/>
      <c r="E131" s="11"/>
      <c r="F131" s="11"/>
      <c r="G131" s="12"/>
      <c r="H131" s="14"/>
      <c r="I131" s="128"/>
    </row>
    <row r="132" spans="1:9" customFormat="1" ht="18.75" customHeight="1" x14ac:dyDescent="0.25">
      <c r="A132" s="14"/>
      <c r="B132" s="11" t="s">
        <v>77</v>
      </c>
      <c r="C132" s="11"/>
      <c r="D132" s="11"/>
      <c r="E132" s="11"/>
      <c r="F132" s="11"/>
      <c r="G132" s="12" t="s">
        <v>78</v>
      </c>
      <c r="H132" s="33">
        <f>Process!H73</f>
        <v>4.3367091851796834E-3</v>
      </c>
      <c r="I132" s="128"/>
    </row>
    <row r="133" spans="1:9" customFormat="1" ht="18.75" customHeight="1" x14ac:dyDescent="0.25">
      <c r="A133" s="14"/>
      <c r="B133" s="14"/>
      <c r="C133" s="14"/>
      <c r="D133" s="19"/>
      <c r="E133" s="19"/>
      <c r="F133" s="11"/>
      <c r="G133" s="12"/>
      <c r="H133" s="14"/>
      <c r="I133" s="253"/>
    </row>
    <row r="134" spans="1:9" customFormat="1" ht="18.75" customHeight="1" x14ac:dyDescent="0.25">
      <c r="A134" s="14"/>
      <c r="B134" s="18" t="s">
        <v>79</v>
      </c>
      <c r="C134" s="14"/>
      <c r="D134" s="12"/>
      <c r="E134" s="14"/>
      <c r="F134" s="11"/>
      <c r="G134" s="12" t="s">
        <v>98</v>
      </c>
      <c r="H134" s="34">
        <f>Process!H75</f>
        <v>568.54257417705651</v>
      </c>
      <c r="I134" s="128" t="s">
        <v>33</v>
      </c>
    </row>
    <row r="135" spans="1:9" customFormat="1" ht="18.75" customHeight="1" x14ac:dyDescent="0.25">
      <c r="A135" s="14"/>
      <c r="B135" s="18" t="s">
        <v>81</v>
      </c>
      <c r="C135" s="11"/>
      <c r="D135" s="11"/>
      <c r="E135" s="14"/>
      <c r="F135" s="11"/>
      <c r="G135" s="12" t="s">
        <v>291</v>
      </c>
      <c r="H135" s="34">
        <f>Process!H76</f>
        <v>1.4956423312143654</v>
      </c>
      <c r="I135" s="253"/>
    </row>
    <row r="136" spans="1:9" customFormat="1" ht="18.75" customHeight="1" x14ac:dyDescent="0.25">
      <c r="A136" s="14"/>
      <c r="B136" s="18" t="s">
        <v>83</v>
      </c>
      <c r="C136" s="19"/>
      <c r="D136" s="14"/>
      <c r="E136" s="80"/>
      <c r="F136" s="11"/>
      <c r="G136" s="34">
        <f>Process!G77</f>
        <v>1.4956423312143654</v>
      </c>
      <c r="H136" s="35">
        <f>Process!H77</f>
        <v>22</v>
      </c>
      <c r="I136" s="253"/>
    </row>
    <row r="137" spans="1:9" customFormat="1" ht="18.75" customHeight="1" x14ac:dyDescent="0.25">
      <c r="A137" s="14"/>
      <c r="B137" s="18" t="s">
        <v>84</v>
      </c>
      <c r="C137" s="11"/>
      <c r="D137" s="11"/>
      <c r="E137" s="11"/>
      <c r="F137" s="11"/>
      <c r="G137" s="12" t="s">
        <v>85</v>
      </c>
      <c r="H137" s="34">
        <f>Process!H78</f>
        <v>1</v>
      </c>
      <c r="I137" s="253"/>
    </row>
    <row r="138" spans="1:9" customFormat="1" ht="18.75" customHeight="1" x14ac:dyDescent="0.25">
      <c r="A138" s="14"/>
      <c r="B138" s="11"/>
      <c r="C138" s="11" t="s">
        <v>86</v>
      </c>
      <c r="D138" s="12" t="s">
        <v>87</v>
      </c>
      <c r="E138" s="14" t="s">
        <v>101</v>
      </c>
      <c r="F138" s="11"/>
      <c r="G138" s="15" t="s">
        <v>41</v>
      </c>
      <c r="H138" s="77" t="str">
        <f>IF(H137&lt;=3,"[OK]","[NOT OK]")</f>
        <v>[OK]</v>
      </c>
      <c r="I138" s="253"/>
    </row>
    <row r="139" spans="1:9" customFormat="1" ht="18.75" customHeight="1" x14ac:dyDescent="0.25">
      <c r="A139" s="14"/>
      <c r="B139" s="11"/>
      <c r="C139" s="11"/>
      <c r="D139" s="11"/>
      <c r="E139" s="11"/>
      <c r="F139" s="11"/>
      <c r="G139" s="12"/>
      <c r="H139" s="81"/>
      <c r="I139" s="253"/>
    </row>
    <row r="140" spans="1:9" customFormat="1" ht="18.75" customHeight="1" x14ac:dyDescent="0.25">
      <c r="A140" s="259"/>
      <c r="B140" s="131" t="s">
        <v>89</v>
      </c>
      <c r="C140" s="132" t="s">
        <v>90</v>
      </c>
      <c r="D140" s="132" t="s">
        <v>91</v>
      </c>
      <c r="E140" s="132" t="s">
        <v>92</v>
      </c>
      <c r="F140" s="11"/>
      <c r="G140" s="12"/>
      <c r="H140" s="81"/>
      <c r="I140" s="253"/>
    </row>
    <row r="141" spans="1:9" customFormat="1" ht="18.75" customHeight="1" x14ac:dyDescent="0.25">
      <c r="A141" s="259"/>
      <c r="B141" s="131" t="s">
        <v>93</v>
      </c>
      <c r="C141" s="132" t="s">
        <v>280</v>
      </c>
      <c r="D141" s="132" t="s">
        <v>281</v>
      </c>
      <c r="E141" s="132" t="s">
        <v>282</v>
      </c>
      <c r="F141" s="11"/>
      <c r="G141" s="12"/>
      <c r="H141" s="81"/>
      <c r="I141" s="253"/>
    </row>
    <row r="142" spans="1:9" customFormat="1" ht="18.75" customHeight="1" x14ac:dyDescent="0.25">
      <c r="A142" s="259"/>
      <c r="B142" s="41">
        <v>1</v>
      </c>
      <c r="C142" s="34">
        <f>Process!C83</f>
        <v>1.4956423312143654</v>
      </c>
      <c r="D142" s="34">
        <f>Process!D83</f>
        <v>63</v>
      </c>
      <c r="E142" s="34">
        <f>Process!E83</f>
        <v>94.225466866505016</v>
      </c>
      <c r="F142" s="11"/>
      <c r="G142" s="12"/>
      <c r="H142" s="81"/>
      <c r="I142" s="253"/>
    </row>
    <row r="143" spans="1:9" customFormat="1" ht="18.75" customHeight="1" x14ac:dyDescent="0.25">
      <c r="A143" s="259"/>
      <c r="B143" s="41">
        <v>2</v>
      </c>
      <c r="C143" s="34">
        <f>Process!C84</f>
        <v>0</v>
      </c>
      <c r="D143" s="34">
        <f>Process!D84</f>
        <v>0</v>
      </c>
      <c r="E143" s="34">
        <f>Process!E84</f>
        <v>0</v>
      </c>
      <c r="F143" s="11"/>
      <c r="G143" s="12"/>
      <c r="H143" s="81"/>
      <c r="I143" s="253"/>
    </row>
    <row r="144" spans="1:9" customFormat="1" ht="18.75" customHeight="1" x14ac:dyDescent="0.25">
      <c r="A144" s="259"/>
      <c r="B144" s="41">
        <v>3</v>
      </c>
      <c r="C144" s="34">
        <f>Process!C85</f>
        <v>0</v>
      </c>
      <c r="D144" s="34">
        <f>Process!D85</f>
        <v>0</v>
      </c>
      <c r="E144" s="34">
        <f>Process!E85</f>
        <v>0</v>
      </c>
      <c r="F144" s="11"/>
      <c r="G144" s="12"/>
      <c r="H144" s="81"/>
      <c r="I144" s="253"/>
    </row>
    <row r="145" spans="1:9" customFormat="1" ht="18.75" customHeight="1" x14ac:dyDescent="0.25">
      <c r="A145" s="259"/>
      <c r="B145" s="137" t="s">
        <v>94</v>
      </c>
      <c r="C145" s="138">
        <f>SUM(C142:C144)</f>
        <v>1.4956423312143654</v>
      </c>
      <c r="D145" s="139" t="s">
        <v>95</v>
      </c>
      <c r="E145" s="138">
        <f>SUM(E142:E144)</f>
        <v>94.225466866505016</v>
      </c>
      <c r="F145" s="11"/>
      <c r="G145" s="12"/>
      <c r="H145" s="81"/>
      <c r="I145" s="253"/>
    </row>
    <row r="146" spans="1:9" customFormat="1" ht="18.75" customHeight="1" x14ac:dyDescent="0.25">
      <c r="A146" s="14"/>
      <c r="B146" s="15"/>
      <c r="C146" s="16"/>
      <c r="D146" s="15"/>
      <c r="E146" s="16"/>
      <c r="F146" s="11"/>
      <c r="G146" s="12"/>
      <c r="H146" s="81"/>
      <c r="I146" s="253"/>
    </row>
    <row r="147" spans="1:9" customFormat="1" ht="18.75" customHeight="1" x14ac:dyDescent="0.25">
      <c r="A147" s="14"/>
      <c r="B147" s="15"/>
      <c r="C147" s="16"/>
      <c r="D147" s="15"/>
      <c r="E147" s="16"/>
      <c r="F147" s="11"/>
      <c r="G147" s="12"/>
      <c r="H147" s="81"/>
      <c r="I147" s="253"/>
    </row>
    <row r="148" spans="1:9" customFormat="1" ht="18.75" customHeight="1" x14ac:dyDescent="0.25">
      <c r="A148" s="14"/>
      <c r="B148" s="15"/>
      <c r="C148" s="16"/>
      <c r="D148" s="15"/>
      <c r="E148" s="16"/>
      <c r="F148" s="11"/>
      <c r="G148" s="12"/>
      <c r="H148" s="81"/>
      <c r="I148" s="253"/>
    </row>
    <row r="149" spans="1:9" customFormat="1" ht="18.75" customHeight="1" x14ac:dyDescent="0.25">
      <c r="A149" s="14"/>
      <c r="B149" s="15"/>
      <c r="C149" s="16"/>
      <c r="D149" s="15"/>
      <c r="E149" s="16"/>
      <c r="F149" s="11"/>
      <c r="G149" s="12"/>
      <c r="H149" s="81"/>
      <c r="I149" s="253"/>
    </row>
    <row r="150" spans="1:9" customFormat="1" ht="18.75" customHeight="1" x14ac:dyDescent="0.25">
      <c r="A150" s="14"/>
      <c r="B150" s="15"/>
      <c r="C150" s="16"/>
      <c r="D150" s="15"/>
      <c r="E150" s="16"/>
      <c r="F150" s="11"/>
      <c r="G150" s="12"/>
      <c r="H150" s="81"/>
      <c r="I150" s="253"/>
    </row>
    <row r="151" spans="1:9" customFormat="1" ht="18.75" customHeight="1" x14ac:dyDescent="0.25">
      <c r="A151" s="14"/>
      <c r="B151" s="15"/>
      <c r="C151" s="16"/>
      <c r="D151" s="15"/>
      <c r="E151" s="16"/>
      <c r="F151" s="11"/>
      <c r="G151" s="12"/>
      <c r="H151" s="81"/>
      <c r="I151" s="253"/>
    </row>
    <row r="152" spans="1:9" customFormat="1" ht="18.75" customHeight="1" x14ac:dyDescent="0.25">
      <c r="A152" s="14"/>
      <c r="B152" s="15"/>
      <c r="C152" s="16"/>
      <c r="D152" s="15"/>
      <c r="E152" s="16"/>
      <c r="F152" s="11"/>
      <c r="G152" s="12"/>
      <c r="H152" s="81"/>
      <c r="I152" s="253"/>
    </row>
    <row r="153" spans="1:9" customFormat="1" ht="18.75" customHeight="1" x14ac:dyDescent="0.25">
      <c r="A153" s="14"/>
      <c r="B153" s="15"/>
      <c r="C153" s="16"/>
      <c r="D153" s="15"/>
      <c r="E153" s="16"/>
      <c r="F153" s="11"/>
      <c r="G153" s="12"/>
      <c r="H153" s="81"/>
      <c r="I153" s="253"/>
    </row>
    <row r="154" spans="1:9" customFormat="1" ht="18.75" customHeight="1" x14ac:dyDescent="0.25">
      <c r="A154" s="14"/>
      <c r="B154" s="15"/>
      <c r="C154" s="16"/>
      <c r="D154" s="15"/>
      <c r="E154" s="16"/>
      <c r="F154" s="11"/>
      <c r="G154" s="12"/>
      <c r="H154" s="81"/>
      <c r="I154" s="253"/>
    </row>
    <row r="155" spans="1:9" customFormat="1" ht="18.75" customHeight="1" x14ac:dyDescent="0.25">
      <c r="A155" s="14"/>
      <c r="B155" s="11"/>
      <c r="C155" s="11"/>
      <c r="D155" s="11"/>
      <c r="E155" s="11"/>
      <c r="F155" s="11"/>
      <c r="G155" s="12"/>
      <c r="H155" s="14"/>
      <c r="I155" s="128"/>
    </row>
    <row r="156" spans="1:9" customFormat="1" ht="18.75" customHeight="1" x14ac:dyDescent="0.25">
      <c r="A156" s="14"/>
      <c r="B156" s="11" t="s">
        <v>483</v>
      </c>
      <c r="C156" s="11"/>
      <c r="D156" s="11"/>
      <c r="E156" s="77"/>
      <c r="F156" s="11"/>
      <c r="G156" s="12" t="s">
        <v>88</v>
      </c>
      <c r="H156" s="34">
        <f>Process!H97</f>
        <v>437</v>
      </c>
      <c r="I156" s="253" t="s">
        <v>19</v>
      </c>
    </row>
    <row r="157" spans="1:9" customFormat="1" ht="18.75" customHeight="1" x14ac:dyDescent="0.25">
      <c r="A157" s="14"/>
      <c r="B157" s="11" t="s">
        <v>482</v>
      </c>
      <c r="C157" s="11"/>
      <c r="D157" s="11"/>
      <c r="E157" s="77"/>
      <c r="F157" s="11"/>
      <c r="G157" s="12" t="s">
        <v>100</v>
      </c>
      <c r="H157" s="34">
        <f>Process!H98</f>
        <v>63</v>
      </c>
      <c r="I157" s="253" t="s">
        <v>19</v>
      </c>
    </row>
    <row r="158" spans="1:9" customFormat="1" ht="18.75" customHeight="1" x14ac:dyDescent="0.25"/>
    <row r="159" spans="1:9" customFormat="1" ht="18.75" customHeight="1" x14ac:dyDescent="0.25"/>
    <row r="160" spans="1:9" customFormat="1" ht="18.75" customHeight="1" x14ac:dyDescent="0.25"/>
    <row r="161" spans="1:9" customFormat="1" ht="18.75" customHeight="1" x14ac:dyDescent="0.25">
      <c r="A161" s="153" t="s">
        <v>105</v>
      </c>
      <c r="B161" s="6" t="s">
        <v>405</v>
      </c>
      <c r="C161" s="7"/>
      <c r="D161" s="7"/>
      <c r="E161" s="7"/>
      <c r="F161" s="8"/>
      <c r="G161" s="8"/>
      <c r="H161" s="9"/>
      <c r="I161" s="127"/>
    </row>
    <row r="162" spans="1:9" customFormat="1" ht="18.75" customHeight="1" x14ac:dyDescent="0.25">
      <c r="A162" s="14"/>
      <c r="B162" s="11" t="s">
        <v>61</v>
      </c>
      <c r="C162" s="11"/>
      <c r="D162" s="11"/>
      <c r="E162" s="11"/>
      <c r="F162" s="12"/>
      <c r="G162" s="12" t="s">
        <v>62</v>
      </c>
      <c r="H162" s="34">
        <f>Process!H101</f>
        <v>0.85</v>
      </c>
      <c r="I162" s="128"/>
    </row>
    <row r="163" spans="1:9" customFormat="1" ht="18.75" customHeight="1" x14ac:dyDescent="0.25">
      <c r="A163" s="14"/>
      <c r="B163" s="11" t="s">
        <v>96</v>
      </c>
      <c r="C163" s="11"/>
      <c r="D163" s="11"/>
      <c r="E163" s="11"/>
      <c r="F163" s="12"/>
      <c r="G163" s="12" t="s">
        <v>381</v>
      </c>
      <c r="H163" s="34">
        <f>Process!H102</f>
        <v>85.53</v>
      </c>
      <c r="I163" s="128" t="s">
        <v>27</v>
      </c>
    </row>
    <row r="164" spans="1:9" customFormat="1" ht="18.75" customHeight="1" x14ac:dyDescent="0.25">
      <c r="A164" s="14"/>
      <c r="B164" s="11" t="s">
        <v>97</v>
      </c>
      <c r="C164" s="11"/>
      <c r="D164" s="11"/>
      <c r="E164" s="11"/>
      <c r="F164" s="12"/>
      <c r="G164" s="12" t="s">
        <v>65</v>
      </c>
      <c r="H164" s="34">
        <f>Process!H103</f>
        <v>100.62352941176471</v>
      </c>
      <c r="I164" s="128" t="s">
        <v>27</v>
      </c>
    </row>
    <row r="165" spans="1:9" customFormat="1" ht="18.75" customHeight="1" x14ac:dyDescent="0.25">
      <c r="A165" s="14"/>
      <c r="B165" s="11" t="s">
        <v>66</v>
      </c>
      <c r="C165" s="19"/>
      <c r="D165" s="11"/>
      <c r="E165" s="11"/>
      <c r="F165" s="11"/>
      <c r="G165" s="12" t="s">
        <v>67</v>
      </c>
      <c r="H165" s="34">
        <f>Process!H104</f>
        <v>25742.960202742808</v>
      </c>
      <c r="I165" s="128" t="s">
        <v>9</v>
      </c>
    </row>
    <row r="166" spans="1:9" customFormat="1" ht="18.75" customHeight="1" x14ac:dyDescent="0.25">
      <c r="A166" s="14"/>
      <c r="B166" s="11" t="s">
        <v>68</v>
      </c>
      <c r="C166" s="19"/>
      <c r="D166" s="11"/>
      <c r="E166" s="11"/>
      <c r="F166" s="11"/>
      <c r="G166" s="74" t="s">
        <v>69</v>
      </c>
      <c r="H166" s="34">
        <f>Process!H105</f>
        <v>1.7563676026259885</v>
      </c>
      <c r="I166" s="128"/>
    </row>
    <row r="167" spans="1:9" customFormat="1" ht="18.75" customHeight="1" x14ac:dyDescent="0.25">
      <c r="A167" s="14"/>
      <c r="B167" s="11" t="s">
        <v>70</v>
      </c>
      <c r="C167" s="19"/>
      <c r="D167" s="11"/>
      <c r="E167" s="11"/>
      <c r="F167" s="11"/>
      <c r="G167" s="74" t="s">
        <v>71</v>
      </c>
      <c r="H167" s="33">
        <f>Process!H106</f>
        <v>4.3367091851796834E-3</v>
      </c>
      <c r="I167" s="18"/>
    </row>
    <row r="168" spans="1:9" customFormat="1" ht="18.75" customHeight="1" x14ac:dyDescent="0.25">
      <c r="A168" s="14"/>
      <c r="B168" s="11"/>
      <c r="C168" s="19"/>
      <c r="D168" s="11"/>
      <c r="E168" s="11"/>
      <c r="F168" s="11"/>
      <c r="G168" s="74"/>
      <c r="H168" s="76"/>
      <c r="I168" s="18"/>
    </row>
    <row r="169" spans="1:9" customFormat="1" ht="18.75" customHeight="1" x14ac:dyDescent="0.25">
      <c r="A169" s="14"/>
      <c r="B169" s="11"/>
      <c r="C169" s="19"/>
      <c r="D169" s="11"/>
      <c r="E169" s="11"/>
      <c r="F169" s="11"/>
      <c r="G169" s="74"/>
      <c r="H169" s="76"/>
      <c r="I169" s="18"/>
    </row>
    <row r="170" spans="1:9" customFormat="1" ht="18.75" customHeight="1" x14ac:dyDescent="0.25">
      <c r="A170" s="14"/>
      <c r="B170" s="11" t="s">
        <v>72</v>
      </c>
      <c r="C170" s="11"/>
      <c r="D170" s="11"/>
      <c r="E170" s="11"/>
      <c r="F170" s="11"/>
      <c r="G170" s="12"/>
      <c r="H170" s="76"/>
      <c r="I170" s="128"/>
    </row>
    <row r="171" spans="1:9" customFormat="1" ht="18.75" customHeight="1" x14ac:dyDescent="0.25">
      <c r="A171" s="14"/>
      <c r="B171" s="11"/>
      <c r="C171" s="11" t="s">
        <v>73</v>
      </c>
      <c r="D171" s="14" t="s">
        <v>74</v>
      </c>
      <c r="E171" s="14" t="s">
        <v>75</v>
      </c>
      <c r="F171" s="14" t="s">
        <v>76</v>
      </c>
      <c r="G171" s="12"/>
      <c r="H171" s="76"/>
      <c r="I171" s="128"/>
    </row>
    <row r="172" spans="1:9" customFormat="1" ht="18.75" customHeight="1" x14ac:dyDescent="0.25">
      <c r="A172" s="14"/>
      <c r="B172" s="11"/>
      <c r="C172" s="11"/>
      <c r="D172" s="76">
        <f>Process!D109</f>
        <v>3.2602533184831316E-3</v>
      </c>
      <c r="E172" s="76">
        <f>Process!E109</f>
        <v>4.3367091851796834E-3</v>
      </c>
      <c r="F172" s="76">
        <f>Process!F109</f>
        <v>2.2385204081632658E-2</v>
      </c>
      <c r="G172" s="15" t="s">
        <v>41</v>
      </c>
      <c r="H172" s="77" t="str">
        <f>IF(D172&lt;E172,(IF(E172&lt;F172,"[ OK ]","[ NOT OK ]")),"[ Pakai ρmin ]")</f>
        <v>[ OK ]</v>
      </c>
      <c r="I172" s="128"/>
    </row>
    <row r="173" spans="1:9" customFormat="1" ht="18.75" customHeight="1" x14ac:dyDescent="0.25">
      <c r="A173" s="14"/>
      <c r="B173" s="11"/>
      <c r="C173" s="11"/>
      <c r="D173" s="11"/>
      <c r="E173" s="11"/>
      <c r="F173" s="11"/>
      <c r="G173" s="12"/>
      <c r="H173" s="14"/>
      <c r="I173" s="128"/>
    </row>
    <row r="174" spans="1:9" customFormat="1" ht="18.75" customHeight="1" x14ac:dyDescent="0.25">
      <c r="A174" s="14"/>
      <c r="B174" s="11" t="s">
        <v>77</v>
      </c>
      <c r="C174" s="11"/>
      <c r="D174" s="11"/>
      <c r="E174" s="11"/>
      <c r="F174" s="11"/>
      <c r="G174" s="12" t="s">
        <v>78</v>
      </c>
      <c r="H174" s="33">
        <f>Process!H111</f>
        <v>4.3367091851796834E-3</v>
      </c>
      <c r="I174" s="128"/>
    </row>
    <row r="175" spans="1:9" customFormat="1" ht="18.75" customHeight="1" x14ac:dyDescent="0.25">
      <c r="A175" s="14"/>
      <c r="B175" s="11"/>
      <c r="C175" s="11"/>
      <c r="D175" s="11"/>
      <c r="E175" s="11"/>
      <c r="F175" s="11"/>
      <c r="G175" s="12"/>
      <c r="H175" s="76"/>
      <c r="I175" s="128"/>
    </row>
    <row r="176" spans="1:9" customFormat="1" ht="18.75" customHeight="1" x14ac:dyDescent="0.25">
      <c r="A176" s="14"/>
      <c r="B176" s="18" t="s">
        <v>79</v>
      </c>
      <c r="C176" s="14"/>
      <c r="D176" s="12"/>
      <c r="E176" s="14"/>
      <c r="F176" s="11"/>
      <c r="G176" s="12" t="s">
        <v>98</v>
      </c>
      <c r="H176" s="34">
        <f>Process!H113</f>
        <v>568.54257417705651</v>
      </c>
      <c r="I176" s="128" t="s">
        <v>33</v>
      </c>
    </row>
    <row r="177" spans="1:9" customFormat="1" ht="18.75" customHeight="1" x14ac:dyDescent="0.25">
      <c r="A177" s="14"/>
      <c r="B177" s="18" t="s">
        <v>81</v>
      </c>
      <c r="C177" s="11"/>
      <c r="D177" s="11"/>
      <c r="E177" s="14"/>
      <c r="F177" s="11"/>
      <c r="G177" s="12" t="s">
        <v>82</v>
      </c>
      <c r="H177" s="34">
        <f>Process!H114</f>
        <v>1.4956423312143654</v>
      </c>
      <c r="I177" s="253"/>
    </row>
    <row r="178" spans="1:9" customFormat="1" ht="18.75" customHeight="1" x14ac:dyDescent="0.25">
      <c r="A178" s="14"/>
      <c r="B178" s="18" t="s">
        <v>83</v>
      </c>
      <c r="C178" s="19"/>
      <c r="D178" s="14"/>
      <c r="E178" s="80"/>
      <c r="F178" s="11"/>
      <c r="G178" s="34">
        <f>Process!G115</f>
        <v>1.4956423312143654</v>
      </c>
      <c r="H178" s="35">
        <f>Process!H115</f>
        <v>22</v>
      </c>
      <c r="I178" s="253"/>
    </row>
    <row r="179" spans="1:9" customFormat="1" ht="18.75" customHeight="1" x14ac:dyDescent="0.25">
      <c r="A179" s="14"/>
      <c r="B179" s="18" t="s">
        <v>84</v>
      </c>
      <c r="C179" s="11"/>
      <c r="D179" s="11"/>
      <c r="E179" s="11"/>
      <c r="F179" s="11"/>
      <c r="G179" s="12" t="s">
        <v>85</v>
      </c>
      <c r="H179" s="34">
        <f>Process!H116</f>
        <v>1</v>
      </c>
      <c r="I179" s="253"/>
    </row>
    <row r="180" spans="1:9" customFormat="1" ht="18.75" customHeight="1" x14ac:dyDescent="0.25">
      <c r="A180" s="14"/>
      <c r="B180" s="11"/>
      <c r="C180" s="11" t="s">
        <v>86</v>
      </c>
      <c r="D180" s="12" t="s">
        <v>87</v>
      </c>
      <c r="E180" s="14" t="s">
        <v>101</v>
      </c>
      <c r="F180" s="18"/>
      <c r="G180" s="15" t="s">
        <v>41</v>
      </c>
      <c r="H180" s="77" t="str">
        <f>IF(H179&lt;=3,"[OK]","[NOT OK]")</f>
        <v>[OK]</v>
      </c>
      <c r="I180" s="253"/>
    </row>
    <row r="181" spans="1:9" customFormat="1" ht="18.75" customHeight="1" x14ac:dyDescent="0.25">
      <c r="A181" s="14"/>
      <c r="B181" s="11"/>
      <c r="C181" s="11"/>
      <c r="D181" s="11"/>
      <c r="E181" s="11"/>
      <c r="F181" s="11"/>
      <c r="G181" s="12"/>
      <c r="H181" s="81"/>
      <c r="I181" s="253"/>
    </row>
    <row r="182" spans="1:9" customFormat="1" ht="18.75" customHeight="1" x14ac:dyDescent="0.25">
      <c r="A182" s="259"/>
      <c r="B182" s="131" t="s">
        <v>89</v>
      </c>
      <c r="C182" s="132" t="s">
        <v>90</v>
      </c>
      <c r="D182" s="132" t="s">
        <v>91</v>
      </c>
      <c r="E182" s="132" t="s">
        <v>92</v>
      </c>
      <c r="F182" s="11"/>
      <c r="G182" s="12"/>
      <c r="H182" s="81"/>
      <c r="I182" s="253"/>
    </row>
    <row r="183" spans="1:9" customFormat="1" ht="18.75" customHeight="1" x14ac:dyDescent="0.25">
      <c r="A183" s="259"/>
      <c r="B183" s="131" t="s">
        <v>93</v>
      </c>
      <c r="C183" s="132" t="s">
        <v>280</v>
      </c>
      <c r="D183" s="132" t="s">
        <v>281</v>
      </c>
      <c r="E183" s="132" t="s">
        <v>282</v>
      </c>
      <c r="F183" s="11"/>
      <c r="G183" s="12"/>
      <c r="H183" s="81"/>
      <c r="I183" s="253"/>
    </row>
    <row r="184" spans="1:9" customFormat="1" ht="18.75" customHeight="1" x14ac:dyDescent="0.25">
      <c r="A184" s="259"/>
      <c r="B184" s="41">
        <v>1</v>
      </c>
      <c r="C184" s="34">
        <f>Process!C121</f>
        <v>1.4956423312143654</v>
      </c>
      <c r="D184" s="34">
        <f>Process!D121</f>
        <v>63</v>
      </c>
      <c r="E184" s="34">
        <f>Process!E121</f>
        <v>94.225466866505016</v>
      </c>
      <c r="F184" s="11"/>
      <c r="G184" s="12"/>
      <c r="H184" s="81"/>
      <c r="I184" s="253"/>
    </row>
    <row r="185" spans="1:9" customFormat="1" ht="18.75" customHeight="1" x14ac:dyDescent="0.25">
      <c r="A185" s="259"/>
      <c r="B185" s="41">
        <v>2</v>
      </c>
      <c r="C185" s="34">
        <f>Process!C122</f>
        <v>0</v>
      </c>
      <c r="D185" s="34">
        <f>Process!D122</f>
        <v>0</v>
      </c>
      <c r="E185" s="34">
        <f>Process!E122</f>
        <v>0</v>
      </c>
      <c r="F185" s="11"/>
      <c r="G185" s="12"/>
      <c r="H185" s="81"/>
      <c r="I185" s="253"/>
    </row>
    <row r="186" spans="1:9" customFormat="1" ht="18.75" customHeight="1" x14ac:dyDescent="0.25">
      <c r="A186" s="259"/>
      <c r="B186" s="41">
        <v>3</v>
      </c>
      <c r="C186" s="34">
        <f>Process!C123</f>
        <v>0</v>
      </c>
      <c r="D186" s="34">
        <f>Process!D123</f>
        <v>0</v>
      </c>
      <c r="E186" s="34">
        <f>Process!E123</f>
        <v>0</v>
      </c>
      <c r="F186" s="11"/>
      <c r="G186" s="12"/>
      <c r="H186" s="81"/>
      <c r="I186" s="253"/>
    </row>
    <row r="187" spans="1:9" customFormat="1" ht="18.75" customHeight="1" x14ac:dyDescent="0.25">
      <c r="A187" s="259"/>
      <c r="B187" s="137" t="s">
        <v>94</v>
      </c>
      <c r="C187" s="138">
        <f>SUM(C184:C186)</f>
        <v>1.4956423312143654</v>
      </c>
      <c r="D187" s="139" t="s">
        <v>95</v>
      </c>
      <c r="E187" s="138">
        <f>SUM(E184:E186)</f>
        <v>94.225466866505016</v>
      </c>
      <c r="F187" s="11"/>
      <c r="G187" s="12"/>
      <c r="H187" s="81"/>
      <c r="I187" s="253"/>
    </row>
    <row r="188" spans="1:9" customFormat="1" ht="18.75" customHeight="1" x14ac:dyDescent="0.25">
      <c r="A188" s="14"/>
      <c r="B188" s="11"/>
      <c r="C188" s="11"/>
      <c r="D188" s="11"/>
      <c r="E188" s="11"/>
      <c r="F188" s="11"/>
      <c r="G188" s="12"/>
      <c r="H188" s="81"/>
      <c r="I188" s="253"/>
    </row>
    <row r="189" spans="1:9" customFormat="1" ht="18.75" customHeight="1" x14ac:dyDescent="0.25">
      <c r="A189" s="14"/>
      <c r="B189" s="11"/>
      <c r="C189" s="11"/>
      <c r="D189" s="11"/>
      <c r="E189" s="11"/>
      <c r="F189" s="11"/>
      <c r="G189" s="12"/>
      <c r="H189" s="81"/>
      <c r="I189" s="253"/>
    </row>
    <row r="190" spans="1:9" customFormat="1" ht="18.75" customHeight="1" x14ac:dyDescent="0.25">
      <c r="A190" s="14"/>
      <c r="B190" s="11"/>
      <c r="C190" s="11"/>
      <c r="D190" s="11"/>
      <c r="E190" s="11"/>
      <c r="F190" s="11"/>
      <c r="G190" s="12"/>
      <c r="H190" s="81"/>
      <c r="I190" s="253"/>
    </row>
    <row r="191" spans="1:9" customFormat="1" ht="18.75" customHeight="1" x14ac:dyDescent="0.25">
      <c r="A191" s="14"/>
      <c r="B191" s="11"/>
      <c r="C191" s="11"/>
      <c r="D191" s="11"/>
      <c r="E191" s="11"/>
      <c r="F191" s="11"/>
      <c r="G191" s="12"/>
      <c r="H191" s="81"/>
      <c r="I191" s="253"/>
    </row>
    <row r="192" spans="1:9" customFormat="1" ht="18.75" customHeight="1" x14ac:dyDescent="0.25">
      <c r="A192" s="14"/>
      <c r="B192" s="11"/>
      <c r="C192" s="11"/>
      <c r="D192" s="11"/>
      <c r="E192" s="11"/>
      <c r="F192" s="11"/>
      <c r="G192" s="12"/>
      <c r="H192" s="81"/>
      <c r="I192" s="253"/>
    </row>
    <row r="193" spans="1:9" customFormat="1" ht="18.75" customHeight="1" x14ac:dyDescent="0.25">
      <c r="A193" s="14"/>
      <c r="B193" s="11"/>
      <c r="C193" s="11"/>
      <c r="D193" s="11"/>
      <c r="E193" s="11"/>
      <c r="F193" s="11"/>
      <c r="G193" s="12"/>
      <c r="H193" s="81"/>
      <c r="I193" s="253"/>
    </row>
    <row r="194" spans="1:9" customFormat="1" ht="18.75" customHeight="1" x14ac:dyDescent="0.25">
      <c r="A194" s="14"/>
      <c r="B194" s="11"/>
      <c r="C194" s="11"/>
      <c r="D194" s="11"/>
      <c r="E194" s="11"/>
      <c r="F194" s="11"/>
      <c r="G194" s="12"/>
      <c r="H194" s="81"/>
      <c r="I194" s="253"/>
    </row>
    <row r="195" spans="1:9" customFormat="1" ht="18.75" customHeight="1" x14ac:dyDescent="0.25">
      <c r="A195" s="14"/>
      <c r="B195" s="11"/>
      <c r="C195" s="11"/>
      <c r="D195" s="11"/>
      <c r="E195" s="11"/>
      <c r="F195" s="11"/>
      <c r="G195" s="12"/>
      <c r="H195" s="81"/>
      <c r="I195" s="253"/>
    </row>
    <row r="196" spans="1:9" customFormat="1" ht="18.75" customHeight="1" x14ac:dyDescent="0.25">
      <c r="A196" s="14"/>
      <c r="B196" s="11"/>
      <c r="C196" s="11"/>
      <c r="D196" s="11"/>
      <c r="E196" s="11"/>
      <c r="F196" s="11"/>
      <c r="G196" s="12"/>
      <c r="H196" s="81"/>
      <c r="I196" s="253"/>
    </row>
    <row r="197" spans="1:9" customFormat="1" ht="18.75" customHeight="1" x14ac:dyDescent="0.25">
      <c r="A197" s="14"/>
      <c r="B197" s="11"/>
      <c r="C197" s="11"/>
      <c r="D197" s="11"/>
      <c r="E197" s="11"/>
      <c r="F197" s="11"/>
      <c r="G197" s="12"/>
      <c r="H197" s="81"/>
      <c r="I197" s="253"/>
    </row>
    <row r="198" spans="1:9" customFormat="1" ht="18.75" customHeight="1" x14ac:dyDescent="0.25">
      <c r="A198" s="14"/>
      <c r="B198" s="11" t="s">
        <v>484</v>
      </c>
      <c r="C198" s="11"/>
      <c r="D198" s="11"/>
      <c r="E198" s="77"/>
      <c r="F198" s="11"/>
      <c r="G198" s="12" t="s">
        <v>88</v>
      </c>
      <c r="H198" s="34">
        <f>Process!H135</f>
        <v>437</v>
      </c>
      <c r="I198" s="253" t="s">
        <v>19</v>
      </c>
    </row>
    <row r="199" spans="1:9" customFormat="1" ht="18.75" customHeight="1" x14ac:dyDescent="0.25">
      <c r="A199" s="14"/>
      <c r="B199" s="11" t="s">
        <v>485</v>
      </c>
      <c r="C199" s="11"/>
      <c r="D199" s="11"/>
      <c r="E199" s="77"/>
      <c r="F199" s="11"/>
      <c r="G199" s="12" t="s">
        <v>100</v>
      </c>
      <c r="H199" s="34">
        <f>Process!H136</f>
        <v>63</v>
      </c>
      <c r="I199" s="253" t="s">
        <v>19</v>
      </c>
    </row>
    <row r="200" spans="1:9" customFormat="1" ht="18.75" customHeight="1" x14ac:dyDescent="0.25"/>
    <row r="201" spans="1:9" customFormat="1" ht="18.75" customHeight="1" x14ac:dyDescent="0.25">
      <c r="A201" s="153" t="s">
        <v>416</v>
      </c>
      <c r="B201" s="6" t="s">
        <v>403</v>
      </c>
      <c r="C201" s="7"/>
      <c r="D201" s="7"/>
      <c r="E201" s="7"/>
      <c r="F201" s="8"/>
      <c r="G201" s="8"/>
      <c r="H201" s="9"/>
      <c r="I201" s="127"/>
    </row>
    <row r="202" spans="1:9" customFormat="1" ht="18.75" customHeight="1" x14ac:dyDescent="0.25">
      <c r="A202" s="14"/>
      <c r="B202" s="11" t="s">
        <v>61</v>
      </c>
      <c r="C202" s="11"/>
      <c r="D202" s="11"/>
      <c r="E202" s="11"/>
      <c r="F202" s="12"/>
      <c r="G202" s="12" t="s">
        <v>62</v>
      </c>
      <c r="H202" s="34">
        <f>Process!H139</f>
        <v>0.85</v>
      </c>
      <c r="I202" s="128"/>
    </row>
    <row r="203" spans="1:9" customFormat="1" ht="18.75" customHeight="1" x14ac:dyDescent="0.25">
      <c r="A203" s="14"/>
      <c r="B203" s="11" t="s">
        <v>63</v>
      </c>
      <c r="C203" s="11"/>
      <c r="D203" s="11"/>
      <c r="E203" s="11"/>
      <c r="F203" s="12"/>
      <c r="G203" s="12" t="s">
        <v>380</v>
      </c>
      <c r="H203" s="34">
        <f>Process!H140</f>
        <v>143.04</v>
      </c>
      <c r="I203" s="128" t="s">
        <v>27</v>
      </c>
    </row>
    <row r="204" spans="1:9" customFormat="1" ht="18.75" customHeight="1" x14ac:dyDescent="0.25">
      <c r="A204" s="14"/>
      <c r="B204" s="11" t="s">
        <v>64</v>
      </c>
      <c r="C204" s="11"/>
      <c r="D204" s="11"/>
      <c r="E204" s="11"/>
      <c r="F204" s="12"/>
      <c r="G204" s="12" t="s">
        <v>65</v>
      </c>
      <c r="H204" s="34">
        <f>Process!H141</f>
        <v>168.28235294117647</v>
      </c>
      <c r="I204" s="128" t="s">
        <v>27</v>
      </c>
    </row>
    <row r="205" spans="1:9" customFormat="1" ht="18.75" customHeight="1" x14ac:dyDescent="0.25">
      <c r="A205" s="14"/>
      <c r="B205" s="11" t="s">
        <v>66</v>
      </c>
      <c r="C205" s="19"/>
      <c r="D205" s="11"/>
      <c r="E205" s="11"/>
      <c r="F205" s="11"/>
      <c r="G205" s="12" t="s">
        <v>67</v>
      </c>
      <c r="H205" s="34">
        <f>Process!H142</f>
        <v>25742.960202742808</v>
      </c>
      <c r="I205" s="128" t="s">
        <v>9</v>
      </c>
    </row>
    <row r="206" spans="1:9" customFormat="1" ht="18.75" customHeight="1" x14ac:dyDescent="0.25">
      <c r="A206" s="14"/>
      <c r="B206" s="11" t="s">
        <v>68</v>
      </c>
      <c r="C206" s="19"/>
      <c r="D206" s="11"/>
      <c r="E206" s="11"/>
      <c r="F206" s="11"/>
      <c r="G206" s="74" t="s">
        <v>69</v>
      </c>
      <c r="H206" s="34">
        <f>Process!H143</f>
        <v>2.9373415395723299</v>
      </c>
      <c r="I206" s="128"/>
    </row>
    <row r="207" spans="1:9" customFormat="1" ht="18.75" customHeight="1" x14ac:dyDescent="0.25">
      <c r="A207" s="14"/>
      <c r="B207" s="11" t="s">
        <v>70</v>
      </c>
      <c r="C207" s="19"/>
      <c r="D207" s="11"/>
      <c r="E207" s="11"/>
      <c r="F207" s="11"/>
      <c r="G207" s="74" t="s">
        <v>71</v>
      </c>
      <c r="H207" s="33">
        <f>Process!H144</f>
        <v>7.4508546165755604E-3</v>
      </c>
      <c r="I207" s="18"/>
    </row>
    <row r="208" spans="1:9" customFormat="1" ht="18.75" customHeight="1" x14ac:dyDescent="0.25">
      <c r="A208" s="14"/>
      <c r="B208" s="11"/>
      <c r="C208" s="19"/>
      <c r="D208" s="11"/>
      <c r="E208" s="11"/>
      <c r="F208" s="11"/>
      <c r="G208" s="74"/>
      <c r="H208" s="76"/>
      <c r="I208" s="18"/>
    </row>
    <row r="209" spans="1:9" customFormat="1" ht="18.75" customHeight="1" x14ac:dyDescent="0.25">
      <c r="A209" s="14"/>
      <c r="B209" s="11"/>
      <c r="C209" s="19"/>
      <c r="D209" s="11"/>
      <c r="E209" s="11"/>
      <c r="F209" s="11"/>
      <c r="G209" s="74"/>
      <c r="H209" s="76"/>
      <c r="I209" s="18"/>
    </row>
    <row r="210" spans="1:9" customFormat="1" ht="18.75" customHeight="1" x14ac:dyDescent="0.25">
      <c r="A210" s="14"/>
      <c r="B210" s="11" t="s">
        <v>72</v>
      </c>
      <c r="C210" s="11"/>
      <c r="D210" s="11"/>
      <c r="E210" s="11"/>
      <c r="F210" s="11"/>
      <c r="G210" s="12"/>
      <c r="H210" s="76"/>
      <c r="I210" s="128"/>
    </row>
    <row r="211" spans="1:9" customFormat="1" ht="18.75" customHeight="1" x14ac:dyDescent="0.25">
      <c r="A211" s="14"/>
      <c r="B211" s="11"/>
      <c r="C211" s="11" t="s">
        <v>73</v>
      </c>
      <c r="D211" s="14" t="s">
        <v>74</v>
      </c>
      <c r="E211" s="14" t="s">
        <v>75</v>
      </c>
      <c r="F211" s="14" t="s">
        <v>76</v>
      </c>
      <c r="G211" s="12"/>
      <c r="H211" s="76"/>
      <c r="I211" s="128"/>
    </row>
    <row r="212" spans="1:9" customFormat="1" ht="18.75" customHeight="1" x14ac:dyDescent="0.25">
      <c r="A212" s="14"/>
      <c r="B212" s="11"/>
      <c r="C212" s="11"/>
      <c r="D212" s="76">
        <f>Process!D147</f>
        <v>3.2602533184831316E-3</v>
      </c>
      <c r="E212" s="76">
        <f>Process!E147</f>
        <v>7.4508546165755604E-3</v>
      </c>
      <c r="F212" s="76">
        <f>Process!F147</f>
        <v>2.2385204081632658E-2</v>
      </c>
      <c r="G212" s="15" t="s">
        <v>41</v>
      </c>
      <c r="H212" s="77" t="str">
        <f>IF(D212&lt;E212,(IF(E212&lt;F212,"[ OK ]","[ NOT OK ]")),"[ Pakai ρmin ]")</f>
        <v>[ OK ]</v>
      </c>
      <c r="I212" s="128"/>
    </row>
    <row r="213" spans="1:9" customFormat="1" ht="18.75" customHeight="1" x14ac:dyDescent="0.25">
      <c r="A213" s="14"/>
      <c r="B213" s="11"/>
      <c r="C213" s="11"/>
      <c r="D213" s="11"/>
      <c r="E213" s="11"/>
      <c r="F213" s="11"/>
      <c r="G213" s="12"/>
      <c r="H213" s="14"/>
      <c r="I213" s="128"/>
    </row>
    <row r="214" spans="1:9" customFormat="1" ht="18.75" customHeight="1" x14ac:dyDescent="0.25">
      <c r="A214" s="14"/>
      <c r="B214" s="11" t="s">
        <v>77</v>
      </c>
      <c r="C214" s="11"/>
      <c r="D214" s="11"/>
      <c r="E214" s="11"/>
      <c r="F214" s="11"/>
      <c r="G214" s="12" t="s">
        <v>78</v>
      </c>
      <c r="H214" s="33">
        <f>Process!H149</f>
        <v>7.4508546165755604E-3</v>
      </c>
      <c r="I214" s="128"/>
    </row>
    <row r="215" spans="1:9" customFormat="1" ht="18.75" customHeight="1" x14ac:dyDescent="0.25">
      <c r="A215" s="14"/>
      <c r="B215" s="14"/>
      <c r="C215" s="14"/>
      <c r="D215" s="19"/>
      <c r="E215" s="19"/>
      <c r="F215" s="11"/>
      <c r="G215" s="12"/>
      <c r="H215" s="14"/>
      <c r="I215" s="253"/>
    </row>
    <row r="216" spans="1:9" customFormat="1" ht="18.75" customHeight="1" x14ac:dyDescent="0.25">
      <c r="A216" s="14"/>
      <c r="B216" s="18" t="s">
        <v>79</v>
      </c>
      <c r="C216" s="14"/>
      <c r="D216" s="12"/>
      <c r="E216" s="14"/>
      <c r="F216" s="11"/>
      <c r="G216" s="12" t="s">
        <v>80</v>
      </c>
      <c r="H216" s="34">
        <f>Process!H151</f>
        <v>976.807040233056</v>
      </c>
      <c r="I216" s="128" t="s">
        <v>33</v>
      </c>
    </row>
    <row r="217" spans="1:9" customFormat="1" ht="18.75" customHeight="1" x14ac:dyDescent="0.25">
      <c r="A217" s="14"/>
      <c r="B217" s="18" t="s">
        <v>81</v>
      </c>
      <c r="C217" s="11"/>
      <c r="D217" s="11"/>
      <c r="E217" s="14"/>
      <c r="F217" s="11"/>
      <c r="G217" s="12" t="s">
        <v>291</v>
      </c>
      <c r="H217" s="34">
        <f>Process!H152</f>
        <v>2.5696474198356154</v>
      </c>
      <c r="I217" s="253"/>
    </row>
    <row r="218" spans="1:9" customFormat="1" ht="18.75" customHeight="1" x14ac:dyDescent="0.25">
      <c r="A218" s="14"/>
      <c r="B218" s="18" t="s">
        <v>83</v>
      </c>
      <c r="C218" s="19"/>
      <c r="D218" s="14"/>
      <c r="E218" s="80"/>
      <c r="F218" s="11"/>
      <c r="G218" s="64">
        <f>H217</f>
        <v>2.5696474198356154</v>
      </c>
      <c r="H218" s="35">
        <f>Process!H153</f>
        <v>22</v>
      </c>
      <c r="I218" s="253"/>
    </row>
    <row r="219" spans="1:9" customFormat="1" ht="18.75" customHeight="1" x14ac:dyDescent="0.25">
      <c r="A219" s="14"/>
      <c r="B219" s="18" t="s">
        <v>84</v>
      </c>
      <c r="C219" s="11"/>
      <c r="D219" s="11"/>
      <c r="E219" s="11"/>
      <c r="F219" s="11"/>
      <c r="G219" s="12" t="s">
        <v>85</v>
      </c>
      <c r="H219" s="34">
        <f>Process!H154</f>
        <v>1</v>
      </c>
      <c r="I219" s="253"/>
    </row>
    <row r="220" spans="1:9" customFormat="1" ht="18.75" customHeight="1" x14ac:dyDescent="0.25">
      <c r="A220" s="14"/>
      <c r="B220" s="11"/>
      <c r="C220" s="11" t="s">
        <v>86</v>
      </c>
      <c r="D220" s="12" t="s">
        <v>87</v>
      </c>
      <c r="E220" s="14" t="s">
        <v>101</v>
      </c>
      <c r="F220" s="11"/>
      <c r="G220" s="15" t="s">
        <v>41</v>
      </c>
      <c r="H220" s="77" t="str">
        <f>IF(H219&lt;=3,"[OK]","[NOT OK]")</f>
        <v>[OK]</v>
      </c>
      <c r="I220" s="253"/>
    </row>
    <row r="221" spans="1:9" customFormat="1" ht="18.75" customHeight="1" x14ac:dyDescent="0.25">
      <c r="A221" s="14"/>
      <c r="B221" s="11"/>
      <c r="C221" s="11"/>
      <c r="D221" s="11"/>
      <c r="E221" s="11"/>
      <c r="F221" s="11"/>
      <c r="G221" s="12"/>
      <c r="H221" s="81"/>
      <c r="I221" s="253"/>
    </row>
    <row r="222" spans="1:9" customFormat="1" ht="18.75" customHeight="1" x14ac:dyDescent="0.25">
      <c r="A222" s="259"/>
      <c r="B222" s="131" t="s">
        <v>89</v>
      </c>
      <c r="C222" s="132" t="s">
        <v>90</v>
      </c>
      <c r="D222" s="132" t="s">
        <v>91</v>
      </c>
      <c r="E222" s="132" t="s">
        <v>92</v>
      </c>
      <c r="F222" s="11"/>
      <c r="G222" s="12"/>
      <c r="H222" s="81"/>
      <c r="I222" s="253"/>
    </row>
    <row r="223" spans="1:9" customFormat="1" ht="18.75" customHeight="1" x14ac:dyDescent="0.25">
      <c r="A223" s="259"/>
      <c r="B223" s="131" t="s">
        <v>93</v>
      </c>
      <c r="C223" s="132" t="s">
        <v>280</v>
      </c>
      <c r="D223" s="132" t="s">
        <v>281</v>
      </c>
      <c r="E223" s="132" t="s">
        <v>282</v>
      </c>
      <c r="F223" s="11"/>
      <c r="G223" s="12"/>
      <c r="H223" s="81"/>
      <c r="I223" s="253"/>
    </row>
    <row r="224" spans="1:9" customFormat="1" ht="18.75" customHeight="1" x14ac:dyDescent="0.25">
      <c r="A224" s="259"/>
      <c r="B224" s="41">
        <v>1</v>
      </c>
      <c r="C224" s="34">
        <f>Process!C159</f>
        <v>2.5696474198356154</v>
      </c>
      <c r="D224" s="34">
        <f>Process!D159</f>
        <v>63</v>
      </c>
      <c r="E224" s="34">
        <f>Process!E159</f>
        <v>161.88778744964378</v>
      </c>
      <c r="F224" s="11"/>
      <c r="G224" s="12"/>
      <c r="H224" s="81"/>
      <c r="I224" s="253"/>
    </row>
    <row r="225" spans="1:9" customFormat="1" ht="18.75" customHeight="1" x14ac:dyDescent="0.25">
      <c r="A225" s="259"/>
      <c r="B225" s="41">
        <v>2</v>
      </c>
      <c r="C225" s="34">
        <f>Process!C160</f>
        <v>0</v>
      </c>
      <c r="D225" s="34">
        <f>Process!D160</f>
        <v>0</v>
      </c>
      <c r="E225" s="34">
        <f>Process!E160</f>
        <v>0</v>
      </c>
      <c r="F225" s="11"/>
      <c r="G225" s="12"/>
      <c r="H225" s="81"/>
      <c r="I225" s="253"/>
    </row>
    <row r="226" spans="1:9" customFormat="1" ht="18.75" customHeight="1" x14ac:dyDescent="0.25">
      <c r="A226" s="259"/>
      <c r="B226" s="41">
        <v>3</v>
      </c>
      <c r="C226" s="34">
        <f>Process!C161</f>
        <v>0</v>
      </c>
      <c r="D226" s="34">
        <f>Process!D161</f>
        <v>0</v>
      </c>
      <c r="E226" s="34">
        <f>Process!E161</f>
        <v>0</v>
      </c>
      <c r="F226" s="11"/>
      <c r="G226" s="12"/>
      <c r="H226" s="81"/>
      <c r="I226" s="253"/>
    </row>
    <row r="227" spans="1:9" customFormat="1" ht="18.75" customHeight="1" x14ac:dyDescent="0.25">
      <c r="A227" s="259"/>
      <c r="B227" s="137" t="s">
        <v>94</v>
      </c>
      <c r="C227" s="138">
        <f>SUM(C224:C226)</f>
        <v>2.5696474198356154</v>
      </c>
      <c r="D227" s="139" t="s">
        <v>95</v>
      </c>
      <c r="E227" s="138">
        <f>SUM(E224:E226)</f>
        <v>161.88778744964378</v>
      </c>
      <c r="F227" s="11"/>
      <c r="G227" s="12"/>
      <c r="H227" s="81"/>
      <c r="I227" s="253"/>
    </row>
    <row r="228" spans="1:9" customFormat="1" ht="18.75" customHeight="1" x14ac:dyDescent="0.25">
      <c r="A228" s="14"/>
      <c r="B228" s="15"/>
      <c r="C228" s="16"/>
      <c r="D228" s="15"/>
      <c r="E228" s="16"/>
      <c r="F228" s="11"/>
      <c r="G228" s="12"/>
      <c r="H228" s="81"/>
      <c r="I228" s="253"/>
    </row>
    <row r="229" spans="1:9" customFormat="1" ht="18.75" customHeight="1" x14ac:dyDescent="0.25">
      <c r="A229" s="14"/>
      <c r="B229" s="15"/>
      <c r="C229" s="16"/>
      <c r="D229" s="15"/>
      <c r="E229" s="16"/>
      <c r="F229" s="11"/>
      <c r="G229" s="12"/>
      <c r="H229" s="81"/>
      <c r="I229" s="253"/>
    </row>
    <row r="230" spans="1:9" customFormat="1" ht="18.75" customHeight="1" x14ac:dyDescent="0.25">
      <c r="A230" s="14"/>
      <c r="B230" s="15"/>
      <c r="C230" s="16"/>
      <c r="D230" s="15"/>
      <c r="E230" s="16"/>
      <c r="F230" s="11"/>
      <c r="G230" s="12"/>
      <c r="H230" s="81"/>
      <c r="I230" s="253"/>
    </row>
    <row r="231" spans="1:9" customFormat="1" ht="18.75" customHeight="1" x14ac:dyDescent="0.25">
      <c r="A231" s="14"/>
      <c r="B231" s="15"/>
      <c r="C231" s="16"/>
      <c r="D231" s="15"/>
      <c r="E231" s="16"/>
      <c r="F231" s="11"/>
      <c r="G231" s="12"/>
      <c r="H231" s="81"/>
      <c r="I231" s="253"/>
    </row>
    <row r="232" spans="1:9" customFormat="1" ht="18.75" customHeight="1" x14ac:dyDescent="0.25">
      <c r="A232" s="14"/>
      <c r="B232" s="15"/>
      <c r="C232" s="16"/>
      <c r="D232" s="15"/>
      <c r="E232" s="16"/>
      <c r="F232" s="11"/>
      <c r="G232" s="12"/>
      <c r="H232" s="81"/>
      <c r="I232" s="253"/>
    </row>
    <row r="233" spans="1:9" customFormat="1" ht="18.75" customHeight="1" x14ac:dyDescent="0.25">
      <c r="A233" s="14"/>
      <c r="B233" s="15"/>
      <c r="C233" s="16"/>
      <c r="D233" s="15"/>
      <c r="E233" s="16"/>
      <c r="F233" s="11"/>
      <c r="G233" s="12"/>
      <c r="H233" s="81"/>
      <c r="I233" s="253"/>
    </row>
    <row r="234" spans="1:9" customFormat="1" ht="18.75" customHeight="1" x14ac:dyDescent="0.25">
      <c r="A234" s="14"/>
      <c r="B234" s="15"/>
      <c r="C234" s="16"/>
      <c r="D234" s="15"/>
      <c r="E234" s="16"/>
      <c r="F234" s="11"/>
      <c r="G234" s="12"/>
      <c r="H234" s="81"/>
      <c r="I234" s="253"/>
    </row>
    <row r="235" spans="1:9" customFormat="1" ht="18.75" customHeight="1" x14ac:dyDescent="0.25">
      <c r="A235" s="14"/>
      <c r="B235" s="15"/>
      <c r="C235" s="16"/>
      <c r="D235" s="15"/>
      <c r="E235" s="16"/>
      <c r="F235" s="11"/>
      <c r="G235" s="12"/>
      <c r="H235" s="81"/>
      <c r="I235" s="253"/>
    </row>
    <row r="236" spans="1:9" customFormat="1" ht="18.75" customHeight="1" x14ac:dyDescent="0.25">
      <c r="A236" s="14"/>
      <c r="B236" s="15"/>
      <c r="C236" s="16"/>
      <c r="D236" s="15"/>
      <c r="E236" s="16"/>
      <c r="F236" s="11"/>
      <c r="G236" s="12"/>
      <c r="H236" s="81"/>
      <c r="I236" s="253"/>
    </row>
    <row r="237" spans="1:9" customFormat="1" ht="18.75" customHeight="1" x14ac:dyDescent="0.25">
      <c r="A237" s="14"/>
      <c r="B237" s="11"/>
      <c r="C237" s="11"/>
      <c r="D237" s="11"/>
      <c r="E237" s="11"/>
      <c r="F237" s="11"/>
      <c r="G237" s="12"/>
      <c r="H237" s="14"/>
      <c r="I237" s="128"/>
    </row>
    <row r="238" spans="1:9" customFormat="1" ht="18.75" customHeight="1" x14ac:dyDescent="0.25">
      <c r="A238" s="14"/>
      <c r="B238" s="11" t="s">
        <v>486</v>
      </c>
      <c r="C238" s="11"/>
      <c r="D238" s="11"/>
      <c r="E238" s="77"/>
      <c r="F238" s="11"/>
      <c r="G238" s="12" t="s">
        <v>88</v>
      </c>
      <c r="H238" s="34">
        <f>Process!H173</f>
        <v>437</v>
      </c>
      <c r="I238" s="253" t="s">
        <v>19</v>
      </c>
    </row>
    <row r="239" spans="1:9" customFormat="1" ht="18.75" customHeight="1" x14ac:dyDescent="0.25">
      <c r="A239" s="14"/>
      <c r="B239" s="11" t="s">
        <v>487</v>
      </c>
      <c r="C239" s="11"/>
      <c r="D239" s="11"/>
      <c r="E239" s="77"/>
      <c r="F239" s="11"/>
      <c r="G239" s="12" t="s">
        <v>100</v>
      </c>
      <c r="H239" s="34">
        <f>Process!H174</f>
        <v>63.000000000000007</v>
      </c>
      <c r="I239" s="253" t="s">
        <v>19</v>
      </c>
    </row>
    <row r="240" spans="1:9" customFormat="1" ht="18.75" customHeight="1" x14ac:dyDescent="0.25"/>
    <row r="241" spans="1:9" customFormat="1" ht="18.75" customHeight="1" x14ac:dyDescent="0.25">
      <c r="A241" s="153" t="s">
        <v>417</v>
      </c>
      <c r="B241" s="79" t="s">
        <v>106</v>
      </c>
      <c r="C241" s="9"/>
      <c r="D241" s="9"/>
      <c r="E241" s="9"/>
      <c r="F241" s="7"/>
      <c r="G241" s="8"/>
      <c r="H241" s="9"/>
      <c r="I241" s="261"/>
    </row>
    <row r="242" spans="1:9" customFormat="1" ht="18.75" customHeight="1" x14ac:dyDescent="0.25">
      <c r="A242" s="14"/>
      <c r="B242" s="133" t="s">
        <v>309</v>
      </c>
      <c r="C242" s="134"/>
      <c r="D242" s="134"/>
      <c r="E242" s="134"/>
      <c r="F242" s="135"/>
      <c r="G242" s="136"/>
      <c r="H242" s="134"/>
      <c r="I242" s="262"/>
    </row>
    <row r="243" spans="1:9" customFormat="1" ht="18.75" customHeight="1" x14ac:dyDescent="0.25">
      <c r="A243" s="14"/>
      <c r="B243" s="18" t="s">
        <v>406</v>
      </c>
      <c r="C243" s="14"/>
      <c r="D243" s="19"/>
      <c r="E243" s="82">
        <f>G97</f>
        <v>2.5696474198356154</v>
      </c>
      <c r="F243" s="35">
        <f>Process!F178</f>
        <v>22</v>
      </c>
      <c r="G243" s="12" t="s">
        <v>107</v>
      </c>
      <c r="H243" s="34">
        <f>Process!H178</f>
        <v>976.807040233056</v>
      </c>
      <c r="I243" s="128" t="s">
        <v>33</v>
      </c>
    </row>
    <row r="244" spans="1:9" customFormat="1" ht="18.75" customHeight="1" x14ac:dyDescent="0.25">
      <c r="A244" s="14"/>
      <c r="B244" s="18" t="s">
        <v>407</v>
      </c>
      <c r="C244" s="14"/>
      <c r="D244" s="19"/>
      <c r="E244" s="82">
        <f>G178</f>
        <v>1.4956423312143654</v>
      </c>
      <c r="F244" s="35">
        <f>Process!F179</f>
        <v>22</v>
      </c>
      <c r="G244" s="12" t="s">
        <v>99</v>
      </c>
      <c r="H244" s="34">
        <f>Process!H179</f>
        <v>568.54257417705651</v>
      </c>
      <c r="I244" s="128" t="s">
        <v>33</v>
      </c>
    </row>
    <row r="245" spans="1:9" customFormat="1" ht="18.75" customHeight="1" x14ac:dyDescent="0.25">
      <c r="A245" s="14"/>
      <c r="B245" s="18"/>
      <c r="C245" s="14"/>
      <c r="D245" s="19"/>
      <c r="E245" s="19"/>
      <c r="F245" s="11"/>
      <c r="G245" s="12"/>
      <c r="H245" s="14"/>
      <c r="I245" s="253"/>
    </row>
    <row r="246" spans="1:9" customFormat="1" ht="18.75" customHeight="1" x14ac:dyDescent="0.25">
      <c r="A246" s="14"/>
      <c r="B246" s="11" t="s">
        <v>108</v>
      </c>
      <c r="C246" s="11"/>
      <c r="D246" s="11"/>
      <c r="E246" s="11"/>
      <c r="F246" s="11"/>
      <c r="G246" s="12" t="s">
        <v>109</v>
      </c>
      <c r="H246" s="34">
        <f>Process!H181</f>
        <v>410.25895689788348</v>
      </c>
      <c r="I246" s="253" t="s">
        <v>110</v>
      </c>
    </row>
    <row r="247" spans="1:9" customFormat="1" ht="18.75" customHeight="1" x14ac:dyDescent="0.25">
      <c r="A247" s="14"/>
      <c r="B247" s="11"/>
      <c r="C247" s="11"/>
      <c r="D247" s="11"/>
      <c r="E247" s="11"/>
      <c r="F247" s="11"/>
      <c r="G247" s="12"/>
      <c r="H247" s="19"/>
      <c r="I247" s="253"/>
    </row>
    <row r="248" spans="1:9" customFormat="1" ht="18.75" customHeight="1" x14ac:dyDescent="0.25">
      <c r="A248" s="14"/>
      <c r="B248" s="11" t="s">
        <v>111</v>
      </c>
      <c r="C248" s="14"/>
      <c r="D248" s="12"/>
      <c r="E248" s="14"/>
      <c r="F248" s="11"/>
      <c r="G248" s="99"/>
      <c r="H248" s="99"/>
      <c r="I248" s="99"/>
    </row>
    <row r="249" spans="1:9" customFormat="1" ht="18.75" customHeight="1" x14ac:dyDescent="0.25">
      <c r="A249" s="14"/>
      <c r="B249" s="11"/>
      <c r="C249" s="14"/>
      <c r="D249" s="12"/>
      <c r="E249" s="14"/>
      <c r="F249" s="11"/>
      <c r="G249" s="12" t="s">
        <v>470</v>
      </c>
      <c r="H249" s="255">
        <f>Process!H182</f>
        <v>341.12554450623389</v>
      </c>
      <c r="I249" s="263" t="s">
        <v>110</v>
      </c>
    </row>
    <row r="250" spans="1:9" customFormat="1" ht="18.75" customHeight="1" x14ac:dyDescent="0.25">
      <c r="A250" s="14"/>
      <c r="B250" s="11" t="s">
        <v>113</v>
      </c>
      <c r="C250" s="11"/>
      <c r="D250" s="11"/>
      <c r="E250" s="14"/>
      <c r="F250" s="11"/>
      <c r="G250" s="12" t="s">
        <v>114</v>
      </c>
      <c r="H250" s="255">
        <f>Process!H183</f>
        <v>6.3932142857142864</v>
      </c>
      <c r="I250" s="128" t="s">
        <v>110</v>
      </c>
    </row>
    <row r="251" spans="1:9" customFormat="1" ht="18.75" customHeight="1" x14ac:dyDescent="0.25">
      <c r="A251" s="14"/>
      <c r="B251" s="18"/>
      <c r="C251" s="19"/>
      <c r="D251" s="14"/>
      <c r="E251" s="80"/>
      <c r="F251" s="11"/>
      <c r="G251" s="11"/>
      <c r="H251" s="11"/>
      <c r="I251" s="11"/>
    </row>
    <row r="252" spans="1:9" customFormat="1" ht="18.75" customHeight="1" x14ac:dyDescent="0.25">
      <c r="A252" s="14"/>
      <c r="B252" s="18" t="s">
        <v>115</v>
      </c>
      <c r="C252" s="11"/>
      <c r="D252" s="11"/>
      <c r="E252" s="11"/>
      <c r="F252" s="11"/>
      <c r="G252" s="12" t="s">
        <v>116</v>
      </c>
      <c r="H252" s="18" t="s">
        <v>117</v>
      </c>
      <c r="I252" s="76"/>
    </row>
    <row r="253" spans="1:9" customFormat="1" ht="18.75" customHeight="1" x14ac:dyDescent="0.25">
      <c r="A253" s="14"/>
      <c r="B253" s="18"/>
      <c r="C253" s="11"/>
      <c r="D253" s="11"/>
      <c r="E253" s="11"/>
      <c r="F253" s="19">
        <f>Process!F186</f>
        <v>6.3932142857142864</v>
      </c>
      <c r="G253" s="19">
        <f>Process!G186</f>
        <v>341.12554450623389</v>
      </c>
      <c r="H253" s="307">
        <f>Process!H186</f>
        <v>410.25895689788348</v>
      </c>
      <c r="I253" s="307"/>
    </row>
    <row r="254" spans="1:9" customFormat="1" ht="18.75" customHeight="1" x14ac:dyDescent="0.25">
      <c r="A254" s="14"/>
      <c r="B254" s="18" t="s">
        <v>118</v>
      </c>
      <c r="C254" s="11"/>
      <c r="D254" s="11"/>
      <c r="E254" s="11"/>
      <c r="F254" s="87">
        <f>(G253-H246)/H250</f>
        <v>-10.813560957299526</v>
      </c>
      <c r="G254" s="82">
        <f>-G253/F253*H118</f>
        <v>-3361.5186889503193</v>
      </c>
      <c r="H254" s="99"/>
      <c r="I254" s="260" t="s">
        <v>142</v>
      </c>
    </row>
    <row r="255" spans="1:9" customFormat="1" ht="18.75" customHeight="1" x14ac:dyDescent="0.25">
      <c r="A255" s="14"/>
      <c r="B255" s="18"/>
      <c r="C255" s="11"/>
      <c r="D255" s="11"/>
      <c r="E255" s="11"/>
      <c r="F255" s="87"/>
      <c r="G255" s="19"/>
      <c r="H255" s="88"/>
      <c r="I255" s="253"/>
    </row>
    <row r="256" spans="1:9" customFormat="1" ht="18.75" customHeight="1" x14ac:dyDescent="0.25">
      <c r="A256" s="14"/>
      <c r="B256" s="18"/>
      <c r="C256" s="11"/>
      <c r="D256" s="11"/>
      <c r="E256" s="11"/>
      <c r="F256" s="87"/>
      <c r="G256" s="19"/>
      <c r="H256" s="88"/>
      <c r="I256" s="253"/>
    </row>
    <row r="257" spans="1:9" customFormat="1" ht="18.75" customHeight="1" x14ac:dyDescent="0.25">
      <c r="A257" s="14"/>
      <c r="B257" s="18"/>
      <c r="C257" s="11"/>
      <c r="D257" s="11"/>
      <c r="E257" s="11"/>
      <c r="F257" s="87"/>
      <c r="G257" s="19"/>
      <c r="H257" s="88"/>
      <c r="I257" s="253"/>
    </row>
    <row r="258" spans="1:9" customFormat="1" ht="18.75" customHeight="1" x14ac:dyDescent="0.25">
      <c r="A258" s="14"/>
      <c r="B258" s="18"/>
      <c r="C258" s="11"/>
      <c r="D258" s="11"/>
      <c r="E258" s="11"/>
      <c r="F258" s="87"/>
      <c r="G258" s="19"/>
      <c r="H258" s="88"/>
      <c r="I258" s="253"/>
    </row>
    <row r="259" spans="1:9" customFormat="1" ht="18.75" customHeight="1" x14ac:dyDescent="0.25">
      <c r="A259" s="14"/>
      <c r="B259" s="18"/>
      <c r="C259" s="11"/>
      <c r="D259" s="11"/>
      <c r="E259" s="11"/>
      <c r="F259" s="87"/>
      <c r="G259" s="19"/>
      <c r="H259" s="88"/>
      <c r="I259" s="253"/>
    </row>
    <row r="260" spans="1:9" customFormat="1" ht="18.75" customHeight="1" x14ac:dyDescent="0.25">
      <c r="A260" s="14"/>
      <c r="B260" s="18"/>
      <c r="C260" s="11"/>
      <c r="D260" s="11"/>
      <c r="E260" s="11"/>
      <c r="F260" s="87"/>
      <c r="G260" s="19"/>
      <c r="H260" s="88"/>
      <c r="I260" s="253"/>
    </row>
    <row r="261" spans="1:9" customFormat="1" ht="18.75" customHeight="1" x14ac:dyDescent="0.25">
      <c r="A261" s="14"/>
      <c r="B261" s="18"/>
      <c r="C261" s="11"/>
      <c r="D261" s="11"/>
      <c r="E261" s="11"/>
      <c r="F261" s="87"/>
      <c r="G261" s="19"/>
      <c r="H261" s="88"/>
      <c r="I261" s="253"/>
    </row>
    <row r="262" spans="1:9" customFormat="1" ht="18.75" customHeight="1" x14ac:dyDescent="0.25">
      <c r="A262" s="14"/>
      <c r="B262" s="18"/>
      <c r="C262" s="11"/>
      <c r="D262" s="11"/>
      <c r="E262" s="11"/>
      <c r="F262" s="87"/>
      <c r="G262" s="19"/>
      <c r="H262" s="88"/>
      <c r="I262" s="253"/>
    </row>
    <row r="263" spans="1:9" customFormat="1" ht="18.75" customHeight="1" x14ac:dyDescent="0.25">
      <c r="A263" s="14"/>
      <c r="B263" s="18"/>
      <c r="C263" s="11"/>
      <c r="D263" s="11"/>
      <c r="E263" s="11"/>
      <c r="F263" s="87"/>
      <c r="G263" s="19"/>
      <c r="H263" s="88"/>
      <c r="I263" s="253"/>
    </row>
    <row r="264" spans="1:9" customFormat="1" ht="18.75" customHeight="1" x14ac:dyDescent="0.25">
      <c r="A264" s="14"/>
      <c r="B264" s="18"/>
      <c r="C264" s="11"/>
      <c r="D264" s="11"/>
      <c r="E264" s="11"/>
      <c r="F264" s="87"/>
      <c r="G264" s="19"/>
      <c r="H264" s="88"/>
      <c r="I264" s="253"/>
    </row>
    <row r="265" spans="1:9" customFormat="1" ht="18.75" customHeight="1" x14ac:dyDescent="0.25">
      <c r="A265" s="14"/>
      <c r="B265" s="18" t="s">
        <v>119</v>
      </c>
      <c r="C265" s="11"/>
      <c r="D265" s="12"/>
      <c r="E265" s="14"/>
      <c r="F265" s="18"/>
      <c r="G265" s="12" t="s">
        <v>120</v>
      </c>
      <c r="H265" s="32">
        <f>Process!H198</f>
        <v>63.636944174921716</v>
      </c>
      <c r="I265" s="253" t="s">
        <v>19</v>
      </c>
    </row>
    <row r="266" spans="1:9" customFormat="1" ht="18.75" customHeight="1" x14ac:dyDescent="0.25">
      <c r="A266" s="14"/>
      <c r="B266" s="11" t="s">
        <v>111</v>
      </c>
      <c r="C266" s="11"/>
      <c r="D266" s="11"/>
      <c r="E266" s="11"/>
      <c r="F266" s="11"/>
      <c r="G266" s="12" t="s">
        <v>121</v>
      </c>
      <c r="H266" s="32">
        <f>Process!H199</f>
        <v>3.4143362995715232</v>
      </c>
      <c r="I266" s="253" t="s">
        <v>110</v>
      </c>
    </row>
    <row r="267" spans="1:9" customFormat="1" ht="18.75" customHeight="1" x14ac:dyDescent="0.25">
      <c r="A267" s="14"/>
      <c r="B267" s="11" t="s">
        <v>113</v>
      </c>
      <c r="C267" s="12"/>
      <c r="D267" s="14"/>
      <c r="E267" s="14"/>
      <c r="F267" s="11"/>
      <c r="G267" s="12" t="s">
        <v>122</v>
      </c>
      <c r="H267" s="32">
        <f>Process!H200</f>
        <v>406.84462059831208</v>
      </c>
      <c r="I267" s="253" t="s">
        <v>110</v>
      </c>
    </row>
    <row r="268" spans="1:9" customFormat="1" ht="18.75" customHeight="1" x14ac:dyDescent="0.25">
      <c r="A268" s="14"/>
      <c r="B268" s="11" t="s">
        <v>108</v>
      </c>
      <c r="C268" s="12"/>
      <c r="D268" s="14"/>
      <c r="E268" s="14"/>
      <c r="F268" s="11"/>
      <c r="G268" s="12" t="s">
        <v>123</v>
      </c>
      <c r="H268" s="32">
        <f>Process!H201</f>
        <v>410.25895689788348</v>
      </c>
      <c r="I268" s="253" t="s">
        <v>110</v>
      </c>
    </row>
    <row r="269" spans="1:9" customFormat="1" ht="18.75" customHeight="1" x14ac:dyDescent="0.25">
      <c r="A269" s="14"/>
      <c r="B269" s="18"/>
      <c r="C269" s="11"/>
      <c r="D269" s="11"/>
      <c r="E269" s="11"/>
      <c r="F269" s="11"/>
      <c r="G269" s="12"/>
      <c r="H269" s="14"/>
      <c r="I269" s="128"/>
    </row>
    <row r="270" spans="1:9" customFormat="1" ht="18.75" customHeight="1" x14ac:dyDescent="0.25">
      <c r="A270" s="14"/>
      <c r="B270" s="18" t="s">
        <v>124</v>
      </c>
      <c r="C270" s="11"/>
      <c r="D270" s="11"/>
      <c r="E270" s="11"/>
      <c r="F270" s="11"/>
      <c r="G270" s="12"/>
      <c r="H270" s="14"/>
      <c r="I270" s="128"/>
    </row>
    <row r="271" spans="1:9" customFormat="1" ht="18.75" customHeight="1" x14ac:dyDescent="0.25">
      <c r="A271" s="14"/>
      <c r="B271" s="11"/>
      <c r="C271" s="18" t="s">
        <v>125</v>
      </c>
      <c r="D271" s="11"/>
      <c r="E271" s="11"/>
      <c r="F271" s="11"/>
      <c r="G271" s="12"/>
      <c r="H271" s="14"/>
      <c r="I271" s="128"/>
    </row>
    <row r="272" spans="1:9" customFormat="1" ht="18.75" customHeight="1" x14ac:dyDescent="0.25">
      <c r="A272" s="14"/>
      <c r="B272" s="11"/>
      <c r="C272" s="18"/>
      <c r="D272" s="11" t="s">
        <v>292</v>
      </c>
      <c r="E272" s="11"/>
      <c r="F272" s="11" t="s">
        <v>127</v>
      </c>
      <c r="G272" s="12"/>
      <c r="H272" s="14"/>
      <c r="I272" s="128"/>
    </row>
    <row r="273" spans="1:9" customFormat="1" ht="18.75" customHeight="1" x14ac:dyDescent="0.25">
      <c r="A273" s="14"/>
      <c r="B273" s="18"/>
      <c r="C273" s="11"/>
      <c r="D273" s="76">
        <f>Process!D206</f>
        <v>3.0027094316671392E-5</v>
      </c>
      <c r="E273" s="76" t="str">
        <f>Process!E206</f>
        <v>&lt;</v>
      </c>
      <c r="F273" s="76">
        <f>Process!F206</f>
        <v>2.0999999999999999E-3</v>
      </c>
      <c r="G273" s="15" t="s">
        <v>41</v>
      </c>
      <c r="H273" s="89" t="str">
        <f>IF(D273&lt;F273,"AMAN  (OK)","BAHAYA  (NG)")</f>
        <v>AMAN  (OK)</v>
      </c>
      <c r="I273" s="128"/>
    </row>
    <row r="274" spans="1:9" customFormat="1" ht="18.75" customHeight="1" x14ac:dyDescent="0.25">
      <c r="A274" s="14"/>
      <c r="B274" s="18"/>
      <c r="C274" s="18" t="s">
        <v>128</v>
      </c>
      <c r="D274" s="11"/>
      <c r="E274" s="11"/>
      <c r="F274" s="11"/>
      <c r="G274" s="12"/>
      <c r="H274" s="14"/>
      <c r="I274" s="128"/>
    </row>
    <row r="275" spans="1:9" customFormat="1" ht="18.75" customHeight="1" x14ac:dyDescent="0.25">
      <c r="A275" s="14"/>
      <c r="B275" s="18"/>
      <c r="C275" s="18"/>
      <c r="D275" s="11" t="s">
        <v>129</v>
      </c>
      <c r="E275" s="11"/>
      <c r="F275" s="11" t="s">
        <v>127</v>
      </c>
      <c r="G275" s="12"/>
      <c r="H275" s="14"/>
      <c r="I275" s="128"/>
    </row>
    <row r="276" spans="1:9" customFormat="1" ht="18.75" customHeight="1" x14ac:dyDescent="0.25">
      <c r="A276" s="14"/>
      <c r="B276" s="18"/>
      <c r="C276" s="11"/>
      <c r="D276" s="76">
        <f>Process!D209</f>
        <v>1.7601240631485944E-2</v>
      </c>
      <c r="E276" s="14" t="str">
        <f>IF(D276&lt;F276,"&lt;","&gt;")</f>
        <v>&gt;</v>
      </c>
      <c r="F276" s="76">
        <f>Process!F209</f>
        <v>2.0999999999999999E-3</v>
      </c>
      <c r="G276" s="15" t="s">
        <v>41</v>
      </c>
      <c r="H276" s="89" t="str">
        <f>IF(D276&gt;F276,"AMAN  (OK)","BAHAYA  (NG)")</f>
        <v>AMAN  (OK)</v>
      </c>
      <c r="I276" s="128"/>
    </row>
    <row r="277" spans="1:9" customFormat="1" ht="18.75" customHeight="1" x14ac:dyDescent="0.25">
      <c r="A277" s="14"/>
      <c r="B277" s="18"/>
      <c r="C277" s="11"/>
      <c r="D277" s="11"/>
      <c r="E277" s="11"/>
      <c r="F277" s="11"/>
      <c r="G277" s="12"/>
      <c r="H277" s="14"/>
      <c r="I277" s="128"/>
    </row>
    <row r="278" spans="1:9" customFormat="1" ht="18.75" customHeight="1" x14ac:dyDescent="0.25">
      <c r="A278" s="14"/>
      <c r="B278" s="18" t="s">
        <v>130</v>
      </c>
      <c r="C278" s="11"/>
      <c r="D278" s="11"/>
      <c r="E278" s="11"/>
      <c r="F278" s="11"/>
      <c r="G278" s="15" t="s">
        <v>41</v>
      </c>
      <c r="H278" s="89" t="str">
        <f>IF(D276&lt;=F276,"Tekanan Terkontrol",IF(D276&lt;0.005,"Transisi",IF(D276&gt;0.005,"Tegangan Terkontrol","EROR")))</f>
        <v>Tegangan Terkontrol</v>
      </c>
      <c r="I278" s="128"/>
    </row>
    <row r="279" spans="1:9" customFormat="1" ht="18.75" customHeight="1" x14ac:dyDescent="0.25">
      <c r="A279" s="14"/>
      <c r="B279" s="18"/>
      <c r="C279" s="11"/>
      <c r="D279" s="11"/>
      <c r="E279" s="11"/>
      <c r="F279" s="11"/>
      <c r="G279" s="15"/>
      <c r="H279" s="89"/>
      <c r="I279" s="128"/>
    </row>
    <row r="280" spans="1:9" customFormat="1" ht="18.75" customHeight="1" x14ac:dyDescent="0.25">
      <c r="A280" s="14"/>
      <c r="B280" s="18" t="s">
        <v>131</v>
      </c>
      <c r="C280" s="11"/>
      <c r="D280" s="11"/>
      <c r="E280" s="11"/>
      <c r="F280" s="11"/>
      <c r="G280" s="12" t="str">
        <f>IF(D276&lt;=F276,"φ =",IF(D276&lt;0.005,"φ = 0,65 + 0,25 * (εs' - εs-yield)/(0,005 - εs-yield) =",IF(D276&gt;0.005,"φ =","EROR")))</f>
        <v>φ =</v>
      </c>
      <c r="H280" s="34">
        <f>Process!H213</f>
        <v>0.9</v>
      </c>
      <c r="I280" s="128"/>
    </row>
    <row r="281" spans="1:9" customFormat="1" ht="18.75" customHeight="1" x14ac:dyDescent="0.25">
      <c r="A281" s="14"/>
      <c r="B281" s="18" t="s">
        <v>132</v>
      </c>
      <c r="C281" s="11"/>
      <c r="D281" s="11"/>
      <c r="E281" s="11"/>
      <c r="F281" s="11"/>
      <c r="G281" s="12" t="s">
        <v>133</v>
      </c>
      <c r="H281" s="34">
        <f>Process!H214</f>
        <v>168.24959396379072</v>
      </c>
      <c r="I281" s="128" t="s">
        <v>110</v>
      </c>
    </row>
    <row r="282" spans="1:9" customFormat="1" ht="18.75" customHeight="1" x14ac:dyDescent="0.25">
      <c r="A282" s="14"/>
      <c r="B282" s="11" t="s">
        <v>73</v>
      </c>
      <c r="C282" s="11"/>
      <c r="D282" s="14" t="s">
        <v>134</v>
      </c>
      <c r="E282" s="14" t="s">
        <v>135</v>
      </c>
      <c r="F282" s="14" t="s">
        <v>471</v>
      </c>
      <c r="G282" s="11"/>
      <c r="H282" s="11"/>
      <c r="I282" s="128"/>
    </row>
    <row r="283" spans="1:9" customFormat="1" ht="18.75" customHeight="1" x14ac:dyDescent="0.25">
      <c r="A283" s="14"/>
      <c r="B283" s="11"/>
      <c r="C283" s="11"/>
      <c r="D283" s="32">
        <f>Process!D216</f>
        <v>151.42463456741166</v>
      </c>
      <c r="E283" s="14" t="str">
        <f>IF(D283&gt;F283,"&gt;","&lt;")</f>
        <v>&gt;</v>
      </c>
      <c r="F283" s="32">
        <f>Process!F216</f>
        <v>143.04</v>
      </c>
      <c r="G283" s="15" t="s">
        <v>41</v>
      </c>
      <c r="H283" s="89" t="str">
        <f>IF(D283&gt;=F283,"AMAN  (OK)","BAHAYA  (NG)")</f>
        <v>AMAN  (OK)</v>
      </c>
      <c r="I283" s="128"/>
    </row>
    <row r="284" spans="1:9" customFormat="1" ht="18.75" customHeight="1" x14ac:dyDescent="0.25">
      <c r="A284" s="14"/>
      <c r="B284" s="18"/>
      <c r="C284" s="11"/>
      <c r="D284" s="11"/>
      <c r="E284" s="11"/>
      <c r="F284" s="11"/>
      <c r="G284" s="12"/>
      <c r="H284" s="19"/>
      <c r="I284" s="128"/>
    </row>
    <row r="285" spans="1:9" customFormat="1" ht="18.75" customHeight="1" x14ac:dyDescent="0.25">
      <c r="A285" s="14"/>
      <c r="B285" s="18"/>
      <c r="C285" s="11"/>
      <c r="D285" s="11"/>
      <c r="E285" s="11"/>
      <c r="F285" s="11"/>
      <c r="G285" s="12"/>
      <c r="H285" s="19"/>
      <c r="I285" s="128"/>
    </row>
    <row r="286" spans="1:9" customFormat="1" ht="18.75" customHeight="1" x14ac:dyDescent="0.25">
      <c r="A286" s="14"/>
      <c r="B286" s="18"/>
      <c r="C286" s="11"/>
      <c r="D286" s="11"/>
      <c r="E286" s="11"/>
      <c r="F286" s="11"/>
      <c r="G286" s="12"/>
      <c r="H286" s="19"/>
      <c r="I286" s="128"/>
    </row>
    <row r="287" spans="1:9" customFormat="1" ht="18.75" customHeight="1" x14ac:dyDescent="0.25">
      <c r="A287" s="14"/>
      <c r="B287" s="133" t="s">
        <v>310</v>
      </c>
      <c r="C287" s="134"/>
      <c r="D287" s="134"/>
      <c r="E287" s="134"/>
      <c r="F287" s="135"/>
      <c r="G287" s="136"/>
      <c r="H287" s="134"/>
      <c r="I287" s="262"/>
    </row>
    <row r="288" spans="1:9" customFormat="1" ht="18.75" customHeight="1" x14ac:dyDescent="0.25">
      <c r="A288" s="14"/>
      <c r="B288" s="18" t="s">
        <v>406</v>
      </c>
      <c r="C288" s="14"/>
      <c r="D288" s="19"/>
      <c r="E288" s="19">
        <f>Process!E219</f>
        <v>1.4956423312143654</v>
      </c>
      <c r="F288" s="80">
        <f>Process!F219</f>
        <v>22</v>
      </c>
      <c r="G288" s="12" t="s">
        <v>99</v>
      </c>
      <c r="H288" s="34">
        <f>Process!H219</f>
        <v>568.54257417705651</v>
      </c>
      <c r="I288" s="128" t="s">
        <v>33</v>
      </c>
    </row>
    <row r="289" spans="1:9" customFormat="1" ht="18.75" customHeight="1" x14ac:dyDescent="0.25">
      <c r="A289" s="14"/>
      <c r="B289" s="18" t="s">
        <v>407</v>
      </c>
      <c r="C289" s="14"/>
      <c r="D289" s="19"/>
      <c r="E289" s="19">
        <f>Process!E220</f>
        <v>2.5696474198356154</v>
      </c>
      <c r="F289" s="80">
        <f>Process!F220</f>
        <v>22</v>
      </c>
      <c r="G289" s="12" t="s">
        <v>107</v>
      </c>
      <c r="H289" s="34">
        <f>Process!H220</f>
        <v>976.807040233056</v>
      </c>
      <c r="I289" s="128" t="s">
        <v>33</v>
      </c>
    </row>
    <row r="290" spans="1:9" customFormat="1" ht="18.75" customHeight="1" x14ac:dyDescent="0.25">
      <c r="A290" s="14"/>
      <c r="B290" s="18"/>
      <c r="C290" s="14"/>
      <c r="D290" s="19"/>
      <c r="E290" s="19"/>
      <c r="F290" s="11"/>
      <c r="G290" s="12"/>
      <c r="H290" s="14"/>
      <c r="I290" s="253"/>
    </row>
    <row r="291" spans="1:9" customFormat="1" ht="18.75" customHeight="1" x14ac:dyDescent="0.25">
      <c r="A291" s="14"/>
      <c r="B291" s="11" t="s">
        <v>108</v>
      </c>
      <c r="C291" s="11"/>
      <c r="D291" s="11"/>
      <c r="E291" s="11"/>
      <c r="F291" s="11"/>
      <c r="G291" s="12" t="s">
        <v>109</v>
      </c>
      <c r="H291" s="34">
        <f>Process!H222</f>
        <v>410.25895689788348</v>
      </c>
      <c r="I291" s="253" t="s">
        <v>110</v>
      </c>
    </row>
    <row r="292" spans="1:9" customFormat="1" ht="18.75" customHeight="1" x14ac:dyDescent="0.25">
      <c r="A292" s="14"/>
      <c r="B292" s="11" t="s">
        <v>111</v>
      </c>
      <c r="C292" s="14"/>
      <c r="D292" s="12"/>
      <c r="E292" s="14"/>
      <c r="F292" s="11"/>
      <c r="G292" s="99"/>
      <c r="H292" s="99"/>
      <c r="I292" s="99"/>
    </row>
    <row r="293" spans="1:9" customFormat="1" ht="18.75" customHeight="1" x14ac:dyDescent="0.25">
      <c r="A293" s="14"/>
      <c r="B293" s="11"/>
      <c r="C293" s="14"/>
      <c r="D293" s="12"/>
      <c r="E293" s="14"/>
      <c r="F293" s="11"/>
      <c r="G293" s="12" t="s">
        <v>112</v>
      </c>
      <c r="H293" s="255">
        <f>Process!H223</f>
        <v>341.12554450623389</v>
      </c>
      <c r="I293" s="263" t="s">
        <v>110</v>
      </c>
    </row>
    <row r="294" spans="1:9" customFormat="1" ht="18.75" customHeight="1" x14ac:dyDescent="0.25">
      <c r="A294" s="14"/>
      <c r="B294" s="11" t="s">
        <v>113</v>
      </c>
      <c r="C294" s="11"/>
      <c r="D294" s="11"/>
      <c r="E294" s="14"/>
      <c r="F294" s="11"/>
      <c r="G294" s="12" t="s">
        <v>114</v>
      </c>
      <c r="H294" s="255">
        <f>Process!H224</f>
        <v>6.3932142857142864</v>
      </c>
      <c r="I294" s="128" t="s">
        <v>110</v>
      </c>
    </row>
    <row r="295" spans="1:9" customFormat="1" ht="18.75" customHeight="1" x14ac:dyDescent="0.25">
      <c r="A295" s="14"/>
      <c r="B295" s="18"/>
      <c r="C295" s="19"/>
      <c r="D295" s="14"/>
      <c r="E295" s="80"/>
      <c r="F295" s="11"/>
      <c r="G295" s="11"/>
      <c r="H295" s="11"/>
      <c r="I295" s="11"/>
    </row>
    <row r="296" spans="1:9" customFormat="1" ht="18.75" customHeight="1" x14ac:dyDescent="0.25">
      <c r="A296" s="14"/>
      <c r="B296" s="18" t="s">
        <v>115</v>
      </c>
      <c r="C296" s="11"/>
      <c r="D296" s="11"/>
      <c r="E296" s="11"/>
      <c r="F296" s="11"/>
      <c r="G296" s="12" t="s">
        <v>136</v>
      </c>
      <c r="H296" s="18" t="s">
        <v>137</v>
      </c>
      <c r="I296" s="76"/>
    </row>
    <row r="297" spans="1:9" customFormat="1" ht="18.75" customHeight="1" x14ac:dyDescent="0.25">
      <c r="A297" s="14"/>
      <c r="B297" s="18"/>
      <c r="C297" s="11"/>
      <c r="D297" s="11"/>
      <c r="E297" s="11"/>
      <c r="F297" s="90">
        <f>H294</f>
        <v>6.3932142857142864</v>
      </c>
      <c r="G297" s="256">
        <f>H293</f>
        <v>341.12554450623389</v>
      </c>
      <c r="H297" s="307">
        <f>H291</f>
        <v>410.25895689788348</v>
      </c>
      <c r="I297" s="307"/>
    </row>
    <row r="298" spans="1:9" customFormat="1" ht="18.75" customHeight="1" x14ac:dyDescent="0.25">
      <c r="A298" s="14"/>
      <c r="B298" s="18" t="s">
        <v>118</v>
      </c>
      <c r="C298" s="11"/>
      <c r="D298" s="11"/>
      <c r="E298" s="11"/>
      <c r="F298" s="19">
        <f>(G297-H291)/H294</f>
        <v>-10.813560957299526</v>
      </c>
      <c r="G298" s="257">
        <f>-G297/F297*H199</f>
        <v>-3361.5186889503188</v>
      </c>
      <c r="H298" s="99"/>
      <c r="I298" s="260" t="s">
        <v>138</v>
      </c>
    </row>
    <row r="299" spans="1:9" customFormat="1" ht="18.75" customHeight="1" x14ac:dyDescent="0.25">
      <c r="A299" s="14"/>
      <c r="B299" s="18"/>
      <c r="C299" s="11"/>
      <c r="D299" s="11"/>
      <c r="E299" s="11"/>
      <c r="F299" s="19"/>
      <c r="G299" s="19"/>
      <c r="H299" s="92"/>
      <c r="I299" s="253"/>
    </row>
    <row r="300" spans="1:9" customFormat="1" ht="18.75" customHeight="1" x14ac:dyDescent="0.25">
      <c r="A300" s="14"/>
      <c r="B300" s="18"/>
      <c r="C300" s="11"/>
      <c r="D300" s="11"/>
      <c r="E300" s="11"/>
      <c r="F300" s="19"/>
      <c r="G300" s="19"/>
      <c r="H300" s="92"/>
      <c r="I300" s="253"/>
    </row>
    <row r="301" spans="1:9" customFormat="1" ht="18.75" customHeight="1" x14ac:dyDescent="0.25">
      <c r="A301" s="14"/>
      <c r="B301" s="18"/>
      <c r="C301" s="11"/>
      <c r="D301" s="11"/>
      <c r="E301" s="11"/>
      <c r="F301" s="19"/>
      <c r="G301" s="19"/>
      <c r="H301" s="92"/>
      <c r="I301" s="253"/>
    </row>
    <row r="302" spans="1:9" customFormat="1" ht="18.75" customHeight="1" x14ac:dyDescent="0.25">
      <c r="A302" s="14"/>
      <c r="B302" s="18"/>
      <c r="C302" s="11"/>
      <c r="D302" s="11"/>
      <c r="E302" s="11"/>
      <c r="F302" s="19"/>
      <c r="G302" s="19"/>
      <c r="H302" s="92"/>
      <c r="I302" s="253"/>
    </row>
    <row r="303" spans="1:9" customFormat="1" ht="18.75" customHeight="1" x14ac:dyDescent="0.25">
      <c r="A303" s="14"/>
      <c r="B303" s="18"/>
      <c r="C303" s="11"/>
      <c r="D303" s="11"/>
      <c r="E303" s="11"/>
      <c r="F303" s="19"/>
      <c r="G303" s="19"/>
      <c r="H303" s="92"/>
      <c r="I303" s="253"/>
    </row>
    <row r="304" spans="1:9" customFormat="1" ht="18.75" customHeight="1" x14ac:dyDescent="0.25">
      <c r="A304" s="14"/>
      <c r="B304" s="18"/>
      <c r="C304" s="11"/>
      <c r="D304" s="11"/>
      <c r="E304" s="11"/>
      <c r="F304" s="19"/>
      <c r="G304" s="19"/>
      <c r="H304" s="92"/>
      <c r="I304" s="253"/>
    </row>
    <row r="305" spans="1:9" customFormat="1" ht="18.75" customHeight="1" x14ac:dyDescent="0.25">
      <c r="A305" s="14"/>
      <c r="B305" s="18"/>
      <c r="C305" s="11"/>
      <c r="D305" s="11"/>
      <c r="E305" s="11"/>
      <c r="F305" s="19"/>
      <c r="G305" s="19"/>
      <c r="H305" s="92"/>
      <c r="I305" s="253"/>
    </row>
    <row r="306" spans="1:9" customFormat="1" ht="18.75" customHeight="1" x14ac:dyDescent="0.25">
      <c r="A306" s="14"/>
      <c r="B306" s="18"/>
      <c r="C306" s="11"/>
      <c r="D306" s="11"/>
      <c r="E306" s="11"/>
      <c r="F306" s="19"/>
      <c r="G306" s="19"/>
      <c r="H306" s="92"/>
      <c r="I306" s="253"/>
    </row>
    <row r="307" spans="1:9" customFormat="1" ht="18.75" customHeight="1" x14ac:dyDescent="0.25">
      <c r="A307" s="14"/>
      <c r="B307" s="18"/>
      <c r="C307" s="11"/>
      <c r="D307" s="11"/>
      <c r="E307" s="11"/>
      <c r="F307" s="19"/>
      <c r="G307" s="19"/>
      <c r="H307" s="92"/>
      <c r="I307" s="253"/>
    </row>
    <row r="308" spans="1:9" customFormat="1" ht="18.75" customHeight="1" x14ac:dyDescent="0.25">
      <c r="A308" s="14"/>
      <c r="B308" s="18"/>
      <c r="C308" s="11"/>
      <c r="D308" s="11"/>
      <c r="E308" s="11"/>
      <c r="F308" s="19"/>
      <c r="G308" s="19"/>
      <c r="H308" s="92"/>
      <c r="I308" s="253"/>
    </row>
    <row r="309" spans="1:9" customFormat="1" ht="18.75" customHeight="1" x14ac:dyDescent="0.25">
      <c r="A309" s="14"/>
      <c r="B309" s="18" t="s">
        <v>119</v>
      </c>
      <c r="C309" s="11"/>
      <c r="D309" s="12"/>
      <c r="E309" s="14"/>
      <c r="F309" s="18"/>
      <c r="G309" s="12" t="s">
        <v>120</v>
      </c>
      <c r="H309" s="32">
        <f>Process!H239</f>
        <v>63.636944174921709</v>
      </c>
      <c r="I309" s="253" t="s">
        <v>19</v>
      </c>
    </row>
    <row r="310" spans="1:9" customFormat="1" ht="18.75" customHeight="1" x14ac:dyDescent="0.25">
      <c r="A310" s="14"/>
      <c r="B310" s="11" t="s">
        <v>111</v>
      </c>
      <c r="C310" s="11"/>
      <c r="D310" s="11"/>
      <c r="E310" s="11"/>
      <c r="F310" s="11"/>
      <c r="G310" s="12" t="s">
        <v>121</v>
      </c>
      <c r="H310" s="32">
        <f>Process!H240</f>
        <v>3.4143362995715236</v>
      </c>
      <c r="I310" s="253" t="s">
        <v>110</v>
      </c>
    </row>
    <row r="311" spans="1:9" customFormat="1" ht="18.75" customHeight="1" x14ac:dyDescent="0.25">
      <c r="A311" s="14"/>
      <c r="B311" s="11" t="s">
        <v>113</v>
      </c>
      <c r="C311" s="12"/>
      <c r="D311" s="14"/>
      <c r="E311" s="14"/>
      <c r="F311" s="11"/>
      <c r="G311" s="12" t="s">
        <v>122</v>
      </c>
      <c r="H311" s="32">
        <f>Process!H241</f>
        <v>406.84462059831202</v>
      </c>
      <c r="I311" s="253" t="s">
        <v>110</v>
      </c>
    </row>
    <row r="312" spans="1:9" customFormat="1" ht="18.75" customHeight="1" x14ac:dyDescent="0.25">
      <c r="A312" s="14"/>
      <c r="B312" s="11" t="s">
        <v>108</v>
      </c>
      <c r="C312" s="12"/>
      <c r="D312" s="14"/>
      <c r="E312" s="14"/>
      <c r="F312" s="11"/>
      <c r="G312" s="12" t="s">
        <v>123</v>
      </c>
      <c r="H312" s="32">
        <f>Process!H242</f>
        <v>410.25895689788348</v>
      </c>
      <c r="I312" s="253" t="s">
        <v>110</v>
      </c>
    </row>
    <row r="313" spans="1:9" customFormat="1" ht="18.75" customHeight="1" x14ac:dyDescent="0.25">
      <c r="A313" s="14"/>
      <c r="B313" s="18"/>
      <c r="C313" s="11"/>
      <c r="D313" s="11"/>
      <c r="E313" s="11"/>
      <c r="F313" s="11"/>
      <c r="G313" s="12"/>
      <c r="H313" s="14"/>
      <c r="I313" s="128"/>
    </row>
    <row r="314" spans="1:9" customFormat="1" ht="18.75" customHeight="1" x14ac:dyDescent="0.25">
      <c r="A314" s="14"/>
      <c r="B314" s="18" t="s">
        <v>139</v>
      </c>
      <c r="C314" s="11"/>
      <c r="D314" s="11"/>
      <c r="E314" s="11"/>
      <c r="F314" s="11"/>
      <c r="G314" s="12"/>
      <c r="H314" s="14"/>
      <c r="I314" s="128"/>
    </row>
    <row r="315" spans="1:9" customFormat="1" ht="18.75" customHeight="1" x14ac:dyDescent="0.25">
      <c r="A315" s="14"/>
      <c r="B315" s="11"/>
      <c r="C315" s="18" t="s">
        <v>125</v>
      </c>
      <c r="D315" s="11"/>
      <c r="E315" s="11"/>
      <c r="F315" s="11"/>
      <c r="G315" s="12"/>
      <c r="H315" s="14"/>
      <c r="I315" s="128"/>
    </row>
    <row r="316" spans="1:9" customFormat="1" ht="18.75" customHeight="1" x14ac:dyDescent="0.25">
      <c r="A316" s="14"/>
      <c r="B316" s="11"/>
      <c r="C316" s="18"/>
      <c r="D316" s="11" t="s">
        <v>126</v>
      </c>
      <c r="E316" s="11"/>
      <c r="F316" s="11" t="s">
        <v>127</v>
      </c>
      <c r="G316" s="12"/>
      <c r="H316" s="14"/>
      <c r="I316" s="128"/>
    </row>
    <row r="317" spans="1:9" customFormat="1" ht="18.75" customHeight="1" x14ac:dyDescent="0.25">
      <c r="A317" s="14"/>
      <c r="B317" s="18"/>
      <c r="C317" s="11"/>
      <c r="D317" s="76">
        <f>Process!D247</f>
        <v>3.0027094316671398E-5</v>
      </c>
      <c r="E317" s="14" t="str">
        <f>IF(D317&lt;F317,"&lt;","&gt;")</f>
        <v>&lt;</v>
      </c>
      <c r="F317" s="76">
        <f>Process!F247</f>
        <v>2.0999999999999999E-3</v>
      </c>
      <c r="G317" s="15" t="s">
        <v>41</v>
      </c>
      <c r="H317" s="89" t="str">
        <f>IF(D317&lt;F317,"AMAN  (OK)","BAHAYA  (NG)")</f>
        <v>AMAN  (OK)</v>
      </c>
      <c r="I317" s="128"/>
    </row>
    <row r="318" spans="1:9" customFormat="1" ht="18.75" customHeight="1" x14ac:dyDescent="0.25">
      <c r="A318" s="14"/>
      <c r="B318" s="18"/>
      <c r="C318" s="18" t="s">
        <v>128</v>
      </c>
      <c r="D318" s="11"/>
      <c r="E318" s="11"/>
      <c r="F318" s="11"/>
      <c r="G318" s="12"/>
      <c r="H318" s="14"/>
      <c r="I318" s="128"/>
    </row>
    <row r="319" spans="1:9" customFormat="1" ht="18.75" customHeight="1" x14ac:dyDescent="0.25">
      <c r="A319" s="14"/>
      <c r="B319" s="18"/>
      <c r="C319" s="18"/>
      <c r="D319" s="11" t="s">
        <v>293</v>
      </c>
      <c r="E319" s="11"/>
      <c r="F319" s="11" t="s">
        <v>127</v>
      </c>
      <c r="G319" s="12"/>
      <c r="H319" s="14"/>
      <c r="I319" s="128"/>
    </row>
    <row r="320" spans="1:9" customFormat="1" ht="18.75" customHeight="1" x14ac:dyDescent="0.25">
      <c r="A320" s="14"/>
      <c r="B320" s="18"/>
      <c r="C320" s="11"/>
      <c r="D320" s="76">
        <f>Process!D250</f>
        <v>1.7601240631485944E-2</v>
      </c>
      <c r="E320" s="14" t="str">
        <f>IF(D320&lt;F320,"&lt;","&gt;")</f>
        <v>&gt;</v>
      </c>
      <c r="F320" s="76">
        <f>Process!F250</f>
        <v>2.0999999999999999E-3</v>
      </c>
      <c r="G320" s="15" t="s">
        <v>41</v>
      </c>
      <c r="H320" s="89" t="str">
        <f>IF(D320&gt;F320,"AMAN  (OK)","BAHAYA  (NG)")</f>
        <v>AMAN  (OK)</v>
      </c>
      <c r="I320" s="128"/>
    </row>
    <row r="321" spans="1:9" customFormat="1" ht="18.75" customHeight="1" x14ac:dyDescent="0.25">
      <c r="A321" s="14"/>
      <c r="B321" s="18"/>
      <c r="C321" s="11"/>
      <c r="D321" s="11"/>
      <c r="E321" s="11"/>
      <c r="F321" s="11"/>
      <c r="G321" s="12"/>
      <c r="H321" s="14"/>
      <c r="I321" s="128"/>
    </row>
    <row r="322" spans="1:9" customFormat="1" ht="18.75" customHeight="1" x14ac:dyDescent="0.25">
      <c r="A322" s="14"/>
      <c r="B322" s="18" t="s">
        <v>130</v>
      </c>
      <c r="C322" s="11"/>
      <c r="D322" s="11"/>
      <c r="E322" s="11"/>
      <c r="F322" s="11"/>
      <c r="G322" s="15" t="s">
        <v>41</v>
      </c>
      <c r="H322" s="89" t="str">
        <f>IF(D320&lt;=F320,"Tekanan Terkontrol",IF(D320&lt;0.005,"Transisi",IF(D320&gt;0.005,"Tegangan Terkontrol","EROR")))</f>
        <v>Tegangan Terkontrol</v>
      </c>
      <c r="I322" s="128"/>
    </row>
    <row r="323" spans="1:9" customFormat="1" ht="18.75" customHeight="1" x14ac:dyDescent="0.25">
      <c r="A323" s="14"/>
      <c r="B323" s="18"/>
      <c r="C323" s="11"/>
      <c r="D323" s="11"/>
      <c r="E323" s="11"/>
      <c r="F323" s="11"/>
      <c r="G323" s="15"/>
      <c r="H323" s="89"/>
      <c r="I323" s="128"/>
    </row>
    <row r="324" spans="1:9" customFormat="1" ht="18.75" customHeight="1" x14ac:dyDescent="0.25">
      <c r="A324" s="14"/>
      <c r="B324" s="18" t="s">
        <v>131</v>
      </c>
      <c r="C324" s="11"/>
      <c r="D324" s="11"/>
      <c r="E324" s="11"/>
      <c r="F324" s="11"/>
      <c r="G324" s="12" t="str">
        <f>IF(D320&lt;=F320,"φ =",IF(D320&lt;0.005,"φ = 0,65 + 0,25 * (εs' - εs-yield)/(0,005 - εs-yield) =",IF(D320&gt;0.005,"φ =","EROR")))</f>
        <v>φ =</v>
      </c>
      <c r="H324" s="34">
        <f>Process!H254</f>
        <v>0.9</v>
      </c>
      <c r="I324" s="128"/>
    </row>
    <row r="325" spans="1:9" customFormat="1" ht="18.75" customHeight="1" x14ac:dyDescent="0.25">
      <c r="A325" s="14"/>
      <c r="B325" s="18" t="s">
        <v>132</v>
      </c>
      <c r="C325" s="11"/>
      <c r="D325" s="11"/>
      <c r="E325" s="11"/>
      <c r="F325" s="11"/>
      <c r="G325" s="12" t="s">
        <v>133</v>
      </c>
      <c r="H325" s="32">
        <f>Process!H255</f>
        <v>168.24959396379069</v>
      </c>
      <c r="I325" s="128" t="s">
        <v>110</v>
      </c>
    </row>
    <row r="326" spans="1:9" customFormat="1" ht="18.75" customHeight="1" x14ac:dyDescent="0.25">
      <c r="A326" s="14"/>
      <c r="B326" s="11"/>
      <c r="C326" s="11" t="s">
        <v>73</v>
      </c>
      <c r="D326" s="14" t="s">
        <v>140</v>
      </c>
      <c r="E326" s="14" t="s">
        <v>135</v>
      </c>
      <c r="F326" s="14" t="s">
        <v>472</v>
      </c>
      <c r="G326" s="11"/>
      <c r="H326" s="11"/>
      <c r="I326" s="128"/>
    </row>
    <row r="327" spans="1:9" customFormat="1" ht="18.75" customHeight="1" x14ac:dyDescent="0.25">
      <c r="A327" s="14"/>
      <c r="B327" s="11"/>
      <c r="C327" s="11"/>
      <c r="D327" s="81">
        <f>Process!D257</f>
        <v>151.42463456741163</v>
      </c>
      <c r="E327" s="14" t="str">
        <f>IF(D327&gt;F327,"&gt;","&lt;")</f>
        <v>&gt;</v>
      </c>
      <c r="F327" s="81">
        <f>Process!F257</f>
        <v>143.04</v>
      </c>
      <c r="G327" s="15" t="s">
        <v>41</v>
      </c>
      <c r="H327" s="89" t="str">
        <f>IF(D327&gt;=F327,"AMAN  (OK)","BAHAYA  (NG)")</f>
        <v>AMAN  (OK)</v>
      </c>
      <c r="I327" s="128"/>
    </row>
    <row r="328" spans="1:9" customFormat="1" ht="18.75" customHeight="1" x14ac:dyDescent="0.25">
      <c r="A328" s="14"/>
      <c r="B328" s="11"/>
      <c r="C328" s="11"/>
      <c r="D328" s="11"/>
      <c r="E328" s="11"/>
      <c r="F328" s="11"/>
      <c r="G328" s="12"/>
      <c r="H328" s="14"/>
      <c r="I328" s="128"/>
    </row>
    <row r="329" spans="1:9" customFormat="1" ht="18.75" customHeight="1" x14ac:dyDescent="0.25">
      <c r="A329" s="14"/>
      <c r="B329" s="11"/>
      <c r="C329" s="11"/>
      <c r="D329" s="11"/>
      <c r="E329" s="11"/>
      <c r="F329" s="11"/>
      <c r="G329" s="12"/>
      <c r="H329" s="14"/>
      <c r="I329" s="128"/>
    </row>
    <row r="330" spans="1:9" customFormat="1" ht="18.75" customHeight="1" x14ac:dyDescent="0.25">
      <c r="A330" s="266" t="s">
        <v>143</v>
      </c>
      <c r="B330" s="26" t="s">
        <v>429</v>
      </c>
      <c r="C330" s="27"/>
      <c r="D330" s="27"/>
      <c r="E330" s="27"/>
      <c r="F330" s="27"/>
      <c r="G330" s="28"/>
      <c r="H330" s="29"/>
      <c r="I330" s="30"/>
    </row>
    <row r="331" spans="1:9" customFormat="1" ht="18.75" customHeight="1" x14ac:dyDescent="0.25">
      <c r="A331" s="14"/>
      <c r="B331" s="11" t="s">
        <v>145</v>
      </c>
      <c r="C331" s="11"/>
      <c r="D331" s="11"/>
      <c r="E331" s="11"/>
      <c r="F331" s="11"/>
      <c r="G331" s="12"/>
      <c r="H331" s="46" t="str">
        <f>Process!H260</f>
        <v>TEKAN</v>
      </c>
      <c r="I331" s="128"/>
    </row>
    <row r="332" spans="1:9" customFormat="1" ht="18.75" customHeight="1" x14ac:dyDescent="0.25">
      <c r="A332" s="14"/>
      <c r="B332" s="11" t="s">
        <v>146</v>
      </c>
      <c r="C332" s="11"/>
      <c r="D332" s="11"/>
      <c r="E332" s="11"/>
      <c r="F332" s="11"/>
      <c r="G332" s="12" t="s">
        <v>147</v>
      </c>
      <c r="H332" s="47">
        <f>Process!H261</f>
        <v>0.75</v>
      </c>
      <c r="I332" s="128"/>
    </row>
    <row r="333" spans="1:9" customFormat="1" ht="18.75" customHeight="1" x14ac:dyDescent="0.25">
      <c r="A333" s="14"/>
      <c r="B333" s="11" t="s">
        <v>148</v>
      </c>
      <c r="C333" s="11"/>
      <c r="D333" s="11"/>
      <c r="E333" s="11"/>
      <c r="F333" s="11"/>
      <c r="G333" s="12" t="s">
        <v>149</v>
      </c>
      <c r="H333" s="47">
        <f>Process!H262</f>
        <v>448</v>
      </c>
      <c r="I333" s="128" t="s">
        <v>19</v>
      </c>
    </row>
    <row r="334" spans="1:9" customFormat="1" ht="18.75" customHeight="1" x14ac:dyDescent="0.25">
      <c r="A334" s="14"/>
      <c r="B334" s="11" t="s">
        <v>150</v>
      </c>
      <c r="C334" s="11"/>
      <c r="D334" s="11"/>
      <c r="E334" s="11"/>
      <c r="F334" s="11"/>
      <c r="G334" s="12" t="s">
        <v>11</v>
      </c>
      <c r="H334" s="48">
        <f>Process!H263</f>
        <v>420</v>
      </c>
      <c r="I334" s="128" t="s">
        <v>9</v>
      </c>
    </row>
    <row r="335" spans="1:9" customFormat="1" ht="18.75" customHeight="1" x14ac:dyDescent="0.25">
      <c r="A335" s="14"/>
      <c r="B335" s="11"/>
      <c r="C335" s="11"/>
      <c r="D335" s="11"/>
      <c r="E335" s="11"/>
      <c r="F335" s="11"/>
      <c r="G335" s="12"/>
      <c r="H335" s="49"/>
      <c r="I335" s="128"/>
    </row>
    <row r="336" spans="1:9" customFormat="1" ht="18.75" customHeight="1" x14ac:dyDescent="0.25">
      <c r="A336" s="14"/>
      <c r="B336" s="11" t="s">
        <v>152</v>
      </c>
      <c r="C336" s="11"/>
      <c r="D336" s="11"/>
      <c r="E336" s="11"/>
      <c r="F336" s="11"/>
      <c r="G336" s="12" t="str">
        <f>IF(H331="tekan","Vc = (√ fc') / 6 * b * d =","Vc = (1 + 0,29 * Nu / Ag) * (√ fc') / 6 * b * d =")</f>
        <v>Vc = (√ fc') / 6 * b * d =</v>
      </c>
      <c r="H336" s="47">
        <f>Process!H265</f>
        <v>122.68985288115722</v>
      </c>
      <c r="I336" s="128" t="s">
        <v>110</v>
      </c>
    </row>
    <row r="337" spans="1:9" customFormat="1" ht="18.75" customHeight="1" x14ac:dyDescent="0.25">
      <c r="A337" s="14"/>
      <c r="B337" s="11" t="s">
        <v>153</v>
      </c>
      <c r="C337" s="11"/>
      <c r="D337" s="11"/>
      <c r="E337" s="11"/>
      <c r="F337" s="11"/>
      <c r="G337" s="12" t="s">
        <v>154</v>
      </c>
      <c r="H337" s="47">
        <f>Process!H266</f>
        <v>92.01738966086792</v>
      </c>
      <c r="I337" s="128" t="s">
        <v>110</v>
      </c>
    </row>
    <row r="338" spans="1:9" customFormat="1" ht="18.75" customHeight="1" x14ac:dyDescent="0.25">
      <c r="A338" s="14"/>
      <c r="B338" s="11" t="s">
        <v>155</v>
      </c>
      <c r="C338" s="11"/>
      <c r="D338" s="11"/>
      <c r="E338" s="11"/>
      <c r="F338" s="11"/>
      <c r="G338" s="12" t="s">
        <v>156</v>
      </c>
      <c r="H338" s="47">
        <f>Process!H267</f>
        <v>46.00869483043396</v>
      </c>
      <c r="I338" s="128" t="s">
        <v>110</v>
      </c>
    </row>
    <row r="339" spans="1:9" customFormat="1" ht="18.75" customHeight="1" x14ac:dyDescent="0.25">
      <c r="A339" s="14"/>
      <c r="B339" s="11"/>
      <c r="C339" s="11"/>
      <c r="D339" s="11"/>
      <c r="E339" s="11"/>
      <c r="F339" s="11"/>
      <c r="G339" s="12"/>
      <c r="H339" s="12"/>
      <c r="I339" s="128"/>
    </row>
    <row r="340" spans="1:9" customFormat="1" ht="18.75" customHeight="1" x14ac:dyDescent="0.25">
      <c r="A340" s="153" t="s">
        <v>144</v>
      </c>
      <c r="B340" s="6" t="s">
        <v>430</v>
      </c>
      <c r="C340" s="6"/>
      <c r="D340" s="6"/>
      <c r="E340" s="6"/>
      <c r="F340" s="6"/>
      <c r="G340" s="234"/>
      <c r="H340" s="153"/>
      <c r="I340" s="267"/>
    </row>
    <row r="341" spans="1:9" customFormat="1" ht="18.75" customHeight="1" x14ac:dyDescent="0.25">
      <c r="A341" s="14"/>
      <c r="B341" s="11" t="s">
        <v>151</v>
      </c>
      <c r="C341" s="11"/>
      <c r="D341" s="11"/>
      <c r="E341" s="11"/>
      <c r="F341" s="11"/>
      <c r="G341" s="12" t="s">
        <v>25</v>
      </c>
      <c r="H341" s="47">
        <f>Process!H270</f>
        <v>68.42</v>
      </c>
      <c r="I341" s="128" t="s">
        <v>110</v>
      </c>
    </row>
    <row r="342" spans="1:9" customFormat="1" ht="18.75" customHeight="1" x14ac:dyDescent="0.25">
      <c r="B342" s="11" t="s">
        <v>431</v>
      </c>
    </row>
    <row r="343" spans="1:9" customFormat="1" ht="18.75" customHeight="1" x14ac:dyDescent="0.25">
      <c r="B343" s="286" t="s">
        <v>157</v>
      </c>
      <c r="C343" s="287"/>
      <c r="D343" s="291" t="s">
        <v>165</v>
      </c>
      <c r="E343" s="292"/>
      <c r="F343" s="292"/>
      <c r="G343" s="292"/>
      <c r="H343" s="293"/>
    </row>
    <row r="344" spans="1:9" customFormat="1" ht="18.75" customHeight="1" x14ac:dyDescent="0.25">
      <c r="B344" s="286"/>
      <c r="C344" s="287"/>
      <c r="D344" s="32">
        <f>Process!D274</f>
        <v>68.42</v>
      </c>
      <c r="E344" s="31" t="str">
        <f>IF(D344&gt;F344,"&gt;","&lt;")</f>
        <v>&gt;</v>
      </c>
      <c r="F344" s="32">
        <f>Process!F274</f>
        <v>46.00869483043396</v>
      </c>
      <c r="G344" s="52"/>
      <c r="H344" s="51"/>
    </row>
    <row r="345" spans="1:9" customFormat="1" ht="18.75" customHeight="1" x14ac:dyDescent="0.25">
      <c r="A345" s="17"/>
      <c r="B345" s="286" t="s">
        <v>160</v>
      </c>
      <c r="C345" s="287"/>
      <c r="D345" s="288" t="s">
        <v>166</v>
      </c>
      <c r="E345" s="289"/>
      <c r="F345" s="289"/>
      <c r="G345" s="289"/>
      <c r="H345" s="290"/>
    </row>
    <row r="346" spans="1:9" customFormat="1" ht="18.75" customHeight="1" x14ac:dyDescent="0.25">
      <c r="A346" s="17"/>
      <c r="B346" s="286"/>
      <c r="C346" s="287"/>
      <c r="D346" s="54">
        <f>Process!D276</f>
        <v>46.00869483043396</v>
      </c>
      <c r="E346" s="53" t="str">
        <f>IF(D346&gt;F346,"&gt;","&lt;")</f>
        <v>&lt;</v>
      </c>
      <c r="F346" s="54">
        <f>Process!F276</f>
        <v>68.42</v>
      </c>
      <c r="G346" s="53" t="str">
        <f>IF(F346&gt;H346,"&gt;","&lt;")</f>
        <v>&lt;</v>
      </c>
      <c r="H346" s="54">
        <f>Process!H276</f>
        <v>92.01738966086792</v>
      </c>
    </row>
    <row r="347" spans="1:9" customFormat="1" ht="18.75" customHeight="1" x14ac:dyDescent="0.25">
      <c r="A347" s="17"/>
      <c r="B347" s="286" t="s">
        <v>161</v>
      </c>
      <c r="C347" s="287"/>
      <c r="D347" s="291" t="s">
        <v>167</v>
      </c>
      <c r="E347" s="292"/>
      <c r="F347" s="292"/>
      <c r="G347" s="292"/>
      <c r="H347" s="293"/>
    </row>
    <row r="348" spans="1:9" customFormat="1" ht="18.75" customHeight="1" x14ac:dyDescent="0.25">
      <c r="A348" s="17"/>
      <c r="B348" s="286"/>
      <c r="C348" s="287"/>
      <c r="D348" s="32">
        <f>Process!D278</f>
        <v>92.01738966086792</v>
      </c>
      <c r="E348" s="31" t="str">
        <f>IF(D348&gt;F348,"&gt;","&lt;")</f>
        <v>&gt;</v>
      </c>
      <c r="F348" s="32">
        <f>Process!F278</f>
        <v>68.42</v>
      </c>
      <c r="G348" s="31" t="str">
        <f>IF(F348&gt;H348,"&gt;","&lt;")</f>
        <v>&lt;</v>
      </c>
      <c r="H348" s="32">
        <f>Process!H278</f>
        <v>126.5239107836934</v>
      </c>
    </row>
    <row r="349" spans="1:9" customFormat="1" ht="18.75" customHeight="1" x14ac:dyDescent="0.25">
      <c r="A349" s="17"/>
      <c r="B349" s="286" t="s">
        <v>162</v>
      </c>
      <c r="C349" s="287"/>
      <c r="D349" s="288" t="s">
        <v>168</v>
      </c>
      <c r="E349" s="289"/>
      <c r="F349" s="289"/>
      <c r="G349" s="289"/>
      <c r="H349" s="290"/>
    </row>
    <row r="350" spans="1:9" customFormat="1" ht="18.75" customHeight="1" x14ac:dyDescent="0.25">
      <c r="A350" s="17"/>
      <c r="B350" s="286"/>
      <c r="C350" s="287"/>
      <c r="D350" s="54">
        <f>Process!D280</f>
        <v>126.5239107836934</v>
      </c>
      <c r="E350" s="53" t="str">
        <f>IF(D350&gt;F350,"&gt;","&lt;")</f>
        <v>&gt;</v>
      </c>
      <c r="F350" s="54">
        <f>Process!F280</f>
        <v>68.42</v>
      </c>
      <c r="G350" s="53" t="str">
        <f>IF(F350&gt;H350,"&gt;","&lt;")</f>
        <v>&lt;</v>
      </c>
      <c r="H350" s="54">
        <f>Process!H280</f>
        <v>276.05216898260375</v>
      </c>
    </row>
    <row r="351" spans="1:9" customFormat="1" ht="18.75" customHeight="1" x14ac:dyDescent="0.25">
      <c r="A351" s="17"/>
      <c r="B351" s="286" t="s">
        <v>163</v>
      </c>
      <c r="C351" s="287"/>
      <c r="D351" s="291" t="s">
        <v>169</v>
      </c>
      <c r="E351" s="292"/>
      <c r="F351" s="292"/>
      <c r="G351" s="292"/>
      <c r="H351" s="293"/>
    </row>
    <row r="352" spans="1:9" customFormat="1" ht="18.75" customHeight="1" x14ac:dyDescent="0.25">
      <c r="A352" s="17"/>
      <c r="B352" s="286"/>
      <c r="C352" s="287"/>
      <c r="D352" s="32">
        <f>Process!D282</f>
        <v>276.05216898260375</v>
      </c>
      <c r="E352" s="31" t="str">
        <f>IF(D352&gt;F352,"&gt;","&lt;")</f>
        <v>&gt;</v>
      </c>
      <c r="F352" s="32">
        <f>Process!F282</f>
        <v>68.42</v>
      </c>
      <c r="G352" s="31" t="str">
        <f>IF(F352&gt;H352,"&gt;","&lt;")</f>
        <v>&lt;</v>
      </c>
      <c r="H352" s="32">
        <f>Process!H282</f>
        <v>460.08694830433961</v>
      </c>
    </row>
    <row r="353" spans="1:11" customFormat="1" ht="18.75" customHeight="1" x14ac:dyDescent="0.25">
      <c r="A353" s="17"/>
      <c r="B353" s="286" t="s">
        <v>164</v>
      </c>
      <c r="C353" s="287"/>
      <c r="D353" s="288" t="s">
        <v>170</v>
      </c>
      <c r="E353" s="289"/>
      <c r="F353" s="289"/>
      <c r="G353" s="289"/>
      <c r="H353" s="290"/>
    </row>
    <row r="354" spans="1:11" customFormat="1" ht="18.75" customHeight="1" x14ac:dyDescent="0.25">
      <c r="A354" s="17"/>
      <c r="B354" s="286"/>
      <c r="C354" s="287"/>
      <c r="D354" s="54">
        <f>Process!D284</f>
        <v>68.42</v>
      </c>
      <c r="E354" s="53" t="str">
        <f>IF(D354&gt;F354,"&gt;","&lt;")</f>
        <v>&lt;</v>
      </c>
      <c r="F354" s="54">
        <f>Process!F284</f>
        <v>460.08694830433961</v>
      </c>
      <c r="G354" s="55"/>
      <c r="H354" s="55"/>
    </row>
    <row r="355" spans="1:11" customFormat="1" ht="18.75" customHeight="1" x14ac:dyDescent="0.25"/>
    <row r="356" spans="1:11" customFormat="1" ht="18.75" customHeight="1" x14ac:dyDescent="0.25"/>
    <row r="357" spans="1:11" customFormat="1" ht="18.75" customHeight="1" x14ac:dyDescent="0.25"/>
    <row r="358" spans="1:11" customFormat="1" ht="18.75" customHeight="1" x14ac:dyDescent="0.25"/>
    <row r="359" spans="1:11" customFormat="1" ht="18.75" customHeight="1" x14ac:dyDescent="0.25"/>
    <row r="360" spans="1:11" customFormat="1" ht="18.75" customHeight="1" x14ac:dyDescent="0.25"/>
    <row r="361" spans="1:11" customFormat="1" ht="18.75" customHeight="1" x14ac:dyDescent="0.25">
      <c r="B361" s="11" t="s">
        <v>171</v>
      </c>
    </row>
    <row r="362" spans="1:11" customFormat="1" ht="18.75" customHeight="1" x14ac:dyDescent="0.25">
      <c r="A362" s="17"/>
      <c r="B362" s="318" t="s">
        <v>172</v>
      </c>
      <c r="C362" s="295" t="s">
        <v>173</v>
      </c>
      <c r="D362" s="296" t="s">
        <v>174</v>
      </c>
      <c r="E362" s="296"/>
      <c r="F362" s="295" t="s">
        <v>175</v>
      </c>
      <c r="G362" s="295"/>
      <c r="H362" s="99"/>
    </row>
    <row r="363" spans="1:11" customFormat="1" ht="18.75" customHeight="1" x14ac:dyDescent="0.25">
      <c r="A363" s="17"/>
      <c r="B363" s="318"/>
      <c r="C363" s="295"/>
      <c r="D363" s="296"/>
      <c r="E363" s="296"/>
      <c r="F363" s="130" t="s">
        <v>278</v>
      </c>
      <c r="G363" s="130" t="s">
        <v>279</v>
      </c>
      <c r="H363" s="99"/>
      <c r="I363" s="99"/>
      <c r="J363" s="99"/>
      <c r="K363" s="99"/>
    </row>
    <row r="364" spans="1:11" customFormat="1" ht="18.75" customHeight="1" x14ac:dyDescent="0.25">
      <c r="A364" s="17"/>
      <c r="B364" s="277">
        <v>1</v>
      </c>
      <c r="C364" s="142" t="str">
        <f>IF(D344&lt;=F344,"TERPENUHI","")</f>
        <v/>
      </c>
      <c r="D364" s="306" t="s">
        <v>176</v>
      </c>
      <c r="E364" s="306"/>
      <c r="F364" s="31"/>
      <c r="G364" s="51"/>
      <c r="H364" s="99"/>
      <c r="I364" s="99"/>
      <c r="J364" s="99"/>
      <c r="K364" s="99"/>
    </row>
    <row r="365" spans="1:11" customFormat="1" ht="18.75" customHeight="1" x14ac:dyDescent="0.25">
      <c r="A365" s="17"/>
      <c r="B365" s="277">
        <v>2</v>
      </c>
      <c r="C365" s="142" t="str">
        <f>IF(D346&lt;=F346,IF(F346&lt;H346,"TERPENUHI",""),"")</f>
        <v>TERPENUHI</v>
      </c>
      <c r="D365" s="306" t="s">
        <v>177</v>
      </c>
      <c r="E365" s="306"/>
      <c r="F365" s="31" t="s">
        <v>178</v>
      </c>
      <c r="G365" s="31" t="s">
        <v>179</v>
      </c>
      <c r="H365" s="99"/>
      <c r="I365" s="99"/>
      <c r="J365" s="99"/>
      <c r="K365" s="99"/>
    </row>
    <row r="366" spans="1:11" customFormat="1" ht="18.75" customHeight="1" x14ac:dyDescent="0.25">
      <c r="A366" s="17"/>
      <c r="B366" s="277">
        <v>3</v>
      </c>
      <c r="C366" s="142" t="str">
        <f>IF(D348&lt;=F348,IF(F348&lt;H348,"TERPENUHI",""),"")</f>
        <v/>
      </c>
      <c r="D366" s="306" t="s">
        <v>177</v>
      </c>
      <c r="E366" s="306"/>
      <c r="F366" s="31" t="s">
        <v>178</v>
      </c>
      <c r="G366" s="31" t="s">
        <v>179</v>
      </c>
      <c r="H366" s="99"/>
      <c r="I366" s="99"/>
      <c r="J366" s="99"/>
      <c r="K366" s="99"/>
    </row>
    <row r="367" spans="1:11" customFormat="1" ht="18.75" customHeight="1" x14ac:dyDescent="0.25">
      <c r="A367" s="17"/>
      <c r="B367" s="277">
        <v>4</v>
      </c>
      <c r="C367" s="142" t="str">
        <f>IF(D350&lt;=F350,IF(F350&lt;H350,"TERPENUHI",""),"")</f>
        <v/>
      </c>
      <c r="D367" s="319" t="s">
        <v>183</v>
      </c>
      <c r="E367" s="319"/>
      <c r="F367" s="31" t="s">
        <v>178</v>
      </c>
      <c r="G367" s="31" t="s">
        <v>179</v>
      </c>
      <c r="H367" s="99"/>
      <c r="I367" s="99"/>
      <c r="J367" s="99"/>
      <c r="K367" s="99"/>
    </row>
    <row r="368" spans="1:11" customFormat="1" ht="18.75" customHeight="1" x14ac:dyDescent="0.25">
      <c r="A368" s="17"/>
      <c r="B368" s="277">
        <v>5</v>
      </c>
      <c r="C368" s="142" t="str">
        <f>IF(D352&lt;=F352,IF(F352&lt;H352,"TERPENUHI",""),"")</f>
        <v/>
      </c>
      <c r="D368" s="319" t="s">
        <v>183</v>
      </c>
      <c r="E368" s="319"/>
      <c r="F368" s="31" t="s">
        <v>180</v>
      </c>
      <c r="G368" s="31" t="s">
        <v>181</v>
      </c>
      <c r="H368" s="99"/>
      <c r="I368" s="99"/>
      <c r="J368" s="99"/>
      <c r="K368" s="99"/>
    </row>
    <row r="369" spans="1:12" customFormat="1" ht="18.75" customHeight="1" x14ac:dyDescent="0.25">
      <c r="A369" s="17"/>
      <c r="B369" s="277">
        <v>6</v>
      </c>
      <c r="C369" s="142" t="str">
        <f>IF(D354&gt;=F354,"TERPENUHI","")</f>
        <v/>
      </c>
      <c r="D369" s="306" t="s">
        <v>182</v>
      </c>
      <c r="E369" s="306"/>
      <c r="F369" s="306"/>
      <c r="G369" s="306"/>
      <c r="H369" s="99"/>
      <c r="I369" s="99"/>
      <c r="J369" s="99"/>
      <c r="K369" s="99"/>
    </row>
    <row r="370" spans="1:12" customFormat="1" ht="18.75" customHeight="1" x14ac:dyDescent="0.25">
      <c r="J370" s="99"/>
      <c r="K370" s="99"/>
      <c r="L370" s="99"/>
    </row>
    <row r="371" spans="1:12" customFormat="1" ht="18.75" customHeight="1" x14ac:dyDescent="0.25">
      <c r="A371" s="14"/>
      <c r="B371" s="11" t="s">
        <v>184</v>
      </c>
      <c r="C371" s="11"/>
      <c r="D371" s="11"/>
      <c r="E371" s="11"/>
      <c r="F371" s="11"/>
      <c r="G371" s="12" t="str">
        <f>IF((IF(C364="TERPENUHI",1,0)+IF(C365="TERPENUHI",1,0)+IF(C366="TERPENUHI",1,0)=1),"φ * Vs = φ * Vs-min =",IF(IF(C367="TERPENUHI",1,0)+IF(C369="TERPENUHI",1,0)=1,"φ * Vs = Vu - φ * Vc =","Vs ="))</f>
        <v>φ * Vs = φ * Vs-min =</v>
      </c>
      <c r="H371" s="32">
        <f>Process!H296</f>
        <v>34.506521122825468</v>
      </c>
      <c r="I371" s="128" t="s">
        <v>110</v>
      </c>
    </row>
    <row r="372" spans="1:12" customFormat="1" ht="18.75" customHeight="1" x14ac:dyDescent="0.25">
      <c r="A372" s="14"/>
      <c r="B372" s="11" t="s">
        <v>185</v>
      </c>
      <c r="C372" s="11"/>
      <c r="D372" s="11"/>
      <c r="E372" s="11"/>
      <c r="F372" s="11"/>
      <c r="G372" s="12" t="s">
        <v>186</v>
      </c>
      <c r="H372" s="32">
        <f>Process!H297</f>
        <v>46.00869483043396</v>
      </c>
      <c r="I372" s="128" t="s">
        <v>110</v>
      </c>
    </row>
    <row r="373" spans="1:12" customFormat="1" ht="18.75" customHeight="1" x14ac:dyDescent="0.25">
      <c r="A373" s="14"/>
      <c r="B373" s="11" t="s">
        <v>187</v>
      </c>
      <c r="C373" s="11"/>
      <c r="D373" s="11"/>
      <c r="E373" s="11"/>
      <c r="F373" s="35">
        <f>Process!F298</f>
        <v>2</v>
      </c>
      <c r="G373" s="59" t="s">
        <v>391</v>
      </c>
      <c r="H373" s="60">
        <f>Input!$H$23</f>
        <v>12</v>
      </c>
      <c r="I373" s="268"/>
    </row>
    <row r="374" spans="1:12" customFormat="1" ht="18.75" customHeight="1" x14ac:dyDescent="0.25">
      <c r="A374" s="14"/>
      <c r="B374" s="11" t="s">
        <v>188</v>
      </c>
      <c r="C374" s="11"/>
      <c r="D374" s="11"/>
      <c r="E374" s="11"/>
      <c r="F374" s="11"/>
      <c r="G374" s="12" t="s">
        <v>455</v>
      </c>
      <c r="H374" s="32">
        <f>Process!H299</f>
        <v>226.1946710584651</v>
      </c>
      <c r="I374" s="128" t="s">
        <v>33</v>
      </c>
    </row>
    <row r="375" spans="1:12" customFormat="1" ht="18.75" customHeight="1" x14ac:dyDescent="0.25">
      <c r="A375" s="14"/>
      <c r="B375" s="11" t="s">
        <v>189</v>
      </c>
      <c r="C375" s="11"/>
      <c r="D375" s="11"/>
      <c r="E375" s="11"/>
      <c r="F375" s="11"/>
      <c r="G375" s="12" t="s">
        <v>190</v>
      </c>
      <c r="H375" s="35">
        <f>Process!H300</f>
        <v>925.05969715549418</v>
      </c>
      <c r="I375" s="128" t="s">
        <v>19</v>
      </c>
    </row>
    <row r="376" spans="1:12" customFormat="1" ht="18.75" customHeight="1" x14ac:dyDescent="0.25">
      <c r="A376" s="14"/>
      <c r="B376" s="11" t="s">
        <v>191</v>
      </c>
      <c r="C376" s="11"/>
      <c r="D376" s="11"/>
      <c r="F376" s="258">
        <f>F373</f>
        <v>2</v>
      </c>
      <c r="G376" s="149">
        <f>H373</f>
        <v>12</v>
      </c>
      <c r="H376" s="35">
        <f>Process!H301</f>
        <v>925.05969715549418</v>
      </c>
      <c r="I376" s="128"/>
    </row>
    <row r="377" spans="1:12" customFormat="1" ht="18.75" customHeight="1" x14ac:dyDescent="0.25">
      <c r="A377" s="14"/>
      <c r="B377" s="11"/>
      <c r="C377" s="11"/>
      <c r="D377" s="11"/>
      <c r="E377" s="12"/>
      <c r="F377" s="94"/>
      <c r="G377" s="95"/>
      <c r="H377" s="11"/>
      <c r="I377" s="128"/>
    </row>
    <row r="378" spans="1:12" customFormat="1" ht="18.75" customHeight="1" x14ac:dyDescent="0.25">
      <c r="A378" s="153" t="s">
        <v>432</v>
      </c>
      <c r="B378" s="6" t="s">
        <v>433</v>
      </c>
      <c r="C378" s="6"/>
      <c r="D378" s="6"/>
      <c r="E378" s="6"/>
      <c r="F378" s="6"/>
      <c r="G378" s="234"/>
      <c r="H378" s="153"/>
      <c r="I378" s="267"/>
    </row>
    <row r="379" spans="1:12" customFormat="1" ht="18.75" customHeight="1" x14ac:dyDescent="0.25">
      <c r="A379" s="14"/>
      <c r="B379" s="11" t="s">
        <v>151</v>
      </c>
      <c r="C379" s="11"/>
      <c r="D379" s="11"/>
      <c r="E379" s="11"/>
      <c r="F379" s="11"/>
      <c r="G379" s="12" t="s">
        <v>25</v>
      </c>
      <c r="H379" s="32">
        <f>Process!H304</f>
        <v>47.26</v>
      </c>
      <c r="I379" s="128" t="s">
        <v>110</v>
      </c>
    </row>
    <row r="380" spans="1:12" customFormat="1" ht="18.75" customHeight="1" x14ac:dyDescent="0.25">
      <c r="B380" s="11" t="s">
        <v>431</v>
      </c>
    </row>
    <row r="381" spans="1:12" customFormat="1" ht="18.75" customHeight="1" x14ac:dyDescent="0.25">
      <c r="A381" s="17"/>
      <c r="B381" s="286" t="s">
        <v>157</v>
      </c>
      <c r="C381" s="287"/>
      <c r="D381" s="291" t="s">
        <v>165</v>
      </c>
      <c r="E381" s="292"/>
      <c r="F381" s="292"/>
      <c r="G381" s="292"/>
      <c r="H381" s="293"/>
    </row>
    <row r="382" spans="1:12" customFormat="1" ht="18.75" customHeight="1" x14ac:dyDescent="0.25">
      <c r="A382" s="17"/>
      <c r="B382" s="286"/>
      <c r="C382" s="287"/>
      <c r="D382" s="32">
        <f>Process!D308</f>
        <v>47.26</v>
      </c>
      <c r="E382" s="31" t="str">
        <f>IF(D382&gt;F382,"&gt;","&lt;")</f>
        <v>&gt;</v>
      </c>
      <c r="F382" s="32">
        <f>Process!F308</f>
        <v>46.00869483043396</v>
      </c>
      <c r="G382" s="52"/>
      <c r="H382" s="51"/>
    </row>
    <row r="383" spans="1:12" customFormat="1" ht="18.75" customHeight="1" x14ac:dyDescent="0.25">
      <c r="A383" s="17"/>
      <c r="B383" s="286" t="s">
        <v>160</v>
      </c>
      <c r="C383" s="287"/>
      <c r="D383" s="288" t="s">
        <v>166</v>
      </c>
      <c r="E383" s="289"/>
      <c r="F383" s="289"/>
      <c r="G383" s="289"/>
      <c r="H383" s="290"/>
    </row>
    <row r="384" spans="1:12" customFormat="1" ht="18.75" customHeight="1" x14ac:dyDescent="0.25">
      <c r="A384" s="17"/>
      <c r="B384" s="286"/>
      <c r="C384" s="287"/>
      <c r="D384" s="54">
        <f>Process!D310</f>
        <v>46.00869483043396</v>
      </c>
      <c r="E384" s="53" t="str">
        <f>IF(D384&gt;F384,"&gt;","&lt;")</f>
        <v>&lt;</v>
      </c>
      <c r="F384" s="54">
        <f>Process!F310</f>
        <v>68.42</v>
      </c>
      <c r="G384" s="53" t="str">
        <f>IF(F384&gt;H384,"&gt;","&lt;")</f>
        <v>&lt;</v>
      </c>
      <c r="H384" s="54">
        <f>Process!H310</f>
        <v>92.01738966086792</v>
      </c>
    </row>
    <row r="385" spans="1:8" customFormat="1" ht="18.75" customHeight="1" x14ac:dyDescent="0.25">
      <c r="A385" s="17"/>
      <c r="B385" s="286" t="s">
        <v>161</v>
      </c>
      <c r="C385" s="287"/>
      <c r="D385" s="291" t="s">
        <v>167</v>
      </c>
      <c r="E385" s="292"/>
      <c r="F385" s="292"/>
      <c r="G385" s="292"/>
      <c r="H385" s="293"/>
    </row>
    <row r="386" spans="1:8" customFormat="1" ht="18.75" customHeight="1" x14ac:dyDescent="0.25">
      <c r="A386" s="17"/>
      <c r="B386" s="286"/>
      <c r="C386" s="287"/>
      <c r="D386" s="32">
        <f>Process!D312</f>
        <v>92.01738966086792</v>
      </c>
      <c r="E386" s="31" t="str">
        <f>IF(D386&gt;F386,"&gt;","&lt;")</f>
        <v>&gt;</v>
      </c>
      <c r="F386" s="32">
        <f>Process!F312</f>
        <v>68.42</v>
      </c>
      <c r="G386" s="31" t="str">
        <f>IF(F386&gt;H386,"&gt;","&lt;")</f>
        <v>&lt;</v>
      </c>
      <c r="H386" s="32">
        <f>Process!H312</f>
        <v>126.5239107836934</v>
      </c>
    </row>
    <row r="387" spans="1:8" customFormat="1" ht="18.75" customHeight="1" x14ac:dyDescent="0.25">
      <c r="A387" s="17"/>
      <c r="B387" s="286" t="s">
        <v>162</v>
      </c>
      <c r="C387" s="287"/>
      <c r="D387" s="288" t="s">
        <v>168</v>
      </c>
      <c r="E387" s="289"/>
      <c r="F387" s="289"/>
      <c r="G387" s="289"/>
      <c r="H387" s="290"/>
    </row>
    <row r="388" spans="1:8" customFormat="1" ht="18.75" customHeight="1" x14ac:dyDescent="0.25">
      <c r="A388" s="17"/>
      <c r="B388" s="286"/>
      <c r="C388" s="287"/>
      <c r="D388" s="54">
        <f>Process!D314</f>
        <v>126.5239107836934</v>
      </c>
      <c r="E388" s="53" t="str">
        <f>IF(D388&gt;F388,"&gt;","&lt;")</f>
        <v>&gt;</v>
      </c>
      <c r="F388" s="54">
        <f>Process!F314</f>
        <v>68.42</v>
      </c>
      <c r="G388" s="53" t="str">
        <f>IF(F388&gt;H388,"&gt;","&lt;")</f>
        <v>&lt;</v>
      </c>
      <c r="H388" s="54">
        <f>Process!H314</f>
        <v>276.05216898260375</v>
      </c>
    </row>
    <row r="389" spans="1:8" customFormat="1" ht="18.75" customHeight="1" x14ac:dyDescent="0.25">
      <c r="A389" s="17"/>
      <c r="B389" s="286" t="s">
        <v>163</v>
      </c>
      <c r="C389" s="287"/>
      <c r="D389" s="291" t="s">
        <v>169</v>
      </c>
      <c r="E389" s="292"/>
      <c r="F389" s="292"/>
      <c r="G389" s="292"/>
      <c r="H389" s="293"/>
    </row>
    <row r="390" spans="1:8" customFormat="1" ht="18.75" customHeight="1" x14ac:dyDescent="0.25">
      <c r="A390" s="17"/>
      <c r="B390" s="286"/>
      <c r="C390" s="287"/>
      <c r="D390" s="32">
        <f>Process!D316</f>
        <v>276.05216898260375</v>
      </c>
      <c r="E390" s="31" t="str">
        <f>IF(D390&gt;F390,"&gt;","&lt;")</f>
        <v>&gt;</v>
      </c>
      <c r="F390" s="32">
        <f>Process!F316</f>
        <v>68.42</v>
      </c>
      <c r="G390" s="31" t="str">
        <f>IF(F390&gt;H390,"&gt;","&lt;")</f>
        <v>&lt;</v>
      </c>
      <c r="H390" s="32">
        <f>Process!H316</f>
        <v>460.08694830433961</v>
      </c>
    </row>
    <row r="391" spans="1:8" customFormat="1" ht="18.75" customHeight="1" x14ac:dyDescent="0.25">
      <c r="A391" s="17"/>
      <c r="B391" s="286" t="s">
        <v>164</v>
      </c>
      <c r="C391" s="287"/>
      <c r="D391" s="288" t="s">
        <v>170</v>
      </c>
      <c r="E391" s="289"/>
      <c r="F391" s="289"/>
      <c r="G391" s="289"/>
      <c r="H391" s="290"/>
    </row>
    <row r="392" spans="1:8" customFormat="1" ht="18.75" customHeight="1" x14ac:dyDescent="0.25">
      <c r="A392" s="17"/>
      <c r="B392" s="286"/>
      <c r="C392" s="287"/>
      <c r="D392" s="54">
        <f>Process!D318</f>
        <v>68.42</v>
      </c>
      <c r="E392" s="53" t="str">
        <f>IF(D392&gt;F392,"&gt;","&lt;")</f>
        <v>&lt;</v>
      </c>
      <c r="F392" s="54">
        <f>Process!F318</f>
        <v>460.08694830433961</v>
      </c>
      <c r="G392" s="55"/>
      <c r="H392" s="55"/>
    </row>
    <row r="393" spans="1:8" customFormat="1" ht="18.75" customHeight="1" x14ac:dyDescent="0.25"/>
    <row r="394" spans="1:8" customFormat="1" ht="18.75" customHeight="1" x14ac:dyDescent="0.25"/>
    <row r="395" spans="1:8" customFormat="1" ht="18.75" customHeight="1" x14ac:dyDescent="0.25"/>
    <row r="396" spans="1:8" customFormat="1" ht="18.75" customHeight="1" x14ac:dyDescent="0.25"/>
    <row r="397" spans="1:8" customFormat="1" ht="18.75" customHeight="1" x14ac:dyDescent="0.25"/>
    <row r="398" spans="1:8" customFormat="1" ht="18.75" customHeight="1" x14ac:dyDescent="0.25"/>
    <row r="399" spans="1:8" customFormat="1" ht="18.75" customHeight="1" x14ac:dyDescent="0.25"/>
    <row r="400" spans="1:8" customFormat="1" ht="18.75" customHeight="1" x14ac:dyDescent="0.25"/>
    <row r="401" spans="1:9" customFormat="1" ht="18.75" customHeight="1" x14ac:dyDescent="0.25">
      <c r="B401" s="11" t="s">
        <v>171</v>
      </c>
    </row>
    <row r="402" spans="1:9" customFormat="1" ht="18.75" customHeight="1" x14ac:dyDescent="0.25">
      <c r="A402" s="17"/>
      <c r="B402" s="318" t="s">
        <v>172</v>
      </c>
      <c r="C402" s="295" t="s">
        <v>173</v>
      </c>
      <c r="D402" s="296" t="s">
        <v>174</v>
      </c>
      <c r="E402" s="296"/>
      <c r="F402" s="295" t="s">
        <v>175</v>
      </c>
      <c r="G402" s="295"/>
    </row>
    <row r="403" spans="1:9" customFormat="1" ht="18.75" customHeight="1" x14ac:dyDescent="0.25">
      <c r="A403" s="17"/>
      <c r="B403" s="318"/>
      <c r="C403" s="295"/>
      <c r="D403" s="296"/>
      <c r="E403" s="296"/>
      <c r="F403" s="130" t="s">
        <v>278</v>
      </c>
      <c r="G403" s="130" t="s">
        <v>279</v>
      </c>
      <c r="I403" s="164"/>
    </row>
    <row r="404" spans="1:9" customFormat="1" ht="18.75" customHeight="1" x14ac:dyDescent="0.25">
      <c r="A404" s="17"/>
      <c r="B404" s="277">
        <v>1</v>
      </c>
      <c r="C404" s="142" t="str">
        <f>IF(D382&lt;=F382,"TERPENUHI","")</f>
        <v/>
      </c>
      <c r="D404" s="306" t="s">
        <v>176</v>
      </c>
      <c r="E404" s="306"/>
      <c r="F404" s="31"/>
      <c r="G404" s="51"/>
    </row>
    <row r="405" spans="1:9" customFormat="1" ht="18.75" customHeight="1" x14ac:dyDescent="0.25">
      <c r="A405" s="17"/>
      <c r="B405" s="277">
        <v>2</v>
      </c>
      <c r="C405" s="142" t="str">
        <f>IF(D384&lt;=F384,IF(F384&lt;H384,"TERPENUHI",""),"")</f>
        <v>TERPENUHI</v>
      </c>
      <c r="D405" s="306" t="s">
        <v>177</v>
      </c>
      <c r="E405" s="306"/>
      <c r="F405" s="31" t="s">
        <v>178</v>
      </c>
      <c r="G405" s="31" t="s">
        <v>179</v>
      </c>
    </row>
    <row r="406" spans="1:9" customFormat="1" ht="18.75" customHeight="1" x14ac:dyDescent="0.25">
      <c r="A406" s="17"/>
      <c r="B406" s="277">
        <v>3</v>
      </c>
      <c r="C406" s="142" t="str">
        <f>IF(D386&lt;=F386,IF(F386&lt;H386,"TERPENUHI",""),"")</f>
        <v/>
      </c>
      <c r="D406" s="306" t="s">
        <v>177</v>
      </c>
      <c r="E406" s="306"/>
      <c r="F406" s="31" t="s">
        <v>178</v>
      </c>
      <c r="G406" s="31" t="s">
        <v>179</v>
      </c>
    </row>
    <row r="407" spans="1:9" customFormat="1" ht="18.75" customHeight="1" x14ac:dyDescent="0.25">
      <c r="A407" s="17"/>
      <c r="B407" s="277">
        <v>4</v>
      </c>
      <c r="C407" s="142" t="str">
        <f>IF(D388&lt;=F388,IF(F388&lt;H388,"TERPENUHI",""),"")</f>
        <v/>
      </c>
      <c r="D407" s="319" t="s">
        <v>183</v>
      </c>
      <c r="E407" s="319"/>
      <c r="F407" s="31" t="s">
        <v>178</v>
      </c>
      <c r="G407" s="31" t="s">
        <v>179</v>
      </c>
    </row>
    <row r="408" spans="1:9" customFormat="1" ht="18.75" customHeight="1" x14ac:dyDescent="0.25">
      <c r="A408" s="17"/>
      <c r="B408" s="277">
        <v>5</v>
      </c>
      <c r="C408" s="142" t="str">
        <f>IF(D390&lt;=F390,IF(F390&lt;H390,"TERPENUHI",""),"")</f>
        <v/>
      </c>
      <c r="D408" s="319" t="s">
        <v>183</v>
      </c>
      <c r="E408" s="319"/>
      <c r="F408" s="31" t="s">
        <v>180</v>
      </c>
      <c r="G408" s="31" t="s">
        <v>181</v>
      </c>
    </row>
    <row r="409" spans="1:9" customFormat="1" ht="18.75" customHeight="1" x14ac:dyDescent="0.25">
      <c r="A409" s="17"/>
      <c r="B409" s="277">
        <v>6</v>
      </c>
      <c r="C409" s="142" t="str">
        <f>IF(D392&gt;=F392,"TERPENUHI","")</f>
        <v/>
      </c>
      <c r="D409" s="306" t="s">
        <v>182</v>
      </c>
      <c r="E409" s="306"/>
      <c r="F409" s="306"/>
      <c r="G409" s="306"/>
    </row>
    <row r="410" spans="1:9" customFormat="1" ht="18.75" customHeight="1" x14ac:dyDescent="0.25"/>
    <row r="411" spans="1:9" customFormat="1" ht="18.75" customHeight="1" x14ac:dyDescent="0.25">
      <c r="A411" s="14"/>
      <c r="B411" s="11" t="s">
        <v>184</v>
      </c>
      <c r="C411" s="11"/>
      <c r="D411" s="11"/>
      <c r="E411" s="11"/>
      <c r="F411" s="11"/>
      <c r="G411" s="12" t="str">
        <f>IF((IF(C404="TERPENUHI",1,0)+IF(C405="TERPENUHI",1,0)+IF(C406="TERPENUHI",1,0)=1),"φ * Vs = φ * Vs-min =",IF(IF(C407="TERPENUHI",1,0)+IF(C409="TERPENUHI",1,0)=1,"φ * Vs = Vu - φ * Vc =","Vs ="))</f>
        <v>φ * Vs = φ * Vs-min =</v>
      </c>
      <c r="H411" s="32">
        <f>Process!H330</f>
        <v>34.506521122825468</v>
      </c>
      <c r="I411" s="128" t="s">
        <v>110</v>
      </c>
    </row>
    <row r="412" spans="1:9" customFormat="1" ht="18.75" customHeight="1" x14ac:dyDescent="0.25">
      <c r="A412" s="14"/>
      <c r="B412" s="11" t="s">
        <v>185</v>
      </c>
      <c r="C412" s="11"/>
      <c r="D412" s="11"/>
      <c r="E412" s="11"/>
      <c r="F412" s="11"/>
      <c r="G412" s="12" t="s">
        <v>186</v>
      </c>
      <c r="H412" s="32">
        <f>Process!H331</f>
        <v>46.00869483043396</v>
      </c>
      <c r="I412" s="128" t="s">
        <v>110</v>
      </c>
    </row>
    <row r="413" spans="1:9" customFormat="1" ht="18.75" customHeight="1" x14ac:dyDescent="0.25">
      <c r="A413" s="14"/>
      <c r="B413" s="11" t="s">
        <v>187</v>
      </c>
      <c r="C413" s="11"/>
      <c r="D413" s="11"/>
      <c r="E413" s="11"/>
      <c r="F413" s="35">
        <f>Process!F332</f>
        <v>2</v>
      </c>
      <c r="G413" s="59" t="s">
        <v>391</v>
      </c>
      <c r="H413" s="60">
        <f>Input!$H$23</f>
        <v>12</v>
      </c>
      <c r="I413" s="268"/>
    </row>
    <row r="414" spans="1:9" customFormat="1" ht="18.75" customHeight="1" x14ac:dyDescent="0.25">
      <c r="A414" s="14"/>
      <c r="B414" s="11" t="s">
        <v>188</v>
      </c>
      <c r="C414" s="11"/>
      <c r="D414" s="11"/>
      <c r="E414" s="11"/>
      <c r="F414" s="11"/>
      <c r="G414" s="12" t="s">
        <v>455</v>
      </c>
      <c r="H414" s="32">
        <f>Process!H333</f>
        <v>226.1946710584651</v>
      </c>
      <c r="I414" s="128" t="s">
        <v>33</v>
      </c>
    </row>
    <row r="415" spans="1:9" customFormat="1" ht="18.75" customHeight="1" x14ac:dyDescent="0.25">
      <c r="A415" s="14"/>
      <c r="B415" s="11" t="s">
        <v>189</v>
      </c>
      <c r="C415" s="11"/>
      <c r="D415" s="11"/>
      <c r="E415" s="11"/>
      <c r="F415" s="11"/>
      <c r="G415" s="12" t="s">
        <v>190</v>
      </c>
      <c r="H415" s="32">
        <f>Process!H334</f>
        <v>925.05969715549418</v>
      </c>
      <c r="I415" s="128" t="s">
        <v>19</v>
      </c>
    </row>
    <row r="416" spans="1:9" customFormat="1" ht="18.75" customHeight="1" x14ac:dyDescent="0.25">
      <c r="A416" s="14"/>
      <c r="B416" s="11" t="s">
        <v>191</v>
      </c>
      <c r="C416" s="11"/>
      <c r="D416" s="11"/>
      <c r="F416" s="61">
        <f>F413</f>
        <v>2</v>
      </c>
      <c r="G416" s="149">
        <f>H413</f>
        <v>12</v>
      </c>
      <c r="H416" s="32">
        <f>Process!H335</f>
        <v>925.05969715549418</v>
      </c>
      <c r="I416" s="128"/>
    </row>
    <row r="417" spans="1:9" customFormat="1" ht="18.75" customHeight="1" x14ac:dyDescent="0.25">
      <c r="A417" s="14"/>
      <c r="B417" s="11"/>
      <c r="C417" s="11"/>
      <c r="D417" s="11"/>
      <c r="E417" s="12"/>
      <c r="F417" s="94"/>
      <c r="G417" s="95"/>
      <c r="H417" s="11"/>
      <c r="I417" s="128"/>
    </row>
    <row r="418" spans="1:9" customFormat="1" ht="18.75" customHeight="1" x14ac:dyDescent="0.25">
      <c r="A418" s="266" t="s">
        <v>192</v>
      </c>
      <c r="B418" s="26" t="s">
        <v>193</v>
      </c>
      <c r="C418" s="26"/>
      <c r="D418" s="26"/>
      <c r="E418" s="27"/>
      <c r="F418" s="27"/>
      <c r="G418" s="236"/>
      <c r="H418" s="27"/>
      <c r="I418" s="30"/>
    </row>
    <row r="419" spans="1:9" customFormat="1" ht="18.75" customHeight="1" x14ac:dyDescent="0.25">
      <c r="A419" s="14"/>
      <c r="B419" s="11" t="s">
        <v>194</v>
      </c>
      <c r="C419" s="11"/>
      <c r="D419" s="11"/>
      <c r="E419" s="11"/>
      <c r="F419" s="11"/>
      <c r="G419" s="12" t="s">
        <v>26</v>
      </c>
      <c r="H419" s="32">
        <f>Process!H338</f>
        <v>24.2</v>
      </c>
      <c r="I419" s="128" t="s">
        <v>27</v>
      </c>
    </row>
    <row r="420" spans="1:9" customFormat="1" ht="18.75" customHeight="1" x14ac:dyDescent="0.25">
      <c r="A420" s="14"/>
      <c r="B420" s="11" t="s">
        <v>195</v>
      </c>
      <c r="C420" s="11"/>
      <c r="D420" s="11"/>
      <c r="E420" s="11"/>
      <c r="F420" s="11"/>
      <c r="G420" s="12" t="s">
        <v>62</v>
      </c>
      <c r="H420" s="34">
        <f>Process!H339</f>
        <v>0.75</v>
      </c>
      <c r="I420" s="128"/>
    </row>
    <row r="421" spans="1:9" customFormat="1" ht="18.75" customHeight="1" x14ac:dyDescent="0.25">
      <c r="A421" s="14"/>
      <c r="B421" s="11" t="s">
        <v>196</v>
      </c>
      <c r="C421" s="11"/>
      <c r="D421" s="11"/>
      <c r="E421" s="11"/>
      <c r="F421" s="11"/>
      <c r="G421" s="12" t="s">
        <v>197</v>
      </c>
      <c r="H421" s="32">
        <f>Process!H340</f>
        <v>32.266666666666666</v>
      </c>
      <c r="I421" s="128" t="s">
        <v>27</v>
      </c>
    </row>
    <row r="422" spans="1:9" customFormat="1" ht="18.75" customHeight="1" x14ac:dyDescent="0.25">
      <c r="A422" s="14"/>
      <c r="B422" s="11" t="s">
        <v>198</v>
      </c>
      <c r="C422" s="11"/>
      <c r="D422" s="11"/>
      <c r="E422" s="11"/>
      <c r="F422" s="11"/>
      <c r="G422" s="12" t="s">
        <v>11</v>
      </c>
      <c r="H422" s="35">
        <f>Process!H341</f>
        <v>420</v>
      </c>
      <c r="I422" s="128" t="s">
        <v>9</v>
      </c>
    </row>
    <row r="423" spans="1:9" customFormat="1" ht="18.75" customHeight="1" x14ac:dyDescent="0.25">
      <c r="A423" s="14"/>
      <c r="B423" s="11" t="s">
        <v>199</v>
      </c>
      <c r="C423" s="11"/>
      <c r="D423" s="12"/>
      <c r="E423" s="19"/>
      <c r="F423" s="18"/>
      <c r="G423" s="12" t="s">
        <v>200</v>
      </c>
      <c r="H423" s="34">
        <f>Process!H342</f>
        <v>150000</v>
      </c>
      <c r="I423" s="128" t="s">
        <v>33</v>
      </c>
    </row>
    <row r="424" spans="1:9" customFormat="1" ht="18.75" customHeight="1" x14ac:dyDescent="0.25">
      <c r="A424" s="14"/>
      <c r="B424" s="11" t="s">
        <v>201</v>
      </c>
      <c r="C424" s="11"/>
      <c r="D424" s="11"/>
      <c r="E424" s="11"/>
      <c r="F424" s="11"/>
      <c r="G424" s="11"/>
      <c r="H424" s="11"/>
      <c r="I424" s="128"/>
    </row>
    <row r="425" spans="1:9" customFormat="1" ht="18.75" customHeight="1" x14ac:dyDescent="0.25">
      <c r="A425" s="14"/>
      <c r="B425" s="11"/>
      <c r="C425" s="11"/>
      <c r="D425" s="11"/>
      <c r="E425" s="11"/>
      <c r="F425" s="11"/>
      <c r="G425" s="12" t="s">
        <v>228</v>
      </c>
      <c r="H425" s="34">
        <f>Process!H344</f>
        <v>84864</v>
      </c>
      <c r="I425" s="128" t="s">
        <v>33</v>
      </c>
    </row>
    <row r="426" spans="1:9" customFormat="1" ht="18.75" customHeight="1" x14ac:dyDescent="0.25">
      <c r="A426" s="14"/>
      <c r="B426" s="11" t="s">
        <v>202</v>
      </c>
      <c r="C426" s="11"/>
      <c r="D426" s="11"/>
      <c r="E426" s="11"/>
      <c r="F426" s="11"/>
      <c r="G426" s="12" t="s">
        <v>203</v>
      </c>
      <c r="H426" s="34">
        <f>Process!H345</f>
        <v>1600</v>
      </c>
      <c r="I426" s="128" t="s">
        <v>19</v>
      </c>
    </row>
    <row r="427" spans="1:9" customFormat="1" ht="18.75" customHeight="1" x14ac:dyDescent="0.25">
      <c r="A427" s="14"/>
      <c r="B427" s="11" t="s">
        <v>204</v>
      </c>
      <c r="C427" s="11"/>
      <c r="D427" s="11"/>
      <c r="E427" s="11"/>
      <c r="F427" s="11"/>
      <c r="G427" s="11"/>
      <c r="H427" s="11"/>
      <c r="I427" s="128"/>
    </row>
    <row r="428" spans="1:9" customFormat="1" ht="18.75" customHeight="1" x14ac:dyDescent="0.25">
      <c r="A428" s="14"/>
      <c r="B428" s="11"/>
      <c r="C428" s="11"/>
      <c r="D428" s="11"/>
      <c r="E428" s="11"/>
      <c r="F428" s="11"/>
      <c r="G428" s="12" t="s">
        <v>277</v>
      </c>
      <c r="H428" s="34">
        <f>Process!H347</f>
        <v>1232</v>
      </c>
      <c r="I428" s="128" t="s">
        <v>19</v>
      </c>
    </row>
    <row r="429" spans="1:9" customFormat="1" ht="18.75" customHeight="1" x14ac:dyDescent="0.25">
      <c r="A429" s="14"/>
      <c r="B429" s="11"/>
      <c r="C429" s="11"/>
      <c r="D429" s="11"/>
      <c r="E429" s="11"/>
      <c r="F429" s="11"/>
      <c r="G429" s="12"/>
      <c r="H429" s="19"/>
      <c r="I429" s="128"/>
    </row>
    <row r="430" spans="1:9" customFormat="1" ht="18.75" customHeight="1" x14ac:dyDescent="0.25">
      <c r="A430" s="14"/>
      <c r="B430" s="11" t="s">
        <v>205</v>
      </c>
      <c r="C430" s="11"/>
      <c r="D430" s="11"/>
      <c r="E430" s="11"/>
      <c r="F430" s="11"/>
      <c r="G430" s="12" t="s">
        <v>206</v>
      </c>
      <c r="H430" s="35">
        <f>Process!H349</f>
        <v>925.05969715549418</v>
      </c>
      <c r="I430" s="128" t="s">
        <v>19</v>
      </c>
    </row>
    <row r="431" spans="1:9" customFormat="1" ht="18.75" customHeight="1" x14ac:dyDescent="0.25">
      <c r="A431" s="14"/>
      <c r="B431" s="11"/>
      <c r="C431" s="11"/>
      <c r="D431" s="11"/>
      <c r="E431" s="11"/>
      <c r="F431" s="11"/>
      <c r="G431" s="12" t="s">
        <v>207</v>
      </c>
      <c r="H431" s="35">
        <f>Process!H350</f>
        <v>300</v>
      </c>
      <c r="I431" s="128" t="s">
        <v>19</v>
      </c>
    </row>
    <row r="432" spans="1:9" customFormat="1" ht="18.75" customHeight="1" x14ac:dyDescent="0.25">
      <c r="A432" s="14"/>
      <c r="B432" s="11"/>
      <c r="C432" s="11"/>
      <c r="D432" s="11"/>
      <c r="E432" s="11"/>
      <c r="F432" s="11"/>
      <c r="G432" s="12"/>
      <c r="H432" s="80"/>
      <c r="I432" s="128"/>
    </row>
    <row r="433" spans="1:9" customFormat="1" ht="18.75" customHeight="1" x14ac:dyDescent="0.25">
      <c r="A433" s="14"/>
      <c r="B433" s="11" t="s">
        <v>209</v>
      </c>
      <c r="C433" s="11"/>
      <c r="D433" s="11"/>
      <c r="E433" s="11"/>
      <c r="F433" s="11"/>
      <c r="G433" s="11"/>
      <c r="H433" s="11"/>
      <c r="I433" s="128"/>
    </row>
    <row r="434" spans="1:9" customFormat="1" ht="18.75" customHeight="1" x14ac:dyDescent="0.25">
      <c r="A434" s="14"/>
      <c r="B434" s="11"/>
      <c r="C434" s="11"/>
      <c r="D434" s="11"/>
      <c r="E434" s="11"/>
      <c r="F434" s="11"/>
      <c r="G434" s="12" t="s">
        <v>210</v>
      </c>
      <c r="H434" s="32">
        <f>Process!H353</f>
        <v>4.9234646882086004</v>
      </c>
      <c r="I434" s="128" t="s">
        <v>27</v>
      </c>
    </row>
    <row r="435" spans="1:9" customFormat="1" ht="18.75" customHeight="1" x14ac:dyDescent="0.25">
      <c r="A435" s="14"/>
      <c r="B435" s="11"/>
      <c r="C435" s="11"/>
      <c r="D435" s="11"/>
      <c r="E435" s="11"/>
      <c r="F435" s="15" t="s">
        <v>41</v>
      </c>
      <c r="G435" s="89" t="str">
        <f>IF(H419&lt;H434,"Torsi boleh diabaikan","Torsi tidak boleh diabaikan")</f>
        <v>Torsi tidak boleh diabaikan</v>
      </c>
      <c r="H435" s="11"/>
      <c r="I435" s="128"/>
    </row>
    <row r="436" spans="1:9" customFormat="1" ht="18.75" customHeight="1" x14ac:dyDescent="0.25">
      <c r="A436" s="14"/>
      <c r="B436" s="11" t="s">
        <v>211</v>
      </c>
      <c r="C436" s="11"/>
      <c r="D436" s="11"/>
      <c r="E436" s="11"/>
      <c r="F436" s="11"/>
      <c r="G436" s="11"/>
      <c r="H436" s="11"/>
      <c r="I436" s="128"/>
    </row>
    <row r="437" spans="1:9" customFormat="1" ht="18.75" customHeight="1" x14ac:dyDescent="0.25">
      <c r="A437" s="14"/>
      <c r="B437" s="285" t="s">
        <v>212</v>
      </c>
      <c r="C437" s="285"/>
      <c r="D437" s="285"/>
      <c r="E437" s="285"/>
      <c r="F437" s="285"/>
      <c r="G437" s="285"/>
      <c r="H437" s="285"/>
      <c r="I437" s="128"/>
    </row>
    <row r="438" spans="1:9" customFormat="1" ht="18.75" customHeight="1" x14ac:dyDescent="0.25">
      <c r="A438" s="14"/>
      <c r="B438" s="11"/>
      <c r="C438" s="11"/>
      <c r="D438" s="32">
        <f>Process!D357</f>
        <v>0.50908320525633499</v>
      </c>
      <c r="E438" s="14" t="s">
        <v>159</v>
      </c>
      <c r="F438" s="32">
        <f>Process!F357</f>
        <v>3.4232659844072879</v>
      </c>
      <c r="G438" s="11"/>
      <c r="H438" s="11"/>
      <c r="I438" s="128"/>
    </row>
    <row r="439" spans="1:9" customFormat="1" ht="18.75" customHeight="1" x14ac:dyDescent="0.25">
      <c r="A439" s="14"/>
      <c r="B439" s="11"/>
      <c r="C439" s="11"/>
      <c r="D439" s="11"/>
      <c r="E439" s="11"/>
      <c r="F439" s="15" t="s">
        <v>41</v>
      </c>
      <c r="G439" s="89" t="str">
        <f>IF(D438&lt;=F438,"Tdk perlu ganti dimensi","perlu ganti dimensi")</f>
        <v>Tdk perlu ganti dimensi</v>
      </c>
      <c r="H439" s="11"/>
      <c r="I439" s="128"/>
    </row>
    <row r="440" spans="1:9" customFormat="1" ht="18.75" customHeight="1" x14ac:dyDescent="0.25">
      <c r="A440" s="14"/>
      <c r="B440" s="11" t="s">
        <v>213</v>
      </c>
      <c r="C440" s="11"/>
      <c r="D440" s="11"/>
      <c r="E440" s="11"/>
      <c r="F440" s="11"/>
      <c r="G440" s="12" t="s">
        <v>214</v>
      </c>
      <c r="H440" s="32">
        <f>Process!H359</f>
        <v>0.53251567092397545</v>
      </c>
      <c r="I440" s="128"/>
    </row>
    <row r="441" spans="1:9" customFormat="1" ht="18.75" customHeight="1" x14ac:dyDescent="0.25">
      <c r="A441" s="14"/>
      <c r="B441" s="11" t="s">
        <v>215</v>
      </c>
      <c r="C441" s="11"/>
      <c r="D441" s="11"/>
      <c r="E441" s="11"/>
      <c r="F441" s="11"/>
      <c r="G441" s="99"/>
      <c r="H441" s="99"/>
      <c r="I441" s="128"/>
    </row>
    <row r="442" spans="1:9" customFormat="1" ht="18.75" customHeight="1" x14ac:dyDescent="0.25">
      <c r="A442" s="14"/>
      <c r="B442" s="11"/>
      <c r="C442" s="11"/>
      <c r="D442" s="11"/>
      <c r="E442" s="11"/>
      <c r="F442" s="11"/>
      <c r="G442" s="12" t="s">
        <v>216</v>
      </c>
      <c r="H442" s="32">
        <f>Process!H360</f>
        <v>0</v>
      </c>
      <c r="I442" s="128"/>
    </row>
    <row r="443" spans="1:9" customFormat="1" ht="18.75" customHeight="1" x14ac:dyDescent="0.25">
      <c r="A443" s="14"/>
      <c r="B443" s="11" t="s">
        <v>217</v>
      </c>
      <c r="C443" s="11"/>
      <c r="D443" s="11"/>
      <c r="E443" s="11"/>
      <c r="F443" s="11"/>
      <c r="G443" s="12" t="s">
        <v>218</v>
      </c>
      <c r="H443" s="32">
        <f>Process!H361</f>
        <v>0.53251567092397545</v>
      </c>
      <c r="I443" s="128"/>
    </row>
    <row r="444" spans="1:9" customFormat="1" ht="18.75" customHeight="1" x14ac:dyDescent="0.25">
      <c r="A444" s="14"/>
      <c r="B444" s="11" t="s">
        <v>219</v>
      </c>
      <c r="C444" s="11"/>
      <c r="D444" s="11"/>
      <c r="E444" s="11"/>
      <c r="F444" s="11"/>
      <c r="G444" s="12" t="s">
        <v>220</v>
      </c>
      <c r="H444" s="32">
        <f>Process!H362</f>
        <v>656.05930657833778</v>
      </c>
      <c r="I444" s="128" t="s">
        <v>33</v>
      </c>
    </row>
    <row r="445" spans="1:9" customFormat="1" ht="18.75" customHeight="1" x14ac:dyDescent="0.25">
      <c r="A445" s="14"/>
      <c r="B445" s="11" t="s">
        <v>221</v>
      </c>
      <c r="C445" s="11"/>
      <c r="D445" s="11"/>
      <c r="E445" s="11"/>
      <c r="F445" s="11"/>
      <c r="G445" s="11"/>
      <c r="H445" s="11"/>
      <c r="I445" s="128"/>
    </row>
    <row r="446" spans="1:9" customFormat="1" ht="18.75" customHeight="1" x14ac:dyDescent="0.25">
      <c r="A446" s="14"/>
      <c r="B446" s="11"/>
      <c r="C446" s="11"/>
      <c r="D446" s="11"/>
      <c r="E446" s="11"/>
      <c r="F446" s="11"/>
      <c r="G446" s="12" t="str">
        <f>IF(F448&gt;H448,"Al = 0,42 * (√ fc') * Acp / fy - ( At / s ) * Ph * ( fyt / fy ) =","Al = 0,42 * (√ fc') * Acp / fy - ( 0,175 * b / fyt ) * Ph * ( fyt / fy ) =")</f>
        <v>Al = 0,42 * (√ fc') * Acp / fy - ( At / s ) * Ph * ( fyt / fy ) =</v>
      </c>
      <c r="H446" s="265">
        <f>Process!H364</f>
        <v>165.52452967941122</v>
      </c>
      <c r="I446" s="128" t="s">
        <v>33</v>
      </c>
    </row>
    <row r="447" spans="1:9" customFormat="1" ht="18.75" customHeight="1" x14ac:dyDescent="0.25">
      <c r="A447" s="14"/>
      <c r="B447" s="11"/>
      <c r="C447" s="11"/>
      <c r="D447" s="11"/>
      <c r="E447" s="11" t="s">
        <v>222</v>
      </c>
      <c r="F447" s="14" t="s">
        <v>223</v>
      </c>
      <c r="G447" s="14" t="s">
        <v>224</v>
      </c>
      <c r="H447" s="18" t="s">
        <v>225</v>
      </c>
      <c r="I447" s="128"/>
    </row>
    <row r="448" spans="1:9" customFormat="1" ht="18.75" customHeight="1" x14ac:dyDescent="0.25">
      <c r="A448" s="14"/>
      <c r="B448" s="11"/>
      <c r="C448" s="11"/>
      <c r="D448" s="11"/>
      <c r="E448" s="11"/>
      <c r="F448" s="76">
        <f>H443</f>
        <v>0.53251567092397545</v>
      </c>
      <c r="G448" s="14" t="s">
        <v>224</v>
      </c>
      <c r="H448" s="264">
        <f>Process!H366</f>
        <v>0.125</v>
      </c>
      <c r="I448" s="128"/>
    </row>
    <row r="449" spans="1:9" customFormat="1" ht="18.75" customHeight="1" x14ac:dyDescent="0.25">
      <c r="A449" s="14"/>
      <c r="B449" s="11"/>
      <c r="C449" s="11"/>
      <c r="D449" s="11"/>
      <c r="E449" s="11"/>
      <c r="F449" s="76"/>
      <c r="G449" s="14"/>
      <c r="H449" s="76"/>
      <c r="I449" s="128"/>
    </row>
    <row r="450" spans="1:9" customFormat="1" ht="18.75" customHeight="1" x14ac:dyDescent="0.25">
      <c r="A450" s="14"/>
      <c r="B450" s="11" t="s">
        <v>226</v>
      </c>
      <c r="C450" s="11"/>
      <c r="D450" s="11"/>
      <c r="E450" s="11"/>
      <c r="F450" s="11"/>
      <c r="G450" s="12" t="s">
        <v>227</v>
      </c>
      <c r="H450" s="32">
        <f>Process!H368</f>
        <v>656.05930657833778</v>
      </c>
      <c r="I450" s="128" t="s">
        <v>33</v>
      </c>
    </row>
    <row r="451" spans="1:9" customFormat="1" ht="18.75" customHeight="1" x14ac:dyDescent="0.25">
      <c r="A451" s="14"/>
      <c r="B451" s="11"/>
      <c r="C451" s="11"/>
      <c r="D451" s="11"/>
      <c r="E451" s="11"/>
      <c r="F451" s="11"/>
      <c r="G451" s="11"/>
      <c r="H451" s="44"/>
      <c r="I451" s="128"/>
    </row>
    <row r="452" spans="1:9" customFormat="1" ht="18.75" customHeight="1" x14ac:dyDescent="0.25">
      <c r="A452" s="266" t="s">
        <v>229</v>
      </c>
      <c r="B452" s="26" t="s">
        <v>230</v>
      </c>
      <c r="C452" s="26"/>
      <c r="D452" s="26"/>
      <c r="E452" s="26"/>
      <c r="F452" s="26"/>
      <c r="G452" s="26"/>
      <c r="H452" s="26"/>
      <c r="I452" s="269"/>
    </row>
    <row r="453" spans="1:9" customFormat="1" ht="18.75" customHeight="1" x14ac:dyDescent="0.25">
      <c r="A453" s="153" t="s">
        <v>231</v>
      </c>
      <c r="B453" s="6" t="s">
        <v>311</v>
      </c>
      <c r="C453" s="6"/>
      <c r="D453" s="6"/>
      <c r="E453" s="6"/>
      <c r="F453" s="6"/>
      <c r="G453" s="6"/>
      <c r="H453" s="6"/>
      <c r="I453" s="267"/>
    </row>
    <row r="454" spans="1:9" customFormat="1" ht="18.75" customHeight="1" x14ac:dyDescent="0.25">
      <c r="A454" s="14"/>
      <c r="B454" s="11" t="s">
        <v>243</v>
      </c>
      <c r="C454" s="11"/>
      <c r="D454" s="11"/>
      <c r="E454" s="11"/>
      <c r="F454" s="11"/>
      <c r="G454" s="12" t="s">
        <v>322</v>
      </c>
      <c r="H454" s="35">
        <f>Process!H372</f>
        <v>22</v>
      </c>
      <c r="I454" s="128" t="s">
        <v>19</v>
      </c>
    </row>
    <row r="455" spans="1:9" customFormat="1" ht="18.75" customHeight="1" x14ac:dyDescent="0.25">
      <c r="A455" s="14"/>
      <c r="B455" s="11" t="s">
        <v>244</v>
      </c>
      <c r="C455" s="11"/>
      <c r="D455" s="11"/>
      <c r="E455" s="11"/>
      <c r="F455" s="11"/>
      <c r="G455" s="12" t="s">
        <v>245</v>
      </c>
      <c r="H455" s="34">
        <f>Process!H373</f>
        <v>380.13271108436498</v>
      </c>
      <c r="I455" s="128" t="s">
        <v>33</v>
      </c>
    </row>
    <row r="456" spans="1:9" customFormat="1" ht="18.75" customHeight="1" x14ac:dyDescent="0.25">
      <c r="A456" s="14"/>
      <c r="B456" s="11" t="s">
        <v>246</v>
      </c>
      <c r="C456" s="11"/>
      <c r="D456" s="11"/>
      <c r="E456" s="11"/>
      <c r="F456" s="11"/>
      <c r="G456" s="12" t="s">
        <v>383</v>
      </c>
      <c r="H456" s="35">
        <f>Process!H374</f>
        <v>13</v>
      </c>
      <c r="I456" s="128" t="s">
        <v>19</v>
      </c>
    </row>
    <row r="457" spans="1:9" customFormat="1" ht="18.75" customHeight="1" x14ac:dyDescent="0.25">
      <c r="A457" s="14"/>
      <c r="B457" s="11" t="s">
        <v>376</v>
      </c>
      <c r="C457" s="11"/>
      <c r="D457" s="11"/>
      <c r="E457" s="11"/>
      <c r="F457" s="11"/>
      <c r="G457" s="12" t="s">
        <v>94</v>
      </c>
      <c r="H457" s="35">
        <f>Process!H375</f>
        <v>2</v>
      </c>
      <c r="I457" s="128"/>
    </row>
    <row r="458" spans="1:9" customFormat="1" ht="18.75" customHeight="1" x14ac:dyDescent="0.25">
      <c r="A458" s="14"/>
      <c r="B458" s="11" t="s">
        <v>247</v>
      </c>
      <c r="C458" s="11"/>
      <c r="D458" s="11"/>
      <c r="E458" s="11"/>
      <c r="F458" s="11"/>
      <c r="G458" s="12" t="s">
        <v>248</v>
      </c>
      <c r="H458" s="34">
        <f>Process!H376</f>
        <v>265.46457922833753</v>
      </c>
      <c r="I458" s="128" t="s">
        <v>33</v>
      </c>
    </row>
    <row r="459" spans="1:9" customFormat="1" ht="18.75" customHeight="1" x14ac:dyDescent="0.25">
      <c r="A459" s="14"/>
      <c r="B459" s="11"/>
      <c r="C459" s="11"/>
      <c r="D459" s="11"/>
      <c r="E459" s="11"/>
      <c r="F459" s="11"/>
      <c r="G459" s="12"/>
      <c r="H459" s="19"/>
      <c r="I459" s="128"/>
    </row>
    <row r="460" spans="1:9" customFormat="1" ht="18.75" customHeight="1" x14ac:dyDescent="0.25">
      <c r="A460" s="14"/>
      <c r="B460" s="11" t="s">
        <v>249</v>
      </c>
      <c r="C460" s="11"/>
      <c r="D460" s="11"/>
      <c r="E460" s="11"/>
      <c r="F460" s="11"/>
      <c r="G460" s="12" t="s">
        <v>227</v>
      </c>
      <c r="H460" s="34">
        <f>Process!H378</f>
        <v>656.05930657833778</v>
      </c>
      <c r="I460" s="128" t="s">
        <v>33</v>
      </c>
    </row>
    <row r="461" spans="1:9" customFormat="1" ht="18.75" customHeight="1" x14ac:dyDescent="0.25">
      <c r="B461" s="11" t="s">
        <v>250</v>
      </c>
      <c r="C461" s="11"/>
      <c r="D461" s="11"/>
      <c r="E461" s="11"/>
      <c r="F461" s="11"/>
      <c r="G461" s="12" t="s">
        <v>251</v>
      </c>
      <c r="H461" s="34">
        <f>Process!H379</f>
        <v>1.0275220099732838</v>
      </c>
      <c r="I461" s="128" t="s">
        <v>252</v>
      </c>
    </row>
    <row r="462" spans="1:9" customFormat="1" ht="18.75" customHeight="1" x14ac:dyDescent="0.25">
      <c r="B462" s="11" t="s">
        <v>253</v>
      </c>
      <c r="C462" s="11"/>
      <c r="D462" s="11"/>
      <c r="E462" s="11"/>
      <c r="F462" s="11"/>
      <c r="G462" s="12" t="s">
        <v>254</v>
      </c>
      <c r="H462" s="34">
        <f>Process!H380</f>
        <v>4.0652897510499812</v>
      </c>
      <c r="I462" s="128" t="s">
        <v>252</v>
      </c>
    </row>
    <row r="463" spans="1:9" customFormat="1" ht="18.75" customHeight="1" x14ac:dyDescent="0.25">
      <c r="B463" s="11" t="s">
        <v>255</v>
      </c>
      <c r="C463" s="11"/>
      <c r="D463" s="11"/>
      <c r="E463" s="11"/>
      <c r="F463" s="11"/>
      <c r="G463" s="12" t="s">
        <v>256</v>
      </c>
      <c r="H463" s="34">
        <f>Process!H381</f>
        <v>5.092811761023265</v>
      </c>
      <c r="I463" s="128" t="s">
        <v>252</v>
      </c>
    </row>
    <row r="464" spans="1:9" customFormat="1" ht="18.75" customHeight="1" x14ac:dyDescent="0.25"/>
    <row r="465" spans="2:9" customFormat="1" ht="18.75" customHeight="1" x14ac:dyDescent="0.25">
      <c r="B465" s="11" t="s">
        <v>408</v>
      </c>
      <c r="G465" s="207">
        <f>ROUNDUP(IF(G97&lt;G136,IF(H461&lt;1,G97+H461,G97+H461/2),IF(H461&lt;1,G97,G97+0.5*H461)),0)</f>
        <v>4</v>
      </c>
      <c r="H465" s="208" t="str">
        <f>"D     "&amp;H454</f>
        <v>D     22</v>
      </c>
    </row>
    <row r="466" spans="2:9" customFormat="1" ht="18.75" customHeight="1" x14ac:dyDescent="0.25">
      <c r="B466" s="11" t="s">
        <v>409</v>
      </c>
      <c r="G466" s="207">
        <f>ROUNDUP(IF(G136&lt;G97,IF(H461&lt;1,G136+H461,G136+H461/2),IF(H461&lt;1,G136,G136+0.5*H461)),0)</f>
        <v>3</v>
      </c>
      <c r="H466" s="208" t="str">
        <f>"D     "&amp;H454</f>
        <v>D     22</v>
      </c>
    </row>
    <row r="467" spans="2:9" customFormat="1" ht="18.75" customHeight="1" x14ac:dyDescent="0.25"/>
    <row r="468" spans="2:9" customFormat="1" ht="18.75" customHeight="1" x14ac:dyDescent="0.25">
      <c r="B468" s="11" t="s">
        <v>477</v>
      </c>
      <c r="F468" s="128" t="s">
        <v>478</v>
      </c>
      <c r="G468" s="12"/>
      <c r="H468" s="12"/>
    </row>
    <row r="469" spans="2:9" customFormat="1" ht="18.75" customHeight="1" x14ac:dyDescent="0.25">
      <c r="B469" s="204" t="s">
        <v>363</v>
      </c>
      <c r="C469" s="12" t="s">
        <v>356</v>
      </c>
      <c r="D469" s="34">
        <f>Process!D387</f>
        <v>4</v>
      </c>
      <c r="E469" s="205" t="s">
        <v>52</v>
      </c>
      <c r="F469" s="204" t="s">
        <v>363</v>
      </c>
      <c r="G469" s="12" t="s">
        <v>356</v>
      </c>
      <c r="H469" s="34">
        <f>Process!H387</f>
        <v>3</v>
      </c>
      <c r="I469" s="128" t="s">
        <v>52</v>
      </c>
    </row>
    <row r="470" spans="2:9" customFormat="1" ht="18.75" customHeight="1" x14ac:dyDescent="0.25">
      <c r="B470" s="204" t="s">
        <v>364</v>
      </c>
      <c r="C470" s="12" t="s">
        <v>357</v>
      </c>
      <c r="D470" s="34">
        <f>Process!D388</f>
        <v>0</v>
      </c>
      <c r="E470" s="205" t="s">
        <v>52</v>
      </c>
      <c r="F470" s="204" t="s">
        <v>364</v>
      </c>
      <c r="G470" s="12" t="s">
        <v>357</v>
      </c>
      <c r="H470" s="34">
        <f>Process!H388</f>
        <v>0</v>
      </c>
      <c r="I470" s="128" t="s">
        <v>52</v>
      </c>
    </row>
    <row r="471" spans="2:9" customFormat="1" ht="18.75" customHeight="1" x14ac:dyDescent="0.25">
      <c r="B471" s="204" t="s">
        <v>365</v>
      </c>
      <c r="C471" s="12" t="s">
        <v>358</v>
      </c>
      <c r="D471" s="34">
        <f>Process!D389</f>
        <v>0</v>
      </c>
      <c r="E471" s="205" t="s">
        <v>52</v>
      </c>
      <c r="F471" s="204" t="s">
        <v>365</v>
      </c>
      <c r="G471" s="12" t="s">
        <v>358</v>
      </c>
      <c r="H471" s="34">
        <f>Process!H389</f>
        <v>0</v>
      </c>
      <c r="I471" s="128" t="s">
        <v>52</v>
      </c>
    </row>
    <row r="472" spans="2:9" customFormat="1" ht="18.75" customHeight="1" x14ac:dyDescent="0.25"/>
    <row r="473" spans="2:9" customFormat="1" ht="18.75" customHeight="1" x14ac:dyDescent="0.25"/>
    <row r="474" spans="2:9" customFormat="1" ht="18.75" customHeight="1" x14ac:dyDescent="0.25"/>
    <row r="475" spans="2:9" customFormat="1" ht="18.75" customHeight="1" x14ac:dyDescent="0.25"/>
    <row r="476" spans="2:9" customFormat="1" ht="18.75" customHeight="1" x14ac:dyDescent="0.25"/>
    <row r="477" spans="2:9" customFormat="1" ht="18.75" customHeight="1" x14ac:dyDescent="0.25"/>
    <row r="478" spans="2:9" customFormat="1" ht="18.75" customHeight="1" x14ac:dyDescent="0.25"/>
    <row r="479" spans="2:9" customFormat="1" ht="18.75" customHeight="1" x14ac:dyDescent="0.25"/>
    <row r="480" spans="2:9" customFormat="1" ht="18.75" customHeight="1" x14ac:dyDescent="0.25"/>
    <row r="481" spans="1:9" customFormat="1" ht="18.75" customHeight="1" x14ac:dyDescent="0.25"/>
    <row r="482" spans="1:9" customFormat="1" ht="18.75" customHeight="1" x14ac:dyDescent="0.25"/>
    <row r="483" spans="1:9" customFormat="1" ht="18.75" customHeight="1" x14ac:dyDescent="0.25"/>
    <row r="484" spans="1:9" customFormat="1" ht="18.75" customHeight="1" x14ac:dyDescent="0.25"/>
    <row r="485" spans="1:9" customFormat="1" ht="18.75" customHeight="1" x14ac:dyDescent="0.25"/>
    <row r="486" spans="1:9" customFormat="1" ht="18.75" customHeight="1" x14ac:dyDescent="0.25"/>
    <row r="487" spans="1:9" customFormat="1" ht="18.75" customHeight="1" x14ac:dyDescent="0.25"/>
    <row r="488" spans="1:9" customFormat="1" ht="18.75" customHeight="1" x14ac:dyDescent="0.25"/>
    <row r="489" spans="1:9" customFormat="1" ht="18.75" customHeight="1" x14ac:dyDescent="0.25"/>
    <row r="490" spans="1:9" customFormat="1" ht="18.75" customHeight="1" x14ac:dyDescent="0.25"/>
    <row r="491" spans="1:9" customFormat="1" ht="18.75" customHeight="1" x14ac:dyDescent="0.25"/>
    <row r="492" spans="1:9" customFormat="1" ht="18.75" customHeight="1" x14ac:dyDescent="0.25"/>
    <row r="493" spans="1:9" customFormat="1" ht="18.75" customHeight="1" x14ac:dyDescent="0.25">
      <c r="A493" s="153" t="s">
        <v>258</v>
      </c>
      <c r="B493" s="6" t="s">
        <v>312</v>
      </c>
      <c r="C493" s="6"/>
      <c r="D493" s="6"/>
      <c r="E493" s="6"/>
      <c r="F493" s="6"/>
      <c r="G493" s="6"/>
      <c r="H493" s="6"/>
      <c r="I493" s="267"/>
    </row>
    <row r="494" spans="1:9" customFormat="1" ht="18.75" customHeight="1" x14ac:dyDescent="0.25">
      <c r="A494" s="14"/>
      <c r="B494" s="11" t="s">
        <v>243</v>
      </c>
      <c r="C494" s="11"/>
      <c r="D494" s="11"/>
      <c r="E494" s="11"/>
      <c r="F494" s="11"/>
      <c r="G494" s="12" t="s">
        <v>322</v>
      </c>
      <c r="H494" s="35">
        <f>Process!H404</f>
        <v>22</v>
      </c>
      <c r="I494" s="128" t="s">
        <v>19</v>
      </c>
    </row>
    <row r="495" spans="1:9" customFormat="1" ht="18.75" customHeight="1" x14ac:dyDescent="0.25">
      <c r="A495" s="14"/>
      <c r="B495" s="11" t="s">
        <v>244</v>
      </c>
      <c r="C495" s="11"/>
      <c r="D495" s="11"/>
      <c r="E495" s="11"/>
      <c r="F495" s="11"/>
      <c r="G495" s="12" t="s">
        <v>245</v>
      </c>
      <c r="H495" s="34">
        <f>Process!H405</f>
        <v>380.13271108436498</v>
      </c>
      <c r="I495" s="128" t="s">
        <v>33</v>
      </c>
    </row>
    <row r="496" spans="1:9" customFormat="1" ht="18.75" customHeight="1" x14ac:dyDescent="0.25">
      <c r="A496" s="14"/>
      <c r="B496" s="11" t="s">
        <v>246</v>
      </c>
      <c r="C496" s="11"/>
      <c r="D496" s="11"/>
      <c r="E496" s="11"/>
      <c r="F496" s="11"/>
      <c r="G496" s="12" t="s">
        <v>383</v>
      </c>
      <c r="H496" s="35">
        <f>Process!H406</f>
        <v>13</v>
      </c>
      <c r="I496" s="128" t="s">
        <v>19</v>
      </c>
    </row>
    <row r="497" spans="1:9" customFormat="1" ht="18.75" customHeight="1" x14ac:dyDescent="0.25">
      <c r="A497" s="14"/>
      <c r="B497" s="11" t="s">
        <v>376</v>
      </c>
      <c r="C497" s="11"/>
      <c r="D497" s="11"/>
      <c r="E497" s="11"/>
      <c r="F497" s="11"/>
      <c r="G497" s="12" t="s">
        <v>94</v>
      </c>
      <c r="H497" s="35">
        <f>Process!H407</f>
        <v>2</v>
      </c>
      <c r="I497" s="128"/>
    </row>
    <row r="498" spans="1:9" customFormat="1" ht="18.75" customHeight="1" x14ac:dyDescent="0.25">
      <c r="A498" s="14"/>
      <c r="B498" s="11" t="s">
        <v>247</v>
      </c>
      <c r="C498" s="11"/>
      <c r="D498" s="11"/>
      <c r="E498" s="11"/>
      <c r="F498" s="11"/>
      <c r="G498" s="12" t="s">
        <v>248</v>
      </c>
      <c r="H498" s="34">
        <f>Process!H408</f>
        <v>265.46457922833753</v>
      </c>
      <c r="I498" s="128" t="s">
        <v>33</v>
      </c>
    </row>
    <row r="499" spans="1:9" customFormat="1" ht="18.75" customHeight="1" x14ac:dyDescent="0.25">
      <c r="A499" s="14"/>
      <c r="B499" s="11"/>
      <c r="C499" s="11"/>
      <c r="D499" s="11"/>
      <c r="E499" s="11"/>
      <c r="F499" s="11"/>
      <c r="G499" s="12"/>
      <c r="H499" s="19"/>
      <c r="I499" s="128"/>
    </row>
    <row r="500" spans="1:9" customFormat="1" ht="18.75" customHeight="1" x14ac:dyDescent="0.25">
      <c r="A500" s="14"/>
      <c r="B500" s="11" t="s">
        <v>249</v>
      </c>
      <c r="C500" s="11"/>
      <c r="D500" s="11"/>
      <c r="E500" s="11"/>
      <c r="F500" s="11"/>
      <c r="G500" s="12" t="s">
        <v>227</v>
      </c>
      <c r="H500" s="34">
        <f>Process!H410</f>
        <v>656.05930657833778</v>
      </c>
      <c r="I500" s="128" t="s">
        <v>33</v>
      </c>
    </row>
    <row r="501" spans="1:9" customFormat="1" ht="18.75" customHeight="1" x14ac:dyDescent="0.25">
      <c r="A501" s="14"/>
      <c r="B501" s="11" t="s">
        <v>250</v>
      </c>
      <c r="C501" s="11"/>
      <c r="D501" s="11"/>
      <c r="E501" s="11"/>
      <c r="F501" s="11"/>
      <c r="G501" s="12" t="s">
        <v>251</v>
      </c>
      <c r="H501" s="34">
        <f>Process!H411</f>
        <v>1.0275220099732838</v>
      </c>
      <c r="I501" s="128" t="s">
        <v>252</v>
      </c>
    </row>
    <row r="502" spans="1:9" customFormat="1" ht="18.75" customHeight="1" x14ac:dyDescent="0.25">
      <c r="A502" s="14"/>
      <c r="B502" s="11" t="s">
        <v>253</v>
      </c>
      <c r="C502" s="11"/>
      <c r="D502" s="11"/>
      <c r="E502" s="11"/>
      <c r="F502" s="11"/>
      <c r="G502" s="12" t="s">
        <v>254</v>
      </c>
      <c r="H502" s="34">
        <f>Process!H412</f>
        <v>4.0652897510499812</v>
      </c>
      <c r="I502" s="128" t="s">
        <v>252</v>
      </c>
    </row>
    <row r="503" spans="1:9" customFormat="1" ht="18.75" customHeight="1" x14ac:dyDescent="0.25">
      <c r="A503" s="14"/>
      <c r="B503" s="11" t="s">
        <v>255</v>
      </c>
      <c r="C503" s="11"/>
      <c r="D503" s="11"/>
      <c r="E503" s="11"/>
      <c r="F503" s="11"/>
      <c r="G503" s="12" t="s">
        <v>256</v>
      </c>
      <c r="H503" s="34">
        <f>Process!H413</f>
        <v>5.092811761023265</v>
      </c>
      <c r="I503" s="128" t="s">
        <v>252</v>
      </c>
    </row>
    <row r="504" spans="1:9" customFormat="1" ht="18.75" customHeight="1" x14ac:dyDescent="0.25"/>
    <row r="505" spans="1:9" customFormat="1" ht="18.75" customHeight="1" x14ac:dyDescent="0.25">
      <c r="B505" s="11" t="s">
        <v>410</v>
      </c>
      <c r="G505" s="210">
        <f>ROUNDUP(IF(G178&lt;G218,IF(H461&lt;1,G178+H461,G178+H461/2),IF(H461&lt;1,G178,G178+0.5*H461)),0)</f>
        <v>3</v>
      </c>
      <c r="H505" s="209" t="str">
        <f>"D     "&amp;H494</f>
        <v>D     22</v>
      </c>
    </row>
    <row r="506" spans="1:9" customFormat="1" ht="18.75" customHeight="1" x14ac:dyDescent="0.25">
      <c r="B506" s="11" t="s">
        <v>411</v>
      </c>
      <c r="G506" s="210">
        <f>ROUNDUP(IF(G218&lt;G178,IF(H501&lt;1,G218+H501,G218+H501/2),IF(H501&lt;1,G218,G218+0.5*H501)),0)</f>
        <v>4</v>
      </c>
      <c r="H506" s="209" t="str">
        <f>"D     "&amp;H494</f>
        <v>D     22</v>
      </c>
    </row>
    <row r="507" spans="1:9" customFormat="1" ht="18.75" customHeight="1" x14ac:dyDescent="0.25"/>
    <row r="508" spans="1:9" customFormat="1" ht="18.75" customHeight="1" x14ac:dyDescent="0.25">
      <c r="B508" s="11" t="s">
        <v>476</v>
      </c>
      <c r="F508" s="128" t="s">
        <v>479</v>
      </c>
      <c r="G508" s="12"/>
      <c r="H508" s="12"/>
    </row>
    <row r="509" spans="1:9" customFormat="1" ht="18.75" customHeight="1" x14ac:dyDescent="0.25">
      <c r="B509" s="204" t="s">
        <v>363</v>
      </c>
      <c r="C509" s="12" t="s">
        <v>356</v>
      </c>
      <c r="D509" s="34">
        <f>Process!D419</f>
        <v>3</v>
      </c>
      <c r="E509" s="205" t="s">
        <v>52</v>
      </c>
      <c r="F509" s="204" t="s">
        <v>363</v>
      </c>
      <c r="G509" s="12" t="s">
        <v>359</v>
      </c>
      <c r="H509" s="34">
        <f>Process!H419</f>
        <v>4</v>
      </c>
      <c r="I509" s="128" t="s">
        <v>52</v>
      </c>
    </row>
    <row r="510" spans="1:9" customFormat="1" ht="18.75" customHeight="1" x14ac:dyDescent="0.25">
      <c r="B510" s="204" t="s">
        <v>364</v>
      </c>
      <c r="C510" s="12" t="s">
        <v>357</v>
      </c>
      <c r="D510" s="34">
        <f>Process!D420</f>
        <v>0</v>
      </c>
      <c r="E510" s="205" t="s">
        <v>52</v>
      </c>
      <c r="F510" s="204" t="s">
        <v>364</v>
      </c>
      <c r="G510" s="12" t="s">
        <v>360</v>
      </c>
      <c r="H510" s="34">
        <f>Process!H420</f>
        <v>0</v>
      </c>
      <c r="I510" s="128" t="s">
        <v>52</v>
      </c>
    </row>
    <row r="511" spans="1:9" customFormat="1" ht="18.75" customHeight="1" x14ac:dyDescent="0.25">
      <c r="B511" s="204" t="s">
        <v>365</v>
      </c>
      <c r="C511" s="12" t="s">
        <v>358</v>
      </c>
      <c r="D511" s="34">
        <f>Process!D421</f>
        <v>0</v>
      </c>
      <c r="E511" s="205" t="s">
        <v>52</v>
      </c>
      <c r="F511" s="204" t="s">
        <v>365</v>
      </c>
      <c r="G511" s="12" t="s">
        <v>361</v>
      </c>
      <c r="H511" s="34">
        <f>Process!H421</f>
        <v>0</v>
      </c>
      <c r="I511" s="128" t="s">
        <v>52</v>
      </c>
    </row>
    <row r="512" spans="1:9" customFormat="1" ht="18.75" customHeight="1" x14ac:dyDescent="0.25"/>
    <row r="513" customFormat="1" ht="18.75" customHeight="1" x14ac:dyDescent="0.25"/>
    <row r="514" customFormat="1" ht="18.75" customHeight="1" x14ac:dyDescent="0.25"/>
    <row r="515" customFormat="1" ht="18.75" customHeight="1" x14ac:dyDescent="0.25"/>
    <row r="516" customFormat="1" ht="18.75" customHeight="1" x14ac:dyDescent="0.25"/>
    <row r="517" customFormat="1" ht="18.75" customHeight="1" x14ac:dyDescent="0.25"/>
    <row r="518" customFormat="1" ht="18.75" customHeight="1" x14ac:dyDescent="0.25"/>
    <row r="519" customFormat="1" ht="18.75" customHeight="1" x14ac:dyDescent="0.25"/>
    <row r="520" customFormat="1" ht="18.75" customHeight="1" x14ac:dyDescent="0.25"/>
    <row r="521" customFormat="1" ht="18.75" customHeight="1" x14ac:dyDescent="0.25"/>
    <row r="522" customFormat="1" ht="18.75" customHeight="1" x14ac:dyDescent="0.25"/>
    <row r="523" customFormat="1" ht="18.75" customHeight="1" x14ac:dyDescent="0.25"/>
    <row r="524" customFormat="1" ht="18.75" customHeight="1" x14ac:dyDescent="0.25"/>
    <row r="525" customFormat="1" ht="18.75" customHeight="1" x14ac:dyDescent="0.25"/>
    <row r="526" customFormat="1" ht="18.75" customHeight="1" x14ac:dyDescent="0.25"/>
    <row r="527" customFormat="1" ht="18.75" customHeight="1" x14ac:dyDescent="0.25"/>
    <row r="528" customFormat="1" ht="18.75" customHeight="1" x14ac:dyDescent="0.25"/>
    <row r="529" spans="1:9" customFormat="1" ht="18.75" customHeight="1" x14ac:dyDescent="0.25"/>
    <row r="530" spans="1:9" customFormat="1" ht="18.75" customHeight="1" x14ac:dyDescent="0.25"/>
    <row r="531" spans="1:9" customFormat="1" ht="18.75" customHeight="1" x14ac:dyDescent="0.25"/>
    <row r="532" spans="1:9" customFormat="1" ht="18.75" customHeight="1" x14ac:dyDescent="0.25">
      <c r="A532" s="273"/>
    </row>
    <row r="533" spans="1:9" customFormat="1" ht="18.75" customHeight="1" x14ac:dyDescent="0.25">
      <c r="C533" s="97"/>
      <c r="D533" s="97"/>
      <c r="E533" s="97"/>
      <c r="F533" s="112"/>
      <c r="G533" s="97"/>
      <c r="H533" s="97"/>
      <c r="I533" s="97"/>
    </row>
    <row r="534" spans="1:9" customFormat="1" ht="18.75" customHeight="1" x14ac:dyDescent="0.25">
      <c r="A534" s="153" t="s">
        <v>313</v>
      </c>
      <c r="B534" s="6" t="s">
        <v>428</v>
      </c>
      <c r="C534" s="6"/>
      <c r="D534" s="6"/>
      <c r="E534" s="6"/>
      <c r="F534" s="6"/>
      <c r="G534" s="6"/>
      <c r="H534" s="6"/>
      <c r="I534" s="267"/>
    </row>
    <row r="535" spans="1:9" customFormat="1" ht="18.75" customHeight="1" x14ac:dyDescent="0.25">
      <c r="A535" s="14"/>
      <c r="B535" s="11" t="s">
        <v>232</v>
      </c>
      <c r="C535" s="11"/>
      <c r="D535" s="11"/>
      <c r="E535" s="11"/>
      <c r="F535" s="11"/>
      <c r="G535" s="12" t="s">
        <v>233</v>
      </c>
      <c r="H535" s="34">
        <f>Process!H437</f>
        <v>1.3095503407341857</v>
      </c>
      <c r="I535" s="128" t="s">
        <v>475</v>
      </c>
    </row>
    <row r="536" spans="1:9" customFormat="1" ht="18.75" customHeight="1" x14ac:dyDescent="0.25">
      <c r="A536" s="14"/>
      <c r="B536" s="11" t="s">
        <v>187</v>
      </c>
      <c r="C536" s="11"/>
      <c r="D536" s="11"/>
      <c r="E536" s="11"/>
      <c r="F536" s="35">
        <f>Process!F438</f>
        <v>2</v>
      </c>
      <c r="G536" s="67" t="s">
        <v>391</v>
      </c>
      <c r="H536" s="35">
        <f>Process!H438</f>
        <v>12</v>
      </c>
      <c r="I536" s="128"/>
    </row>
    <row r="537" spans="1:9" customFormat="1" ht="18.75" customHeight="1" x14ac:dyDescent="0.25">
      <c r="A537" s="14"/>
      <c r="B537" s="11" t="s">
        <v>234</v>
      </c>
      <c r="C537" s="11"/>
      <c r="D537" s="11"/>
      <c r="E537" s="11"/>
      <c r="F537" s="11"/>
      <c r="G537" s="12" t="s">
        <v>459</v>
      </c>
      <c r="H537" s="34">
        <f>Process!H439</f>
        <v>226.1946710584651</v>
      </c>
      <c r="I537" s="128" t="s">
        <v>33</v>
      </c>
    </row>
    <row r="538" spans="1:9" customFormat="1" ht="18.75" customHeight="1" x14ac:dyDescent="0.25">
      <c r="A538" s="14"/>
      <c r="B538" s="11" t="s">
        <v>235</v>
      </c>
      <c r="C538" s="11"/>
      <c r="D538" s="11"/>
      <c r="E538" s="11"/>
      <c r="F538" s="11"/>
      <c r="G538" s="12" t="s">
        <v>236</v>
      </c>
      <c r="H538" s="35">
        <f>Process!H440</f>
        <v>172.72697659843411</v>
      </c>
      <c r="I538" s="128" t="s">
        <v>19</v>
      </c>
    </row>
    <row r="539" spans="1:9" customFormat="1" ht="18.75" customHeight="1" x14ac:dyDescent="0.25">
      <c r="A539" s="272"/>
      <c r="B539" s="11" t="s">
        <v>237</v>
      </c>
      <c r="C539" s="11"/>
      <c r="D539" s="11"/>
      <c r="E539" s="11"/>
      <c r="F539" s="11"/>
      <c r="G539" s="12" t="str">
        <f>IF((IF(C364="TERPENUHI",1,0)+IF(C365="TERPENUHI",1,0)+IF(C366="TERPENUHI",1,0))=1,"smax = d/2 =",IF(IF(C367="TERPENUHI",1,0)+IF(C369="TERPENUHI",1,0)=1,"smax = d/4 =","EROR"))</f>
        <v>smax = d/2 =</v>
      </c>
      <c r="H539" s="35">
        <f>Process!H441</f>
        <v>224</v>
      </c>
      <c r="I539" s="128" t="s">
        <v>19</v>
      </c>
    </row>
    <row r="540" spans="1:9" customFormat="1" ht="18.75" customHeight="1" x14ac:dyDescent="0.25">
      <c r="A540" s="272"/>
      <c r="B540" s="11" t="s">
        <v>237</v>
      </c>
      <c r="C540" s="11"/>
      <c r="D540" s="11"/>
      <c r="E540" s="11"/>
      <c r="F540" s="11"/>
      <c r="G540" s="12" t="s">
        <v>238</v>
      </c>
      <c r="H540" s="35">
        <f>Process!H442</f>
        <v>600</v>
      </c>
      <c r="I540" s="128" t="s">
        <v>19</v>
      </c>
    </row>
    <row r="541" spans="1:9" customFormat="1" ht="18.75" customHeight="1" x14ac:dyDescent="0.25">
      <c r="A541" s="14"/>
      <c r="B541" s="11" t="s">
        <v>239</v>
      </c>
      <c r="C541" s="11"/>
      <c r="D541" s="11"/>
      <c r="E541" s="11"/>
      <c r="F541" s="11"/>
      <c r="G541" s="12" t="s">
        <v>240</v>
      </c>
      <c r="H541" s="35">
        <f>Process!H443</f>
        <v>154</v>
      </c>
      <c r="I541" s="128" t="s">
        <v>19</v>
      </c>
    </row>
    <row r="542" spans="1:9" customFormat="1" ht="18.75" customHeight="1" x14ac:dyDescent="0.25">
      <c r="A542" s="272"/>
      <c r="B542" s="11" t="s">
        <v>241</v>
      </c>
      <c r="C542" s="11"/>
      <c r="D542" s="11"/>
      <c r="E542" s="11"/>
      <c r="F542" s="11"/>
      <c r="G542" s="12" t="s">
        <v>208</v>
      </c>
      <c r="H542" s="35">
        <f>Process!H444</f>
        <v>150</v>
      </c>
      <c r="I542" s="128" t="s">
        <v>19</v>
      </c>
    </row>
    <row r="543" spans="1:9" customFormat="1" ht="18.75" customHeight="1" x14ac:dyDescent="0.25">
      <c r="A543" s="14"/>
      <c r="B543" s="11" t="s">
        <v>242</v>
      </c>
      <c r="C543" s="11"/>
      <c r="D543" s="11"/>
      <c r="F543" s="150">
        <f>F536</f>
        <v>2</v>
      </c>
      <c r="G543" s="151" t="str">
        <f>"D"&amp;H536</f>
        <v>D12</v>
      </c>
      <c r="H543" s="170">
        <f>H542</f>
        <v>150</v>
      </c>
      <c r="I543" s="128"/>
    </row>
    <row r="544" spans="1:9" customFormat="1" ht="18.600000000000001" customHeight="1" x14ac:dyDescent="0.25">
      <c r="A544" s="14"/>
      <c r="B544" s="11"/>
      <c r="C544" s="11"/>
      <c r="D544" s="11"/>
      <c r="E544" s="11"/>
      <c r="F544" s="11"/>
      <c r="H544" s="11"/>
      <c r="I544" s="128"/>
    </row>
    <row r="545" spans="1:9" customFormat="1" ht="18.75" customHeight="1" x14ac:dyDescent="0.25">
      <c r="A545" s="153" t="s">
        <v>313</v>
      </c>
      <c r="B545" s="6" t="s">
        <v>428</v>
      </c>
      <c r="C545" s="6"/>
      <c r="D545" s="6"/>
      <c r="E545" s="6"/>
      <c r="F545" s="6"/>
      <c r="G545" s="6"/>
      <c r="H545" s="6"/>
      <c r="I545" s="267"/>
    </row>
    <row r="546" spans="1:9" customFormat="1" ht="18.75" customHeight="1" x14ac:dyDescent="0.25">
      <c r="A546" s="14"/>
      <c r="B546" s="11" t="s">
        <v>232</v>
      </c>
      <c r="C546" s="11"/>
      <c r="D546" s="11"/>
      <c r="E546" s="11"/>
      <c r="F546" s="11"/>
      <c r="G546" s="12" t="s">
        <v>233</v>
      </c>
      <c r="H546" s="34">
        <f>Process!H448</f>
        <v>1.3095503407341857</v>
      </c>
      <c r="I546" s="128" t="s">
        <v>475</v>
      </c>
    </row>
    <row r="547" spans="1:9" customFormat="1" ht="18.75" customHeight="1" x14ac:dyDescent="0.25">
      <c r="A547" s="14"/>
      <c r="B547" s="11" t="s">
        <v>187</v>
      </c>
      <c r="C547" s="11"/>
      <c r="D547" s="11"/>
      <c r="E547" s="11"/>
      <c r="F547" s="35">
        <f>Process!F449</f>
        <v>2</v>
      </c>
      <c r="G547" s="67" t="s">
        <v>391</v>
      </c>
      <c r="H547" s="35">
        <f>Process!H449</f>
        <v>12</v>
      </c>
      <c r="I547" s="270"/>
    </row>
    <row r="548" spans="1:9" customFormat="1" ht="18.75" customHeight="1" x14ac:dyDescent="0.25">
      <c r="A548" s="14"/>
      <c r="B548" s="11" t="s">
        <v>234</v>
      </c>
      <c r="C548" s="11"/>
      <c r="D548" s="11"/>
      <c r="E548" s="11"/>
      <c r="F548" s="11"/>
      <c r="G548" s="12" t="s">
        <v>459</v>
      </c>
      <c r="H548" s="34">
        <f>Process!H450</f>
        <v>226.1946710584651</v>
      </c>
      <c r="I548" s="270" t="s">
        <v>33</v>
      </c>
    </row>
    <row r="549" spans="1:9" customFormat="1" ht="18.75" customHeight="1" x14ac:dyDescent="0.25">
      <c r="A549" s="14"/>
      <c r="B549" s="11" t="s">
        <v>235</v>
      </c>
      <c r="C549" s="11"/>
      <c r="D549" s="11"/>
      <c r="E549" s="11"/>
      <c r="F549" s="11"/>
      <c r="G549" s="12" t="s">
        <v>236</v>
      </c>
      <c r="H549" s="35">
        <f>Process!H451</f>
        <v>172.72697659843411</v>
      </c>
      <c r="I549" s="270" t="s">
        <v>19</v>
      </c>
    </row>
    <row r="550" spans="1:9" customFormat="1" ht="18.75" customHeight="1" x14ac:dyDescent="0.25">
      <c r="A550" s="272"/>
      <c r="B550" s="11" t="s">
        <v>237</v>
      </c>
      <c r="C550" s="11"/>
      <c r="D550" s="11"/>
      <c r="E550" s="11"/>
      <c r="F550" s="11"/>
      <c r="G550" s="12" t="str">
        <f>IF((IF(C404="TERPENUHI",1,0)+IF(C405="TERPENUHI",1,0)+IF(C406="TERPENUHI",1,0))=1,"smax = d/2 =",IF(IF(C407="TERPENUHI",1,0)+IF(C409="TERPENUHI",1,0)=1,"smax = d/4 =","EROR"))</f>
        <v>smax = d/2 =</v>
      </c>
      <c r="H550" s="35">
        <f>Process!H452</f>
        <v>224</v>
      </c>
      <c r="I550" s="270" t="s">
        <v>19</v>
      </c>
    </row>
    <row r="551" spans="1:9" customFormat="1" ht="18.75" customHeight="1" x14ac:dyDescent="0.25">
      <c r="A551" s="272"/>
      <c r="B551" s="11" t="s">
        <v>237</v>
      </c>
      <c r="C551" s="11"/>
      <c r="D551" s="11"/>
      <c r="E551" s="11"/>
      <c r="F551" s="11"/>
      <c r="G551" s="12" t="s">
        <v>238</v>
      </c>
      <c r="H551" s="35">
        <f>Process!H453</f>
        <v>600</v>
      </c>
      <c r="I551" s="270" t="s">
        <v>19</v>
      </c>
    </row>
    <row r="552" spans="1:9" customFormat="1" ht="18.75" customHeight="1" x14ac:dyDescent="0.25">
      <c r="A552" s="14"/>
      <c r="B552" s="11" t="s">
        <v>239</v>
      </c>
      <c r="C552" s="11"/>
      <c r="D552" s="11"/>
      <c r="E552" s="11"/>
      <c r="F552" s="11"/>
      <c r="G552" s="12" t="s">
        <v>240</v>
      </c>
      <c r="H552" s="35">
        <f>Process!H454</f>
        <v>154</v>
      </c>
      <c r="I552" s="270" t="s">
        <v>19</v>
      </c>
    </row>
    <row r="553" spans="1:9" customFormat="1" ht="18.75" customHeight="1" x14ac:dyDescent="0.25">
      <c r="A553" s="272"/>
      <c r="B553" s="11" t="s">
        <v>241</v>
      </c>
      <c r="C553" s="11"/>
      <c r="D553" s="11"/>
      <c r="E553" s="11"/>
      <c r="F553" s="11"/>
      <c r="G553" s="12" t="s">
        <v>208</v>
      </c>
      <c r="H553" s="35">
        <f>Process!H455</f>
        <v>150</v>
      </c>
      <c r="I553" s="128" t="s">
        <v>19</v>
      </c>
    </row>
    <row r="554" spans="1:9" customFormat="1" ht="18.75" customHeight="1" x14ac:dyDescent="0.25">
      <c r="A554" s="14"/>
      <c r="B554" s="11" t="s">
        <v>242</v>
      </c>
      <c r="C554" s="11"/>
      <c r="D554" s="11"/>
      <c r="F554" s="150">
        <f>F547</f>
        <v>2</v>
      </c>
      <c r="G554" s="151" t="str">
        <f>"D"&amp;H547</f>
        <v>D12</v>
      </c>
      <c r="H554" s="170">
        <f>H553</f>
        <v>150</v>
      </c>
      <c r="I554" s="128"/>
    </row>
    <row r="555" spans="1:9" customFormat="1" ht="18.75" customHeight="1" x14ac:dyDescent="0.25">
      <c r="A555" s="14"/>
      <c r="I555" s="128"/>
    </row>
    <row r="556" spans="1:9" customFormat="1" ht="18.75" customHeight="1" x14ac:dyDescent="0.25">
      <c r="A556" s="14"/>
      <c r="I556" s="128"/>
    </row>
    <row r="557" spans="1:9" customFormat="1" ht="18.75" customHeight="1" x14ac:dyDescent="0.25">
      <c r="A557" s="14"/>
      <c r="I557" s="128"/>
    </row>
    <row r="558" spans="1:9" customFormat="1" ht="18.75" customHeight="1" x14ac:dyDescent="0.25">
      <c r="A558" s="14"/>
      <c r="I558" s="128"/>
    </row>
    <row r="559" spans="1:9" customFormat="1" ht="18.75" customHeight="1" x14ac:dyDescent="0.25">
      <c r="A559" s="14"/>
      <c r="I559" s="128"/>
    </row>
    <row r="560" spans="1:9" customFormat="1" ht="18.75" customHeight="1" x14ac:dyDescent="0.25">
      <c r="A560" s="14"/>
      <c r="I560" s="128"/>
    </row>
    <row r="561" spans="1:9" customFormat="1" ht="18.75" customHeight="1" x14ac:dyDescent="0.25">
      <c r="A561" s="14"/>
      <c r="I561" s="128"/>
    </row>
    <row r="562" spans="1:9" customFormat="1" ht="18.75" customHeight="1" x14ac:dyDescent="0.25">
      <c r="A562" s="14"/>
      <c r="I562" s="128"/>
    </row>
    <row r="563" spans="1:9" customFormat="1" ht="18.75" customHeight="1" x14ac:dyDescent="0.25">
      <c r="A563" s="14"/>
      <c r="I563" s="128"/>
    </row>
    <row r="564" spans="1:9" customFormat="1" ht="18.75" customHeight="1" x14ac:dyDescent="0.25">
      <c r="A564" s="14"/>
      <c r="I564" s="128"/>
    </row>
    <row r="565" spans="1:9" customFormat="1" ht="18.75" customHeight="1" x14ac:dyDescent="0.25">
      <c r="A565" s="14"/>
      <c r="I565" s="128"/>
    </row>
    <row r="566" spans="1:9" customFormat="1" ht="18.75" customHeight="1" x14ac:dyDescent="0.25">
      <c r="A566" s="14"/>
      <c r="I566" s="128"/>
    </row>
    <row r="567" spans="1:9" customFormat="1" ht="18.75" customHeight="1" x14ac:dyDescent="0.25">
      <c r="A567" s="14"/>
      <c r="I567" s="128"/>
    </row>
    <row r="568" spans="1:9" customFormat="1" ht="18.75" customHeight="1" x14ac:dyDescent="0.25">
      <c r="A568" s="14"/>
      <c r="I568" s="128"/>
    </row>
    <row r="569" spans="1:9" customFormat="1" ht="18.75" customHeight="1" x14ac:dyDescent="0.25">
      <c r="A569" s="14"/>
      <c r="I569" s="128"/>
    </row>
    <row r="570" spans="1:9" customFormat="1" ht="18.75" customHeight="1" x14ac:dyDescent="0.25">
      <c r="A570" s="14"/>
      <c r="I570" s="128"/>
    </row>
    <row r="571" spans="1:9" customFormat="1" ht="18.75" customHeight="1" x14ac:dyDescent="0.25">
      <c r="A571" s="14"/>
      <c r="I571" s="128"/>
    </row>
    <row r="572" spans="1:9" customFormat="1" ht="18.75" customHeight="1" x14ac:dyDescent="0.25">
      <c r="A572" s="14"/>
      <c r="I572" s="128"/>
    </row>
    <row r="573" spans="1:9" customFormat="1" ht="18.75" customHeight="1" x14ac:dyDescent="0.25">
      <c r="A573" s="14"/>
      <c r="I573" s="128"/>
    </row>
    <row r="574" spans="1:9" customFormat="1" ht="18.75" customHeight="1" x14ac:dyDescent="0.25">
      <c r="A574" s="14"/>
      <c r="I574" s="128"/>
    </row>
    <row r="575" spans="1:9" customFormat="1" ht="18.75" customHeight="1" x14ac:dyDescent="0.25">
      <c r="A575" s="14"/>
      <c r="I575" s="128"/>
    </row>
    <row r="576" spans="1:9" customFormat="1" ht="18.75" customHeight="1" x14ac:dyDescent="0.25">
      <c r="A576" s="14"/>
      <c r="I576" s="128"/>
    </row>
    <row r="577" spans="1:9" customFormat="1" ht="18.75" customHeight="1" x14ac:dyDescent="0.25">
      <c r="A577" s="14"/>
      <c r="I577" s="128"/>
    </row>
    <row r="578" spans="1:9" customFormat="1" ht="18.75" customHeight="1" x14ac:dyDescent="0.25">
      <c r="A578" s="14"/>
      <c r="I578" s="128"/>
    </row>
    <row r="579" spans="1:9" customFormat="1" ht="18.75" customHeight="1" x14ac:dyDescent="0.25">
      <c r="A579" s="14"/>
      <c r="I579" s="128"/>
    </row>
    <row r="580" spans="1:9" customFormat="1" ht="18.75" customHeight="1" x14ac:dyDescent="0.25">
      <c r="A580" s="14"/>
      <c r="I580" s="128"/>
    </row>
    <row r="581" spans="1:9" customFormat="1" ht="18.75" customHeight="1" x14ac:dyDescent="0.25">
      <c r="A581" s="14"/>
      <c r="I581" s="128"/>
    </row>
    <row r="582" spans="1:9" customFormat="1" ht="18.75" customHeight="1" x14ac:dyDescent="0.25">
      <c r="A582" s="14"/>
      <c r="I582" s="128"/>
    </row>
    <row r="583" spans="1:9" customFormat="1" ht="18.75" customHeight="1" x14ac:dyDescent="0.25">
      <c r="A583" s="14"/>
      <c r="I583" s="128"/>
    </row>
    <row r="584" spans="1:9" customFormat="1" ht="18.75" customHeight="1" x14ac:dyDescent="0.25">
      <c r="A584" s="77"/>
      <c r="B584" s="11"/>
      <c r="C584" s="11"/>
      <c r="D584" s="14"/>
      <c r="E584" s="12"/>
      <c r="F584" s="19"/>
      <c r="G584" s="12"/>
      <c r="H584" s="271"/>
      <c r="I584" s="271"/>
    </row>
  </sheetData>
  <mergeCells count="53">
    <mergeCell ref="B389:C390"/>
    <mergeCell ref="D389:H389"/>
    <mergeCell ref="B391:C392"/>
    <mergeCell ref="D391:H391"/>
    <mergeCell ref="B437:H437"/>
    <mergeCell ref="B402:B403"/>
    <mergeCell ref="C402:C403"/>
    <mergeCell ref="F402:G402"/>
    <mergeCell ref="D407:E407"/>
    <mergeCell ref="D408:E408"/>
    <mergeCell ref="D409:G409"/>
    <mergeCell ref="B383:C384"/>
    <mergeCell ref="D383:H383"/>
    <mergeCell ref="B385:C386"/>
    <mergeCell ref="D385:H385"/>
    <mergeCell ref="B387:C388"/>
    <mergeCell ref="D387:H387"/>
    <mergeCell ref="D365:E365"/>
    <mergeCell ref="D366:E366"/>
    <mergeCell ref="D367:E367"/>
    <mergeCell ref="D368:E368"/>
    <mergeCell ref="B381:C382"/>
    <mergeCell ref="D381:H381"/>
    <mergeCell ref="B362:B363"/>
    <mergeCell ref="C362:C363"/>
    <mergeCell ref="F362:G362"/>
    <mergeCell ref="D362:E363"/>
    <mergeCell ref="D364:E364"/>
    <mergeCell ref="B349:C350"/>
    <mergeCell ref="D349:H349"/>
    <mergeCell ref="B351:C352"/>
    <mergeCell ref="D351:H351"/>
    <mergeCell ref="B353:C354"/>
    <mergeCell ref="D353:H353"/>
    <mergeCell ref="B343:C344"/>
    <mergeCell ref="D343:H343"/>
    <mergeCell ref="B345:C346"/>
    <mergeCell ref="D345:H345"/>
    <mergeCell ref="B347:C348"/>
    <mergeCell ref="D347:H347"/>
    <mergeCell ref="H253:I253"/>
    <mergeCell ref="H297:I297"/>
    <mergeCell ref="F3:I3"/>
    <mergeCell ref="F4:I4"/>
    <mergeCell ref="A1:I1"/>
    <mergeCell ref="A3:C11"/>
    <mergeCell ref="F5:I5"/>
    <mergeCell ref="F11:I11"/>
    <mergeCell ref="D369:G369"/>
    <mergeCell ref="D402:E403"/>
    <mergeCell ref="D404:E404"/>
    <mergeCell ref="D405:E405"/>
    <mergeCell ref="D406:E406"/>
  </mergeCells>
  <dataValidations count="7">
    <dataValidation type="custom" operator="greaterThanOrEqual" allowBlank="1" showInputMessage="1" showErrorMessage="1" sqref="H43:H44 H46:H48 H50:H52 H55:H58 D91:F91 H93 G97 H95:H99 H122:H127 D130:F130 H132 H134:H137 G136 C103:E105 C142:E144 D172:F172 H174 H176:H179 G178 C184:E186 D212:F212 H214 H216:H219 C224:E226 F253:G253 H265:H268 H198 H249:H250 H293:H294" xr:uid="{19C15F00-BE71-4F85-BCE2-B631DBDB5329}">
      <formula1>C43:C52&gt;=0</formula1>
    </dataValidation>
    <dataValidation type="whole" operator="greaterThan" allowBlank="1" showInputMessage="1" showErrorMessage="1" sqref="H31:H36" xr:uid="{F186D38B-067B-4987-965B-4655FFA45FC2}">
      <formula1>0</formula1>
    </dataValidation>
    <dataValidation type="custom" operator="greaterThanOrEqual" allowBlank="1" showInputMessage="1" showErrorMessage="1" sqref="H60:H63 H82:H88 H291 H288:H289 H117:H118 H156:H157" xr:uid="{5CEC2454-4474-4872-99ED-40C29AF353A0}">
      <formula1>H60:H70&gt;=0</formula1>
    </dataValidation>
    <dataValidation type="custom" operator="greaterThanOrEqual" allowBlank="1" showInputMessage="1" showErrorMessage="1" sqref="H202:H209 H199 H162:H169 H246:H247 H238:H239 H243:H244 F243:F244 H280 H65:H66" xr:uid="{D56663AD-BD2D-47E9-AE6B-EDA0CE7BA01D}">
      <formula1>F65:F76&gt;=0</formula1>
    </dataValidation>
    <dataValidation type="custom" operator="greaterThanOrEqual" allowBlank="1" showInputMessage="1" showErrorMessage="1" sqref="F283 D283 H281" xr:uid="{AE051202-E418-41DA-8B86-5F58CB3F867E}">
      <formula1>D281:D293&gt;=0</formula1>
    </dataValidation>
    <dataValidation type="custom" operator="greaterThanOrEqual" allowBlank="1" showInputMessage="1" showErrorMessage="1" sqref="H70:H74 H76" xr:uid="{6C2AD9A2-4D75-4FE9-8033-8B3569E03F8B}">
      <formula1>H70:H83&gt;=0</formula1>
    </dataValidation>
    <dataValidation type="custom" operator="greaterThanOrEqual" allowBlank="1" showInputMessage="1" showErrorMessage="1" sqref="H67:H68" xr:uid="{0E72EE31-9755-4871-9E15-6916C9880C9B}">
      <formula1>H67:H81&gt;=0</formula1>
    </dataValidation>
  </dataValidations>
  <hyperlinks>
    <hyperlink ref="F11" r:id="rId1" xr:uid="{3723A84F-97FE-4710-B262-246969D1CFF5}"/>
  </hyperlinks>
  <pageMargins left="0.7" right="0.7" top="0.75" bottom="0.75" header="0.3" footer="0.3"/>
  <pageSetup paperSize="9" orientation="portrait" horizontalDpi="4294967293" r:id="rId2"/>
  <headerFooter>
    <oddHeader xml:space="preserve">&amp;L&amp;K05-010Versi 2.0.0
&amp;C&amp;K05-007Page &amp;P&amp;R&amp;K05-008Latest Version : August 2024
</oddHeader>
    <oddFooter xml:space="preserve">&amp;L&amp;K05-018Dapatkan program bantu spreadsheet ini hanya di https://www.inpetra.id/ </oddFooter>
  </headerFooter>
  <ignoredErrors>
    <ignoredError sqref="H31:H36" unlockedFormula="1"/>
    <ignoredError sqref="D346:H354 D384:H392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About</vt:lpstr>
      <vt:lpstr>Input</vt:lpstr>
      <vt:lpstr>Pic database</vt:lpstr>
      <vt:lpstr>Process</vt:lpstr>
      <vt:lpstr>Result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2024-09-03T03:55:16Z</cp:lastPrinted>
  <dcterms:created xsi:type="dcterms:W3CDTF">2021-05-03T03:25:11Z</dcterms:created>
  <dcterms:modified xsi:type="dcterms:W3CDTF">2024-09-07T02:37:47Z</dcterms:modified>
</cp:coreProperties>
</file>