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PETRA.ID\Lite\"/>
    </mc:Choice>
  </mc:AlternateContent>
  <xr:revisionPtr revIDLastSave="0" documentId="13_ncr:1_{B01621D0-5EF3-4861-8BBE-E02548FD948B}" xr6:coauthVersionLast="47" xr6:coauthVersionMax="47" xr10:uidLastSave="{00000000-0000-0000-0000-000000000000}"/>
  <bookViews>
    <workbookView xWindow="12710" yWindow="0" windowWidth="12980" windowHeight="13770" xr2:uid="{C220AB57-2576-4C63-BC9F-490C434FA2ED}"/>
  </bookViews>
  <sheets>
    <sheet name="Input + Proces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9" i="4" l="1"/>
  <c r="D276" i="4"/>
  <c r="H119" i="4" l="1"/>
  <c r="H287" i="4"/>
  <c r="H149" i="4"/>
  <c r="H120" i="4"/>
  <c r="H100" i="4"/>
  <c r="H53" i="4"/>
  <c r="G53" i="4"/>
  <c r="D53" i="4"/>
  <c r="C53" i="4"/>
  <c r="H49" i="4"/>
  <c r="H43" i="4"/>
  <c r="H42" i="4"/>
  <c r="H40" i="4"/>
  <c r="H39" i="4"/>
  <c r="H37" i="4"/>
  <c r="H6" i="4"/>
  <c r="H5" i="4"/>
  <c r="H283" i="4" s="1"/>
  <c r="F267" i="4"/>
  <c r="H271" i="4" l="1"/>
  <c r="F276" i="4" s="1"/>
  <c r="E276" i="4" s="1"/>
  <c r="H226" i="4"/>
  <c r="H140" i="4"/>
  <c r="H222" i="4"/>
  <c r="G219" i="4"/>
  <c r="E219" i="4"/>
  <c r="G217" i="4"/>
  <c r="E217" i="4"/>
  <c r="H182" i="4"/>
  <c r="F186" i="4"/>
  <c r="H175" i="4"/>
  <c r="H146" i="4"/>
  <c r="H148" i="4"/>
  <c r="H154" i="4" s="1"/>
  <c r="H138" i="4"/>
  <c r="H139" i="4"/>
  <c r="H133" i="4"/>
  <c r="H90" i="4"/>
  <c r="H98" i="4"/>
  <c r="E69" i="4"/>
  <c r="G69" i="4"/>
  <c r="D77" i="4"/>
  <c r="E68" i="4"/>
  <c r="G68" i="4"/>
  <c r="B77" i="4"/>
  <c r="H122" i="4"/>
  <c r="H210" i="4" s="1"/>
  <c r="H121" i="4"/>
  <c r="H209" i="4" s="1"/>
  <c r="F53" i="4"/>
  <c r="H58" i="4"/>
  <c r="H59" i="4"/>
  <c r="H63" i="4"/>
  <c r="H64" i="4"/>
  <c r="F110" i="4"/>
  <c r="H259" i="4"/>
  <c r="E53" i="4"/>
  <c r="H134" i="4" s="1"/>
  <c r="H95" i="4"/>
  <c r="H272" i="4" l="1"/>
  <c r="H276" i="4"/>
  <c r="H205" i="4"/>
  <c r="H195" i="4"/>
  <c r="H194" i="4"/>
  <c r="H181" i="4"/>
  <c r="H180" i="4"/>
  <c r="H164" i="4"/>
  <c r="H165" i="4"/>
  <c r="H198" i="4"/>
  <c r="H101" i="4"/>
  <c r="H99" i="4"/>
  <c r="H65" i="4"/>
  <c r="H60" i="4"/>
  <c r="H104" i="4"/>
  <c r="H223" i="4" l="1"/>
  <c r="H152" i="4" l="1"/>
  <c r="H106" i="4"/>
  <c r="H137" i="4"/>
  <c r="H285" i="4"/>
  <c r="H176" i="4" l="1"/>
  <c r="H125" i="4"/>
  <c r="H126" i="4"/>
  <c r="B76" i="4"/>
  <c r="B84" i="4" s="1"/>
  <c r="H228" i="4"/>
  <c r="D85" i="4"/>
  <c r="H77" i="4"/>
  <c r="H78" i="4"/>
  <c r="B85" i="4"/>
  <c r="H75" i="4"/>
  <c r="H76" i="4"/>
  <c r="H129" i="4"/>
  <c r="H168" i="4"/>
  <c r="D76" i="4"/>
  <c r="D84" i="4" s="1"/>
  <c r="H254" i="4"/>
  <c r="H105" i="4" l="1"/>
  <c r="E192" i="4"/>
  <c r="H250" i="4"/>
  <c r="E178" i="4"/>
  <c r="H249" i="4"/>
  <c r="H248" i="4"/>
  <c r="E174" i="4"/>
  <c r="H183" i="4"/>
  <c r="H242" i="4"/>
  <c r="H241" i="4"/>
  <c r="E118" i="4"/>
  <c r="E115" i="4"/>
  <c r="H213" i="4"/>
  <c r="E207" i="4"/>
  <c r="F289" i="4"/>
  <c r="E289" i="4"/>
  <c r="H289" i="4"/>
  <c r="H233" i="4"/>
  <c r="E132" i="4"/>
  <c r="E162" i="4"/>
  <c r="E145" i="4"/>
  <c r="H246" i="4"/>
  <c r="H141" i="4"/>
  <c r="E97" i="4"/>
  <c r="E94" i="4"/>
  <c r="H238" i="4"/>
  <c r="H153" i="4" l="1"/>
  <c r="D186" i="4"/>
  <c r="H232" i="4"/>
  <c r="H107" i="4"/>
  <c r="F158" i="4"/>
  <c r="H143" i="4"/>
  <c r="H255" i="4"/>
  <c r="H155" i="4" l="1"/>
  <c r="D110" i="4"/>
  <c r="H256" i="4"/>
  <c r="H188" i="4"/>
  <c r="H190" i="4" s="1"/>
  <c r="E186" i="4"/>
  <c r="H186" i="4"/>
  <c r="H261" i="4"/>
  <c r="H234" i="4"/>
  <c r="D158" i="4"/>
  <c r="H244" i="4"/>
  <c r="H260" i="4"/>
  <c r="E158" i="4" l="1"/>
  <c r="H158" i="4"/>
  <c r="H160" i="4"/>
  <c r="H264" i="4"/>
  <c r="H110" i="4"/>
  <c r="E110" i="4"/>
  <c r="H112" i="4"/>
  <c r="H116" i="4" l="1"/>
  <c r="H239" i="4"/>
  <c r="H245" i="4"/>
  <c r="C293" i="4"/>
  <c r="H293" i="4" l="1"/>
  <c r="F293" i="4"/>
  <c r="H251" i="4"/>
  <c r="D267" i="4" l="1"/>
  <c r="H267" i="4" s="1"/>
  <c r="C280" i="4"/>
  <c r="H280" i="4" l="1"/>
  <c r="F280" i="4"/>
  <c r="E267" i="4" l="1"/>
</calcChain>
</file>

<file path=xl/sharedStrings.xml><?xml version="1.0" encoding="utf-8"?>
<sst xmlns="http://schemas.openxmlformats.org/spreadsheetml/2006/main" count="530" uniqueCount="270">
  <si>
    <t>Tinggi struktur kolom,</t>
  </si>
  <si>
    <t>mm</t>
  </si>
  <si>
    <t xml:space="preserve">Nilai gaya beban aksial akibat kombinasi beban terfaktor, </t>
  </si>
  <si>
    <t>kN</t>
  </si>
  <si>
    <t>Momen pada bagian atas struktur,</t>
  </si>
  <si>
    <t>Momen pada bagian bawah struktur,</t>
  </si>
  <si>
    <t>Nilai momen sumbu X akibat kombinasi beban terfaktor,</t>
  </si>
  <si>
    <t>Nilai momen sumbu Y akibat kombinasi beban terfaktor,</t>
  </si>
  <si>
    <t>kN.m</t>
  </si>
  <si>
    <t>Profil :</t>
  </si>
  <si>
    <t>r =</t>
  </si>
  <si>
    <t>Mutu struktur baja,</t>
  </si>
  <si>
    <t>BJ 37</t>
  </si>
  <si>
    <t>Tegangan leleh struktur baja,</t>
  </si>
  <si>
    <t>Tegangan putus struktur baja,</t>
  </si>
  <si>
    <t>MPa</t>
  </si>
  <si>
    <t>Luas penampang profil baja,</t>
  </si>
  <si>
    <t>Momen Inersia</t>
  </si>
  <si>
    <t>Mod. Penampang Elastis</t>
  </si>
  <si>
    <t>Mod. Penampang Plastis</t>
  </si>
  <si>
    <t>Value</t>
  </si>
  <si>
    <t>Satuan</t>
  </si>
  <si>
    <t>Tinjauan analisa pada Sumbu X</t>
  </si>
  <si>
    <t>Nilai absolut momen terkecil,</t>
  </si>
  <si>
    <t>Nilai absolut momen terbesar,</t>
  </si>
  <si>
    <t>Nilai modulus elastisitas struktur baja,</t>
  </si>
  <si>
    <t>E =</t>
  </si>
  <si>
    <r>
      <t>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</si>
  <si>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</si>
  <si>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</si>
  <si>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</si>
  <si>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</si>
  <si>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</si>
  <si>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</si>
  <si>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nt-X2</t>
    </r>
    <r>
      <rPr>
        <sz val="11"/>
        <color theme="1"/>
        <rFont val="Calibri"/>
        <family val="2"/>
        <scheme val="minor"/>
      </rPr>
      <t xml:space="preserve"> =</t>
    </r>
  </si>
  <si>
    <r>
      <rPr>
        <b/>
        <sz val="11"/>
        <color rgb="FFFF0000"/>
        <rFont val="Calibri"/>
        <family val="2"/>
        <scheme val="minor"/>
      </rPr>
      <t xml:space="preserve">N.b. </t>
    </r>
    <r>
      <rPr>
        <sz val="11"/>
        <color theme="1"/>
        <rFont val="Calibri"/>
        <family val="2"/>
        <scheme val="minor"/>
      </rPr>
      <t>(Searah jarum jam positif; Berlawanan jarum jam negatif)</t>
    </r>
  </si>
  <si>
    <r>
      <t>M</t>
    </r>
    <r>
      <rPr>
        <vertAlign val="subscript"/>
        <sz val="11"/>
        <color theme="1"/>
        <rFont val="Calibri"/>
        <family val="2"/>
        <scheme val="minor"/>
      </rPr>
      <t>nt-X1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</si>
  <si>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nt-Y2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</si>
  <si>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nt-Y1</t>
    </r>
    <r>
      <rPr>
        <sz val="11"/>
        <color theme="1"/>
        <rFont val="Calibri"/>
        <family val="2"/>
        <scheme val="minor"/>
      </rPr>
      <t xml:space="preserve"> =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</si>
  <si>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</si>
  <si>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</si>
  <si>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</si>
  <si>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</si>
  <si>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</si>
  <si>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</si>
  <si>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</si>
  <si>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</si>
  <si>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</si>
  <si>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</si>
  <si>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</si>
  <si>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Nilai momen perlu terbesar pada kolom,</t>
  </si>
  <si>
    <r>
      <t>M</t>
    </r>
    <r>
      <rPr>
        <vertAlign val="subscript"/>
        <sz val="11"/>
        <color theme="1"/>
        <rFont val="Calibri"/>
        <family val="2"/>
        <scheme val="minor"/>
      </rPr>
      <t>rX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ntx</t>
    </r>
    <r>
      <rPr>
        <sz val="11"/>
        <color theme="1"/>
        <rFont val="Calibri"/>
        <family val="2"/>
        <scheme val="minor"/>
      </rPr>
      <t xml:space="preserve"> =</t>
    </r>
  </si>
  <si>
    <t>Analisa Kekuatan Aksial &amp; Momen Perlu Terbesar Pada Struktur Kolom</t>
  </si>
  <si>
    <r>
      <t>M</t>
    </r>
    <r>
      <rPr>
        <vertAlign val="subscript"/>
        <sz val="11"/>
        <color theme="1"/>
        <rFont val="Calibri"/>
        <family val="2"/>
        <scheme val="minor"/>
      </rPr>
      <t>rY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ntY</t>
    </r>
    <r>
      <rPr>
        <sz val="11"/>
        <color theme="1"/>
        <rFont val="Calibri"/>
        <family val="2"/>
        <scheme val="minor"/>
      </rPr>
      <t xml:space="preserve"> =</t>
    </r>
  </si>
  <si>
    <t>L =</t>
  </si>
  <si>
    <t>→</t>
  </si>
  <si>
    <t>Kesimpulan klasifikasi penampang kolom,</t>
  </si>
  <si>
    <t>Kelansingan Sayap</t>
  </si>
  <si>
    <t>Kelansingan Badan</t>
  </si>
  <si>
    <t>Keadaan batas terhadap sumbu X</t>
  </si>
  <si>
    <t>Keadaan batas leleh (Y)</t>
  </si>
  <si>
    <t>Keadaan batas terhadap sumbu Y</t>
  </si>
  <si>
    <t>Momen leleh pada sayap tekan,</t>
  </si>
  <si>
    <t>Nilai faktor plastifikasi badan,</t>
  </si>
  <si>
    <t>Kondisi 1.A.</t>
  </si>
  <si>
    <t>Kondisi 1.</t>
  </si>
  <si>
    <t>Kondisi 1.B.</t>
  </si>
  <si>
    <t>Nilai maksimum faktor plastifikasi badan Kondisi 1.B.,</t>
  </si>
  <si>
    <t>Kondisi 2.</t>
  </si>
  <si>
    <r>
      <t>I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&gt; 0,23</t>
    </r>
  </si>
  <si>
    <t>Kesimpulan nilai faktor plastifikasi badan,</t>
  </si>
  <si>
    <r>
      <t>R</t>
    </r>
    <r>
      <rPr>
        <vertAlign val="subscript"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 xml:space="preserve"> =</t>
    </r>
  </si>
  <si>
    <t>Keadaan batas leleh sayap tekan (CFY)</t>
  </si>
  <si>
    <t>Keadaan batas tekuk torsi-lateral (LTB)</t>
  </si>
  <si>
    <t>Batas panjang tak terbreis secara lateral untuk keadaan batas leleh,</t>
  </si>
  <si>
    <t>Berdasarkan SNI 1729 2020 Pasal F2</t>
  </si>
  <si>
    <t>Kondisi 1 :</t>
  </si>
  <si>
    <t>Kondisi 2 :</t>
  </si>
  <si>
    <t>Batas panjang tak terbreis untuk keadaan batas pada tekuk torsi-lateral inelastik,</t>
  </si>
  <si>
    <t>m</t>
  </si>
  <si>
    <t>Panjang kolom,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</si>
  <si>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L =</t>
    </r>
  </si>
  <si>
    <t>Kekuatan lentur nominal berdasarkan batas leleh,</t>
  </si>
  <si>
    <t>Kekuatan lentur nominal berdasarkan batas tekuk torsi-lateral,</t>
  </si>
  <si>
    <t>Tegangan tekuk torsi-lateral penampang,</t>
  </si>
  <si>
    <t>Kondisi 3 :</t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</si>
  <si>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</si>
  <si>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Kontrol nilai lentur nominal berdasarkan batas tekuk torsi-lateral,</t>
  </si>
  <si>
    <t>Syarat :</t>
  </si>
  <si>
    <t>≤</t>
  </si>
  <si>
    <t>Kesimpulan :</t>
  </si>
  <si>
    <t>Nilai lentur nominal berdasarkan batas tekuk torsi-lateral,</t>
  </si>
  <si>
    <t>Berdasarkan SNI 1729 2020 Pasal F3</t>
  </si>
  <si>
    <t>Keadaan batas tekuk lokal sayap tekan (FLB)</t>
  </si>
  <si>
    <t>Rasio lebar terhadap tebal pada sayap,</t>
  </si>
  <si>
    <t>Kekuatan lentur nominal berdasarkan batas lokal sayap tekan,</t>
  </si>
  <si>
    <t>Batas kelangsingan untuk sayap kompak,</t>
  </si>
  <si>
    <t>Batas kelangsingan untuk sayap nonkompak,</t>
  </si>
  <si>
    <r>
      <t>λ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λ &lt; λ</t>
    </r>
    <r>
      <rPr>
        <vertAlign val="subscript"/>
        <sz val="11"/>
        <color theme="1"/>
        <rFont val="Calibri"/>
        <family val="2"/>
        <scheme val="minor"/>
      </rPr>
      <t>r</t>
    </r>
  </si>
  <si>
    <r>
      <t>λ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&gt; λ</t>
    </r>
  </si>
  <si>
    <r>
      <t>λ</t>
    </r>
    <r>
      <rPr>
        <vertAlign val="subscript"/>
        <sz val="11"/>
        <color theme="1"/>
        <rFont val="Calibri"/>
        <family val="2"/>
      </rPr>
      <t>pf</t>
    </r>
    <r>
      <rPr>
        <sz val="11"/>
        <color theme="1"/>
        <rFont val="Calibri"/>
        <family val="2"/>
      </rPr>
      <t xml:space="preserve"> = λ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</si>
  <si>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λ</t>
    </r>
    <r>
      <rPr>
        <vertAlign val="subscript"/>
        <sz val="11"/>
        <color theme="1"/>
        <rFont val="Calibri"/>
        <family val="2"/>
      </rPr>
      <t>rf</t>
    </r>
    <r>
      <rPr>
        <sz val="11"/>
        <color theme="1"/>
        <rFont val="Calibri"/>
        <family val="2"/>
      </rPr>
      <t xml:space="preserve"> = λ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</si>
  <si>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p</t>
    </r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</si>
  <si>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r</t>
    </r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</si>
  <si>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&gt; L</t>
    </r>
    <r>
      <rPr>
        <vertAlign val="subscript"/>
        <sz val="11"/>
        <color theme="1"/>
        <rFont val="Calibri"/>
        <family val="2"/>
        <scheme val="minor"/>
      </rPr>
      <t>r</t>
    </r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</si>
  <si>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</si>
  <si>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</si>
  <si>
    <t>Koefisien elemen langsing tak diperkaku pakai,</t>
  </si>
  <si>
    <r>
      <t>k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</si>
  <si>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Berdasarkan SNI 1729 2020 Pasal F4</t>
  </si>
  <si>
    <r>
      <t>(h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- 2 * (t</t>
    </r>
    <r>
      <rPr>
        <vertAlign val="subscript"/>
        <sz val="11"/>
        <color theme="1"/>
        <rFont val="Calibri"/>
        <family val="2"/>
      </rPr>
      <t>f +</t>
    </r>
    <r>
      <rPr>
        <sz val="11"/>
        <color theme="1"/>
        <rFont val="Calibri"/>
        <family val="2"/>
      </rPr>
      <t xml:space="preserve"> r))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≤ λ</t>
    </r>
    <r>
      <rPr>
        <vertAlign val="subscript"/>
        <sz val="11"/>
        <color theme="1"/>
        <rFont val="Calibri"/>
        <family val="2"/>
      </rPr>
      <t>pw</t>
    </r>
  </si>
  <si>
    <r>
      <t>(h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- 2 * (t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+ r))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&gt; λ</t>
    </r>
    <r>
      <rPr>
        <vertAlign val="subscript"/>
        <sz val="11"/>
        <color theme="1"/>
        <rFont val="Calibri"/>
        <family val="2"/>
      </rPr>
      <t>pw</t>
    </r>
  </si>
  <si>
    <t>Batas panjang tak terbreis untuk keadaan batas tekuk torsilateral inelastis</t>
  </si>
  <si>
    <r>
      <t>Apabila S</t>
    </r>
    <r>
      <rPr>
        <vertAlign val="subscript"/>
        <sz val="11"/>
        <color theme="1"/>
        <rFont val="Calibri"/>
        <family val="2"/>
        <scheme val="minor"/>
      </rPr>
      <t>xt</t>
    </r>
    <r>
      <rPr>
        <sz val="11"/>
        <color theme="1"/>
        <rFont val="Calibri"/>
        <family val="2"/>
        <scheme val="minor"/>
      </rPr>
      <t xml:space="preserve"> ≥ S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>, keadaan batas leleh sayap tarik tidak berlaku.</t>
    </r>
  </si>
  <si>
    <t>Berdasarkan SNI 1729 2020 Pasal F5</t>
  </si>
  <si>
    <r>
      <t>I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0,23</t>
    </r>
  </si>
  <si>
    <t>Nilai pakai untuk faktor reduksi kekuatan lentur,</t>
  </si>
  <si>
    <r>
      <t>R</t>
    </r>
    <r>
      <rPr>
        <vertAlign val="subscript"/>
        <sz val="11"/>
        <color theme="1"/>
        <rFont val="Calibri"/>
        <family val="2"/>
        <scheme val="minor"/>
      </rPr>
      <t>pg</t>
    </r>
    <r>
      <rPr>
        <sz val="11"/>
        <color theme="1"/>
        <rFont val="Calibri"/>
        <family val="2"/>
        <scheme val="minor"/>
      </rPr>
      <t xml:space="preserve"> =</t>
    </r>
  </si>
  <si>
    <t>: [ PERLU ]</t>
  </si>
  <si>
    <t>Keadaan batas leleh sayap tarik (TFY)</t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</si>
  <si>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</si>
  <si>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 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* (f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- 0,3*f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(L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 / (L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))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</si>
  <si>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 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π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* E / (L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/ 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</si>
  <si>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</si>
  <si>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</si>
  <si>
    <r>
      <t>f</t>
    </r>
    <r>
      <rPr>
        <vertAlign val="subscript"/>
        <sz val="11"/>
        <color theme="1"/>
        <rFont val="Calibri"/>
        <family val="2"/>
        <scheme val="minor"/>
      </rPr>
      <t>y</t>
    </r>
  </si>
  <si>
    <t>Kontrol nilai tegangan tekuk torsi-lateral penampang,</t>
  </si>
  <si>
    <t>Nilai tegangan tekuk torsi-lateral penampang,</t>
  </si>
  <si>
    <t>Nilai tegangan kritis penampang,</t>
  </si>
  <si>
    <t>Kesimpulan kuat lentur nominal,</t>
  </si>
  <si>
    <t>Keadaan batas tekuk lokal sayap (FLB)</t>
  </si>
  <si>
    <t>Kekuatan lentur nominal berdasarkan batas tekuk lokal sayap,</t>
  </si>
  <si>
    <t>Nilai nominal kuat lentur keadaan batas terhadap sumbu Y</t>
  </si>
  <si>
    <t>Keadaan batas tekuk lentur (FB)</t>
  </si>
  <si>
    <t>Nilai tegangan kritis pakai,</t>
  </si>
  <si>
    <t>Kekuatan tekan nominal berdasarkan batas tekuk lentur,</t>
  </si>
  <si>
    <t>Keadaan batas tekuk torsi lentur (FTB)</t>
  </si>
  <si>
    <r>
      <t>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</t>
    </r>
  </si>
  <si>
    <t xml:space="preserve"> </t>
  </si>
  <si>
    <t>Pasal F2</t>
  </si>
  <si>
    <t>Pasal F3</t>
  </si>
  <si>
    <t>Pasal F4</t>
  </si>
  <si>
    <t>Pasal F5</t>
  </si>
  <si>
    <t>Y, LTB</t>
  </si>
  <si>
    <t>LTB, FLB</t>
  </si>
  <si>
    <t>CFY, LTB, FLB</t>
  </si>
  <si>
    <t>Perlu Kontrol Keadaan Batas ?</t>
  </si>
  <si>
    <t>Pasal F6</t>
  </si>
  <si>
    <t>[ Perlu ]</t>
  </si>
  <si>
    <t>Y, FLB</t>
  </si>
  <si>
    <t>Acuan</t>
  </si>
  <si>
    <t>Jenis Kontrol</t>
  </si>
  <si>
    <t>Ket.</t>
  </si>
  <si>
    <t>: [ TIDAK PERLU ]</t>
  </si>
  <si>
    <r>
      <t>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</si>
  <si>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Kuat tekan nominal yang berpengaruh,</t>
  </si>
  <si>
    <t>Kekuatan tekan nominal berdasarkan batas tekuk torsi lentur,</t>
  </si>
  <si>
    <t>Kekuatan tekan nominal berdasarkan batas tekuk lentur (FB),</t>
  </si>
  <si>
    <t>Kekuatan tekan nominal berdasarkan batas tekuk torsi lentur (FTB),</t>
  </si>
  <si>
    <t>Kekuatan lentur nominal berdasarkan batas leleh (Y),</t>
  </si>
  <si>
    <t>Kekuatan lentur nominal berdasarkan batas tekuk torsi-lateral (LTB),</t>
  </si>
  <si>
    <t>Kekuatan lentur nominal berdasarkan batas tekuk lokal sayap (FLB),</t>
  </si>
  <si>
    <t>Kekuatan lentur nominal berdasarkan batas leleh sayap tekan (CFY),</t>
  </si>
  <si>
    <t>Kekuatan lentur nominal berdasarkan batas lokal sayap tekan (TFY),</t>
  </si>
  <si>
    <t>Kuat lentur nominal arah X yang berpengaruh,</t>
  </si>
  <si>
    <t>Tinjauan analisa pada Sumbu Y</t>
  </si>
  <si>
    <r>
      <t>M</t>
    </r>
    <r>
      <rPr>
        <vertAlign val="subscript"/>
        <sz val="11"/>
        <color theme="1"/>
        <rFont val="Calibri"/>
        <family val="2"/>
        <scheme val="minor"/>
      </rPr>
      <t>rX</t>
    </r>
    <r>
      <rPr>
        <sz val="11"/>
        <color theme="1"/>
        <rFont val="Calibri"/>
        <family val="2"/>
        <scheme val="minor"/>
      </rPr>
      <t xml:space="preserve"> =</t>
    </r>
  </si>
  <si>
    <t>Nilai momen perlu terbesar pada kolom arah X,</t>
  </si>
  <si>
    <t>Nilai momen perlu terbesar pada kolom arah Y,</t>
  </si>
  <si>
    <r>
      <t>M</t>
    </r>
    <r>
      <rPr>
        <vertAlign val="subscript"/>
        <sz val="11"/>
        <color theme="1"/>
        <rFont val="Calibri"/>
        <family val="2"/>
        <scheme val="minor"/>
      </rPr>
      <t>rY</t>
    </r>
    <r>
      <rPr>
        <sz val="11"/>
        <color theme="1"/>
        <rFont val="Calibri"/>
        <family val="2"/>
        <scheme val="minor"/>
      </rPr>
      <t xml:space="preserve"> =</t>
    </r>
  </si>
  <si>
    <t>Nilai kuat tekan perlu pada kolom,</t>
  </si>
  <si>
    <t>Perbandingan nilai Pr / (φ * Pn),</t>
  </si>
  <si>
    <t>Nilai faktor ketahanan untuk kuat tekan,</t>
  </si>
  <si>
    <t>Nilai faktor ketahanan untuk kuat lentur,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</si>
  <si>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</si>
  <si>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</si>
  <si>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/ (</t>
    </r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</si>
  <si>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</si>
  <si>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</si>
  <si>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nY</t>
    </r>
    <r>
      <rPr>
        <sz val="11"/>
        <color theme="1"/>
        <rFont val="Calibri"/>
        <family val="2"/>
        <scheme val="minor"/>
      </rPr>
      <t xml:space="preserve"> =</t>
    </r>
  </si>
  <si>
    <t>Nilai momen lentur plastis pakai,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</si>
  <si>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 =</t>
    </r>
  </si>
  <si>
    <t>300 x 300 x 10 x 15</t>
  </si>
  <si>
    <t>Faktor modifikasi tekuk torsi lateral pakai,</t>
  </si>
  <si>
    <r>
      <t>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</si>
  <si>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kekuatan leleh sayap tekan,</t>
  </si>
  <si>
    <t>Kekuatan lentur nominal berdasarkan batas tekuk lokal sayap tekan,</t>
  </si>
  <si>
    <t>Kekuatan lentur nominal berdasarkan batas leleh sayap tekan,</t>
  </si>
  <si>
    <t>Kontrol nilai interaksi tekan-lentur kolom,</t>
  </si>
  <si>
    <t xml:space="preserve">I </t>
  </si>
  <si>
    <t>Koefisien kekuatan geser badan pakai,</t>
  </si>
  <si>
    <t>Kekuatan geser nominal,</t>
  </si>
  <si>
    <r>
      <t>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</si>
  <si>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v2</t>
    </r>
    <r>
      <rPr>
        <sz val="11"/>
        <color theme="1"/>
        <rFont val="Calibri"/>
        <family val="2"/>
        <scheme val="minor"/>
      </rPr>
      <t xml:space="preserve"> =</t>
    </r>
  </si>
  <si>
    <t>Nilai faktor ketahanan untuk kuat geser,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</si>
  <si>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</si>
  <si>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t>Gaya geser akibat kombinasi beban terfaktor,</t>
  </si>
  <si>
    <t>Nilai gaya geser tegak lurus sumbu X akibat kombinasi beban terfaktor,</t>
  </si>
  <si>
    <t>Nilai gaya geser tegak lurus sumbu Y akibat kombinasi beban terfaktor,</t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</si>
  <si>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</si>
  <si>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UY</t>
    </r>
    <r>
      <rPr>
        <sz val="11"/>
        <color theme="1"/>
        <rFont val="Calibri"/>
        <family val="2"/>
        <scheme val="minor"/>
      </rPr>
      <t xml:space="preserve"> =</t>
    </r>
  </si>
  <si>
    <t>Kontrol gaya geser terhadap kekuatan geser nominal,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</si>
  <si>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Vn</t>
    </r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</si>
  <si>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</si>
  <si>
    <r>
      <t>V</t>
    </r>
    <r>
      <rPr>
        <vertAlign val="subscript"/>
        <sz val="11"/>
        <color theme="1"/>
        <rFont val="Calibri"/>
        <family val="2"/>
        <scheme val="minor"/>
      </rPr>
      <t>UY</t>
    </r>
  </si>
  <si>
    <t>*SNI 1729 2020</t>
  </si>
  <si>
    <t>Kontrol interaksi kombinasi aksial, lentur, dan geser untuk sumbu X,</t>
  </si>
  <si>
    <t>≤ 1,0</t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</si>
  <si>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*P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+ M</t>
    </r>
    <r>
      <rPr>
        <vertAlign val="subscript"/>
        <sz val="11"/>
        <color theme="1"/>
        <rFont val="Calibri"/>
        <family val="2"/>
        <scheme val="minor"/>
      </rPr>
      <t>rY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*M</t>
    </r>
    <r>
      <rPr>
        <vertAlign val="subscript"/>
        <sz val="11"/>
        <color theme="1"/>
        <rFont val="Calibri"/>
        <family val="2"/>
        <scheme val="minor"/>
      </rPr>
      <t>nY</t>
    </r>
    <r>
      <rPr>
        <sz val="11"/>
        <color theme="1"/>
        <rFont val="Calibri"/>
        <family val="2"/>
        <scheme val="minor"/>
      </rPr>
      <t>) + V</t>
    </r>
    <r>
      <rPr>
        <vertAlign val="subscript"/>
        <sz val="11"/>
        <color theme="1"/>
        <rFont val="Calibri"/>
        <family val="2"/>
        <scheme val="minor"/>
      </rPr>
      <t>UY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*V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</si>
  <si>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*P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+ M</t>
    </r>
    <r>
      <rPr>
        <vertAlign val="subscript"/>
        <sz val="11"/>
        <color theme="1"/>
        <rFont val="Calibri"/>
        <family val="2"/>
        <scheme val="minor"/>
      </rPr>
      <t>rX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*M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>) + 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*V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</si>
  <si>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t>A.</t>
  </si>
  <si>
    <t>INPUT DATA PERENCANAAN</t>
  </si>
  <si>
    <t>NO.</t>
  </si>
  <si>
    <t>EXPLANATORY</t>
  </si>
  <si>
    <t>FORMULA</t>
  </si>
  <si>
    <t>VALUE</t>
  </si>
  <si>
    <t>UNIT</t>
  </si>
  <si>
    <t>A.1.</t>
  </si>
  <si>
    <t>Input data material</t>
  </si>
  <si>
    <t>A.2.</t>
  </si>
  <si>
    <t>A.3.</t>
  </si>
  <si>
    <t>Input data beban</t>
  </si>
  <si>
    <t>B.</t>
  </si>
  <si>
    <t>B.1.</t>
  </si>
  <si>
    <t>Sifat - sifat material penampang WF</t>
  </si>
  <si>
    <t>ANALISA SIFAT, KEKUATAN PERLU, DAN KLASIFIKASI PENAMPANG PROFIL WF</t>
  </si>
  <si>
    <t>B.2.</t>
  </si>
  <si>
    <t>Perhitungan klasifikasi penampang profil WF</t>
  </si>
  <si>
    <t>B.3.</t>
  </si>
  <si>
    <t>Nilai faktor modifikasi tekuk torsi lateral pakai</t>
  </si>
  <si>
    <t>B.4.</t>
  </si>
  <si>
    <t>C.</t>
  </si>
  <si>
    <t>C.1.</t>
  </si>
  <si>
    <t>C.2.</t>
  </si>
  <si>
    <t>C.3.</t>
  </si>
  <si>
    <t>C.4.</t>
  </si>
  <si>
    <t>C.5.</t>
  </si>
  <si>
    <t>INTERAKSI ANTARA GAYA AKSIAL DAN LENTUR PADA KOLOM</t>
  </si>
  <si>
    <t>Klasifikasi penampang kolom bagian sayap dan badan</t>
  </si>
  <si>
    <t>D.</t>
  </si>
  <si>
    <t>D.1.</t>
  </si>
  <si>
    <t>D.2.</t>
  </si>
  <si>
    <t>D.3.</t>
  </si>
  <si>
    <t>E.</t>
  </si>
  <si>
    <t>Rekapitulasi kekuatan tekan nominal</t>
  </si>
  <si>
    <t>Rekapitulasi kekuatan lentur nominal arah X</t>
  </si>
  <si>
    <t>Rekapitulasi kekuatan lentur nominal arah Y</t>
  </si>
  <si>
    <t>Kontrol nilai interaksi tekan-lentur kolom</t>
  </si>
  <si>
    <t>E.1.</t>
  </si>
  <si>
    <t>E.2.</t>
  </si>
  <si>
    <t>E.3.</t>
  </si>
  <si>
    <t>E.4.</t>
  </si>
  <si>
    <t>F.</t>
  </si>
  <si>
    <t>F.1.</t>
  </si>
  <si>
    <t>F.2.</t>
  </si>
  <si>
    <t>ANALISA TAHANAN AKSIAL PADA STRUKTUR KOLOM</t>
  </si>
  <si>
    <t>ANALISA TAHANAN LENTUR PADA STRUKTUR KOLOM</t>
  </si>
  <si>
    <t>ANALISA TAHANAN GESER PADA STRUKTUR KOLOM</t>
  </si>
  <si>
    <t>Tahanan geser pada struktur kolom untuk sumbu Y</t>
  </si>
  <si>
    <t>Input data dimensi struktur kolom</t>
  </si>
  <si>
    <t>Tahanan geser pada struktur kolom untuk sumbu X</t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</si>
  <si>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</t>
    </r>
  </si>
  <si>
    <t>Klasifikasi penampang kolom bagian sayap:</t>
  </si>
  <si>
    <t>Klasifikasi penampang kolom bagian badan:</t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</si>
  <si>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</si>
  <si>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</si>
  <si>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</si>
  <si>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t>λ =</t>
  </si>
  <si>
    <r>
      <t>M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</si>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</sst>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.E+0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5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64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 inden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66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166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indent="1"/>
    </xf>
    <xf numFmtId="0" fontId="16" fillId="7" borderId="0" xfId="1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A8559E74-EBAA-4430-9484-973CD84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11</xdr:row>
      <xdr:rowOff>0</xdr:rowOff>
    </xdr:from>
    <xdr:to>
      <xdr:col>5</xdr:col>
      <xdr:colOff>9525</xdr:colOff>
      <xdr:row>20</xdr:row>
      <xdr:rowOff>38974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B56B32-190B-4B07-AA7C-F3D39E77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651" y="2584450"/>
          <a:ext cx="3127374" cy="2153524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22</xdr:row>
      <xdr:rowOff>133351</xdr:rowOff>
    </xdr:from>
    <xdr:to>
      <xdr:col>7</xdr:col>
      <xdr:colOff>458475</xdr:colOff>
      <xdr:row>35</xdr:row>
      <xdr:rowOff>70391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0DBEDC-EA43-43D8-AF4E-48B1F1D25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625" y="5302251"/>
          <a:ext cx="5287650" cy="2991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8</xdr:col>
      <xdr:colOff>903714</xdr:colOff>
      <xdr:row>306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4C202C-2201-4046-84AB-17ED54F25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75300"/>
          <a:ext cx="7996664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CB15-3816-452C-9770-D5E22A22417C}">
  <sheetPr>
    <tabColor theme="5" tint="-0.249977111117893"/>
  </sheetPr>
  <dimension ref="A1:O294"/>
  <sheetViews>
    <sheetView showGridLines="0" tabSelected="1" zoomScale="85" zoomScaleNormal="85" workbookViewId="0">
      <selection activeCell="F6" sqref="F6"/>
    </sheetView>
  </sheetViews>
  <sheetFormatPr defaultRowHeight="18.75" customHeight="1" x14ac:dyDescent="0.35"/>
  <cols>
    <col min="1" max="1" width="6.7265625" customWidth="1"/>
    <col min="2" max="9" width="13.54296875" customWidth="1"/>
  </cols>
  <sheetData>
    <row r="1" spans="1:14" ht="18.75" customHeight="1" x14ac:dyDescent="0.35">
      <c r="A1" s="60" t="s">
        <v>212</v>
      </c>
      <c r="B1" s="68" t="s">
        <v>213</v>
      </c>
      <c r="C1" s="68"/>
      <c r="D1" s="68"/>
      <c r="E1" s="68"/>
      <c r="F1" s="68"/>
      <c r="G1" s="60" t="s">
        <v>214</v>
      </c>
      <c r="H1" s="60" t="s">
        <v>215</v>
      </c>
      <c r="I1" s="60" t="s">
        <v>216</v>
      </c>
    </row>
    <row r="2" spans="1:14" s="1" customFormat="1" ht="18.75" customHeight="1" x14ac:dyDescent="0.35">
      <c r="A2" s="58" t="s">
        <v>210</v>
      </c>
      <c r="B2" s="23" t="s">
        <v>211</v>
      </c>
      <c r="C2" s="23"/>
      <c r="D2" s="23"/>
      <c r="E2" s="23"/>
      <c r="F2" s="23"/>
      <c r="G2" s="23"/>
      <c r="H2" s="23"/>
      <c r="I2" s="23"/>
    </row>
    <row r="3" spans="1:14" s="1" customFormat="1" ht="18.75" customHeight="1" x14ac:dyDescent="0.35">
      <c r="A3" s="61" t="s">
        <v>217</v>
      </c>
      <c r="B3" s="25" t="s">
        <v>218</v>
      </c>
      <c r="C3" s="25"/>
      <c r="D3" s="25"/>
      <c r="E3" s="25"/>
      <c r="F3" s="25"/>
      <c r="G3" s="25"/>
      <c r="H3" s="25"/>
      <c r="I3" s="25"/>
    </row>
    <row r="4" spans="1:14" s="1" customFormat="1" ht="18.75" customHeight="1" x14ac:dyDescent="0.35">
      <c r="B4" s="1" t="s">
        <v>11</v>
      </c>
      <c r="G4" s="3"/>
      <c r="H4" s="20" t="s">
        <v>12</v>
      </c>
      <c r="I4" s="2"/>
    </row>
    <row r="5" spans="1:14" s="1" customFormat="1" ht="18.75" customHeight="1" x14ac:dyDescent="0.35">
      <c r="B5" s="1" t="s">
        <v>13</v>
      </c>
      <c r="G5" s="5" t="s">
        <v>27</v>
      </c>
      <c r="H5" s="20">
        <f>IF(H4="BJ 34",210,IF(H4="BJ 37",240,IF(H4="BJ 41",250,IF(H4="BJ 50",290,IF(H4="BJ 55",410,"[ EROR ]")))))</f>
        <v>240</v>
      </c>
      <c r="I5" s="2" t="s">
        <v>15</v>
      </c>
    </row>
    <row r="6" spans="1:14" s="1" customFormat="1" ht="18.75" customHeight="1" x14ac:dyDescent="0.35">
      <c r="B6" s="1" t="s">
        <v>14</v>
      </c>
      <c r="G6" s="5" t="s">
        <v>28</v>
      </c>
      <c r="H6" s="20">
        <f>IF(H4="BJ 34",340,IF(H4="BJ 37",370,IF(H4="BJ 41",410,IF(H4="BJ 50",500,IF(H4="BJ 55",550,"[ EROR ]")))))</f>
        <v>370</v>
      </c>
      <c r="I6" s="2" t="s">
        <v>15</v>
      </c>
      <c r="N6"/>
    </row>
    <row r="7" spans="1:14" s="1" customFormat="1" ht="18.75" customHeight="1" x14ac:dyDescent="0.35">
      <c r="B7" s="1" t="s">
        <v>25</v>
      </c>
      <c r="G7" s="5" t="s">
        <v>26</v>
      </c>
      <c r="H7" s="20">
        <v>200000</v>
      </c>
      <c r="I7" s="2" t="s">
        <v>15</v>
      </c>
      <c r="N7"/>
    </row>
    <row r="8" spans="1:14" s="1" customFormat="1" ht="18.75" customHeight="1" x14ac:dyDescent="0.35">
      <c r="G8" s="3"/>
      <c r="H8" s="3"/>
      <c r="I8" s="2"/>
    </row>
    <row r="9" spans="1:14" s="1" customFormat="1" ht="18.75" customHeight="1" x14ac:dyDescent="0.35">
      <c r="A9" s="61" t="s">
        <v>219</v>
      </c>
      <c r="B9" s="25" t="s">
        <v>259</v>
      </c>
      <c r="C9" s="25"/>
      <c r="D9" s="25"/>
      <c r="E9" s="25"/>
      <c r="F9" s="25"/>
      <c r="G9" s="25"/>
      <c r="H9" s="25"/>
      <c r="I9" s="25"/>
    </row>
    <row r="10" spans="1:14" s="1" customFormat="1" ht="18.75" customHeight="1" x14ac:dyDescent="0.35">
      <c r="B10" s="1" t="s">
        <v>0</v>
      </c>
      <c r="G10" s="5" t="s">
        <v>54</v>
      </c>
      <c r="H10" s="20">
        <v>4000</v>
      </c>
      <c r="I10" s="2" t="s">
        <v>1</v>
      </c>
    </row>
    <row r="11" spans="1:14" s="1" customFormat="1" ht="18.75" customHeight="1" x14ac:dyDescent="0.35">
      <c r="G11" s="5"/>
      <c r="H11" s="3"/>
      <c r="I11" s="2"/>
    </row>
    <row r="12" spans="1:14" s="1" customFormat="1" ht="18.75" customHeight="1" x14ac:dyDescent="0.35">
      <c r="F12" s="6" t="s">
        <v>9</v>
      </c>
      <c r="G12" s="79" t="s">
        <v>182</v>
      </c>
      <c r="H12" s="80"/>
      <c r="I12" s="7"/>
    </row>
    <row r="13" spans="1:14" s="1" customFormat="1" ht="18.75" customHeight="1" x14ac:dyDescent="0.35">
      <c r="F13" s="8"/>
      <c r="G13" s="21" t="s">
        <v>29</v>
      </c>
      <c r="H13" s="18">
        <v>300</v>
      </c>
      <c r="I13" s="9" t="s">
        <v>1</v>
      </c>
    </row>
    <row r="14" spans="1:14" s="1" customFormat="1" ht="18.75" customHeight="1" x14ac:dyDescent="0.35">
      <c r="F14" s="8"/>
      <c r="G14" s="22" t="s">
        <v>30</v>
      </c>
      <c r="H14" s="18">
        <v>300</v>
      </c>
      <c r="I14" s="9" t="s">
        <v>1</v>
      </c>
    </row>
    <row r="15" spans="1:14" s="1" customFormat="1" ht="18.75" customHeight="1" x14ac:dyDescent="0.35">
      <c r="F15" s="8"/>
      <c r="G15" s="22" t="s">
        <v>31</v>
      </c>
      <c r="H15" s="18">
        <v>10</v>
      </c>
      <c r="I15" s="9" t="s">
        <v>1</v>
      </c>
    </row>
    <row r="16" spans="1:14" s="1" customFormat="1" ht="18.75" customHeight="1" x14ac:dyDescent="0.35">
      <c r="F16" s="8"/>
      <c r="G16" s="22" t="s">
        <v>32</v>
      </c>
      <c r="H16" s="18">
        <v>15</v>
      </c>
      <c r="I16" s="9" t="s">
        <v>1</v>
      </c>
    </row>
    <row r="17" spans="1:9" s="1" customFormat="1" ht="18.75" customHeight="1" x14ac:dyDescent="0.35">
      <c r="F17" s="8"/>
      <c r="G17" s="22" t="s">
        <v>10</v>
      </c>
      <c r="H17" s="18">
        <v>18</v>
      </c>
      <c r="I17" s="9" t="s">
        <v>1</v>
      </c>
    </row>
    <row r="18" spans="1:9" s="1" customFormat="1" ht="18.75" customHeight="1" x14ac:dyDescent="0.35">
      <c r="G18" s="5"/>
      <c r="H18" s="3"/>
      <c r="I18" s="10"/>
    </row>
    <row r="19" spans="1:9" s="1" customFormat="1" ht="18.75" customHeight="1" x14ac:dyDescent="0.35">
      <c r="G19" s="5"/>
      <c r="H19" s="3"/>
      <c r="I19" s="10"/>
    </row>
    <row r="20" spans="1:9" s="1" customFormat="1" ht="18.75" customHeight="1" x14ac:dyDescent="0.35">
      <c r="G20" s="5"/>
      <c r="H20" s="3"/>
      <c r="I20" s="10"/>
    </row>
    <row r="21" spans="1:9" s="1" customFormat="1" ht="18.75" customHeight="1" x14ac:dyDescent="0.35">
      <c r="G21" s="5"/>
      <c r="H21" s="3"/>
      <c r="I21" s="10"/>
    </row>
    <row r="22" spans="1:9" s="1" customFormat="1" ht="18.75" customHeight="1" x14ac:dyDescent="0.35">
      <c r="A22" s="61" t="s">
        <v>220</v>
      </c>
      <c r="B22" s="25" t="s">
        <v>221</v>
      </c>
      <c r="C22" s="25"/>
      <c r="D22" s="25"/>
      <c r="E22" s="25"/>
      <c r="F22" s="25"/>
      <c r="G22" s="25"/>
      <c r="H22" s="25"/>
      <c r="I22" s="25"/>
    </row>
    <row r="23" spans="1:9" s="1" customFormat="1" ht="18.75" customHeight="1" x14ac:dyDescent="0.35">
      <c r="G23" s="5"/>
      <c r="H23" s="59"/>
      <c r="I23" s="2"/>
    </row>
    <row r="24" spans="1:9" s="1" customFormat="1" ht="18.75" customHeight="1" x14ac:dyDescent="0.35">
      <c r="G24" s="5"/>
      <c r="H24" s="59"/>
      <c r="I24" s="2"/>
    </row>
    <row r="25" spans="1:9" s="1" customFormat="1" ht="18.75" customHeight="1" x14ac:dyDescent="0.35">
      <c r="G25" s="5"/>
      <c r="H25" s="59"/>
      <c r="I25" s="2"/>
    </row>
    <row r="26" spans="1:9" s="1" customFormat="1" ht="18.75" customHeight="1" x14ac:dyDescent="0.35">
      <c r="G26" s="5"/>
      <c r="H26" s="59"/>
      <c r="I26" s="2"/>
    </row>
    <row r="27" spans="1:9" s="1" customFormat="1" ht="18.75" customHeight="1" x14ac:dyDescent="0.35">
      <c r="G27" s="5"/>
      <c r="H27" s="59"/>
      <c r="I27" s="2"/>
    </row>
    <row r="28" spans="1:9" s="1" customFormat="1" ht="18.75" customHeight="1" x14ac:dyDescent="0.35">
      <c r="G28" s="5"/>
      <c r="H28" s="59"/>
      <c r="I28" s="2"/>
    </row>
    <row r="29" spans="1:9" s="1" customFormat="1" ht="18.75" customHeight="1" x14ac:dyDescent="0.35">
      <c r="G29" s="5"/>
      <c r="H29" s="59"/>
      <c r="I29" s="2"/>
    </row>
    <row r="30" spans="1:9" s="1" customFormat="1" ht="18.75" customHeight="1" x14ac:dyDescent="0.35">
      <c r="G30" s="5"/>
      <c r="H30" s="59"/>
      <c r="I30" s="2"/>
    </row>
    <row r="31" spans="1:9" s="1" customFormat="1" ht="18.75" customHeight="1" x14ac:dyDescent="0.35">
      <c r="G31" s="5"/>
      <c r="H31" s="59"/>
      <c r="I31" s="2"/>
    </row>
    <row r="32" spans="1:9" s="1" customFormat="1" ht="18.75" customHeight="1" x14ac:dyDescent="0.35">
      <c r="G32" s="5"/>
      <c r="H32" s="59"/>
      <c r="I32" s="2"/>
    </row>
    <row r="33" spans="1:10" s="1" customFormat="1" ht="18.75" customHeight="1" x14ac:dyDescent="0.35">
      <c r="G33" s="5"/>
      <c r="H33" s="59"/>
      <c r="I33" s="2"/>
    </row>
    <row r="34" spans="1:10" s="1" customFormat="1" ht="18.75" customHeight="1" x14ac:dyDescent="0.35">
      <c r="G34" s="5"/>
      <c r="H34" s="59"/>
      <c r="I34" s="2"/>
    </row>
    <row r="35" spans="1:10" s="1" customFormat="1" ht="18.75" customHeight="1" x14ac:dyDescent="0.35">
      <c r="G35" s="5"/>
      <c r="H35" s="59"/>
      <c r="I35" s="2"/>
    </row>
    <row r="36" spans="1:10" s="1" customFormat="1" ht="18.75" customHeight="1" x14ac:dyDescent="0.35">
      <c r="G36" s="5"/>
      <c r="H36" s="59"/>
      <c r="I36" s="2"/>
    </row>
    <row r="37" spans="1:10" s="1" customFormat="1" ht="18.75" customHeight="1" x14ac:dyDescent="0.35">
      <c r="B37" s="1" t="s">
        <v>2</v>
      </c>
      <c r="G37" s="5" t="s">
        <v>33</v>
      </c>
      <c r="H37" s="19">
        <f>80*9.81</f>
        <v>784.80000000000007</v>
      </c>
      <c r="I37" s="2" t="s">
        <v>3</v>
      </c>
    </row>
    <row r="38" spans="1:10" s="1" customFormat="1" ht="18.75" customHeight="1" x14ac:dyDescent="0.35">
      <c r="B38" s="1" t="s">
        <v>6</v>
      </c>
      <c r="G38" s="5"/>
      <c r="H38" s="12"/>
      <c r="I38" s="2"/>
    </row>
    <row r="39" spans="1:10" s="1" customFormat="1" ht="18.75" customHeight="1" x14ac:dyDescent="0.35">
      <c r="B39" s="13" t="s">
        <v>4</v>
      </c>
      <c r="G39" s="5" t="s">
        <v>34</v>
      </c>
      <c r="H39" s="19">
        <f>8*9.81</f>
        <v>78.48</v>
      </c>
      <c r="I39" s="2" t="s">
        <v>8</v>
      </c>
      <c r="J39" s="1" t="s">
        <v>35</v>
      </c>
    </row>
    <row r="40" spans="1:10" s="1" customFormat="1" ht="18.75" customHeight="1" x14ac:dyDescent="0.35">
      <c r="B40" s="13" t="s">
        <v>5</v>
      </c>
      <c r="G40" s="5" t="s">
        <v>36</v>
      </c>
      <c r="H40" s="19">
        <f>10*9.81</f>
        <v>98.100000000000009</v>
      </c>
      <c r="I40" s="2" t="s">
        <v>8</v>
      </c>
      <c r="J40" s="34"/>
    </row>
    <row r="41" spans="1:10" s="1" customFormat="1" ht="18.75" customHeight="1" x14ac:dyDescent="0.35">
      <c r="B41" s="1" t="s">
        <v>7</v>
      </c>
      <c r="G41" s="5"/>
      <c r="H41" s="12"/>
      <c r="I41" s="2"/>
    </row>
    <row r="42" spans="1:10" s="1" customFormat="1" ht="18.75" customHeight="1" x14ac:dyDescent="0.35">
      <c r="B42" s="13" t="s">
        <v>4</v>
      </c>
      <c r="G42" s="5" t="s">
        <v>37</v>
      </c>
      <c r="H42" s="19">
        <f>3.8*9.81</f>
        <v>37.277999999999999</v>
      </c>
      <c r="I42" s="2" t="s">
        <v>8</v>
      </c>
    </row>
    <row r="43" spans="1:10" s="1" customFormat="1" ht="18.75" customHeight="1" x14ac:dyDescent="0.35">
      <c r="B43" s="13" t="s">
        <v>5</v>
      </c>
      <c r="G43" s="5" t="s">
        <v>38</v>
      </c>
      <c r="H43" s="19">
        <f>-4*9.81</f>
        <v>-39.24</v>
      </c>
      <c r="I43" s="2" t="s">
        <v>8</v>
      </c>
    </row>
    <row r="44" spans="1:10" s="1" customFormat="1" ht="18.75" customHeight="1" x14ac:dyDescent="0.35">
      <c r="B44" s="10" t="s">
        <v>197</v>
      </c>
      <c r="G44" s="5" t="s">
        <v>199</v>
      </c>
      <c r="H44" s="19">
        <v>48.65</v>
      </c>
      <c r="I44" s="2" t="s">
        <v>8</v>
      </c>
    </row>
    <row r="45" spans="1:10" s="1" customFormat="1" ht="18.75" customHeight="1" x14ac:dyDescent="0.35">
      <c r="B45" s="10" t="s">
        <v>198</v>
      </c>
      <c r="G45" s="5" t="s">
        <v>200</v>
      </c>
      <c r="H45" s="55">
        <v>33.258000000000003</v>
      </c>
      <c r="I45" s="2" t="s">
        <v>8</v>
      </c>
    </row>
    <row r="46" spans="1:10" s="1" customFormat="1" ht="18.75" customHeight="1" x14ac:dyDescent="0.35">
      <c r="B46" s="10"/>
      <c r="G46" s="5"/>
      <c r="H46" s="5"/>
      <c r="I46" s="5"/>
    </row>
    <row r="47" spans="1:10" s="1" customFormat="1" ht="18.75" customHeight="1" x14ac:dyDescent="0.35">
      <c r="A47" s="58" t="s">
        <v>222</v>
      </c>
      <c r="B47" s="23" t="s">
        <v>225</v>
      </c>
      <c r="C47" s="23"/>
      <c r="D47" s="23"/>
      <c r="E47" s="23"/>
      <c r="F47" s="23"/>
      <c r="G47" s="23"/>
      <c r="H47" s="23"/>
      <c r="I47" s="23"/>
    </row>
    <row r="48" spans="1:10" s="1" customFormat="1" ht="18.75" customHeight="1" x14ac:dyDescent="0.35">
      <c r="A48" s="61" t="s">
        <v>223</v>
      </c>
      <c r="B48" s="25" t="s">
        <v>224</v>
      </c>
      <c r="C48" s="24"/>
      <c r="D48" s="24"/>
      <c r="E48" s="24"/>
      <c r="F48" s="24"/>
      <c r="G48" s="26"/>
      <c r="H48" s="62"/>
      <c r="I48" s="28"/>
    </row>
    <row r="49" spans="1:9" s="1" customFormat="1" ht="18.75" customHeight="1" x14ac:dyDescent="0.35">
      <c r="B49" s="1" t="s">
        <v>16</v>
      </c>
      <c r="G49" s="5" t="s">
        <v>261</v>
      </c>
      <c r="H49" s="11">
        <f>2*H16*H14+(H13-2*H16)*H15+4*H17^2*(1-0.25*PI())</f>
        <v>11978.123980236907</v>
      </c>
      <c r="I49" s="2" t="s">
        <v>39</v>
      </c>
    </row>
    <row r="50" spans="1:9" s="1" customFormat="1" ht="18.75" customHeight="1" x14ac:dyDescent="0.35">
      <c r="G50" s="5"/>
      <c r="H50" s="3"/>
      <c r="I50" s="2"/>
    </row>
    <row r="51" spans="1:9" s="1" customFormat="1" ht="18.75" customHeight="1" x14ac:dyDescent="0.35">
      <c r="B51" s="76"/>
      <c r="C51" s="76" t="s">
        <v>17</v>
      </c>
      <c r="D51" s="76"/>
      <c r="E51" s="76" t="s">
        <v>18</v>
      </c>
      <c r="F51" s="76"/>
      <c r="G51" s="76" t="s">
        <v>19</v>
      </c>
      <c r="H51" s="76"/>
      <c r="I51" s="2"/>
    </row>
    <row r="52" spans="1:9" s="1" customFormat="1" ht="18.75" customHeight="1" x14ac:dyDescent="0.35">
      <c r="B52" s="76"/>
      <c r="C52" s="14" t="s">
        <v>40</v>
      </c>
      <c r="D52" s="14" t="s">
        <v>41</v>
      </c>
      <c r="E52" s="14" t="s">
        <v>42</v>
      </c>
      <c r="F52" s="14" t="s">
        <v>43</v>
      </c>
      <c r="G52" s="14" t="s">
        <v>44</v>
      </c>
      <c r="H52" s="14" t="s">
        <v>45</v>
      </c>
    </row>
    <row r="53" spans="1:9" s="1" customFormat="1" ht="18.75" customHeight="1" x14ac:dyDescent="0.35">
      <c r="B53" s="15" t="s">
        <v>20</v>
      </c>
      <c r="C53" s="16">
        <f>1/12*H15*(H13-2*H16)^3+2*1/12*H14*H16^3+2*H14*H16*(0.5*H13-0.5*H16)^2</f>
        <v>199327500</v>
      </c>
      <c r="D53" s="16">
        <f>1/12*(H13-2*H16)*H16^3+2*1/12*H16*H14^3</f>
        <v>67575937.5</v>
      </c>
      <c r="E53" s="16">
        <f>C53/(0.5*H13)</f>
        <v>1328850</v>
      </c>
      <c r="F53" s="16">
        <f>D53/(0.5*H14)</f>
        <v>450506.25</v>
      </c>
      <c r="G53" s="16">
        <f>H14*H16*(H13-H16)+H15*(0.5*H13-H16)^2</f>
        <v>1464750</v>
      </c>
      <c r="H53" s="16">
        <f>0.5*H16*H14^2+0.25*(H13-2*H16)*H15^2</f>
        <v>681750</v>
      </c>
      <c r="I53" s="2"/>
    </row>
    <row r="54" spans="1:9" s="1" customFormat="1" ht="18.75" customHeight="1" x14ac:dyDescent="0.35">
      <c r="B54" s="15" t="s">
        <v>21</v>
      </c>
      <c r="C54" s="4" t="s">
        <v>46</v>
      </c>
      <c r="D54" s="4" t="s">
        <v>46</v>
      </c>
      <c r="E54" s="4" t="s">
        <v>47</v>
      </c>
      <c r="F54" s="4" t="s">
        <v>47</v>
      </c>
      <c r="G54" s="4" t="s">
        <v>47</v>
      </c>
      <c r="H54" s="4" t="s">
        <v>47</v>
      </c>
      <c r="I54" s="2"/>
    </row>
    <row r="55" spans="1:9" s="1" customFormat="1" ht="18.75" customHeight="1" x14ac:dyDescent="0.35">
      <c r="G55" s="5"/>
      <c r="H55" s="3"/>
      <c r="I55" s="2"/>
    </row>
    <row r="56" spans="1:9" s="1" customFormat="1" ht="18.75" customHeight="1" x14ac:dyDescent="0.35">
      <c r="A56" s="61" t="s">
        <v>226</v>
      </c>
      <c r="B56" s="25" t="s">
        <v>52</v>
      </c>
      <c r="C56" s="24"/>
      <c r="D56" s="24"/>
      <c r="E56" s="24"/>
      <c r="F56" s="24"/>
      <c r="G56" s="26"/>
      <c r="H56" s="27"/>
      <c r="I56" s="28"/>
    </row>
    <row r="57" spans="1:9" s="1" customFormat="1" ht="18.75" customHeight="1" x14ac:dyDescent="0.35">
      <c r="A57" s="24"/>
      <c r="B57" s="25" t="s">
        <v>22</v>
      </c>
      <c r="C57" s="24"/>
      <c r="D57" s="24"/>
      <c r="E57" s="24"/>
      <c r="F57" s="24"/>
      <c r="G57" s="26"/>
      <c r="H57" s="27"/>
      <c r="I57" s="28"/>
    </row>
    <row r="58" spans="1:9" s="1" customFormat="1" ht="18.75" customHeight="1" x14ac:dyDescent="0.35">
      <c r="B58" s="1" t="s">
        <v>23</v>
      </c>
      <c r="G58" s="5" t="s">
        <v>48</v>
      </c>
      <c r="H58" s="11">
        <f>MIN(ABS(H39),ABS(H40))</f>
        <v>78.48</v>
      </c>
      <c r="I58" s="2" t="s">
        <v>8</v>
      </c>
    </row>
    <row r="59" spans="1:9" s="1" customFormat="1" ht="18.75" customHeight="1" x14ac:dyDescent="0.35">
      <c r="B59" s="1" t="s">
        <v>24</v>
      </c>
      <c r="G59" s="5" t="s">
        <v>49</v>
      </c>
      <c r="H59" s="11">
        <f>MAX(ABS(H39),ABS(H40))</f>
        <v>98.100000000000009</v>
      </c>
      <c r="I59" s="2" t="s">
        <v>8</v>
      </c>
    </row>
    <row r="60" spans="1:9" s="1" customFormat="1" ht="18.75" customHeight="1" x14ac:dyDescent="0.35">
      <c r="B60" s="1" t="s">
        <v>50</v>
      </c>
      <c r="G60" s="5" t="s">
        <v>51</v>
      </c>
      <c r="H60" s="11">
        <f>(MAX((0.6-0.4*IF(H39*H40&lt;0,-H58/H59,IF(H39*H40&gt;=0,H58/H59)))/(1-1*H37/(PI()^2*H7*C53/(1*(IF(H39*H40&lt;0,H10,IF(H39*H40&gt;=0,0.5*H10,"[ EROR ]"))))^2*1/1000)),1))*MAX(ABS(H39),ABS(H40))</f>
        <v>98.100000000000009</v>
      </c>
      <c r="I60" s="2" t="s">
        <v>8</v>
      </c>
    </row>
    <row r="61" spans="1:9" s="1" customFormat="1" ht="18.75" customHeight="1" x14ac:dyDescent="0.35">
      <c r="G61" s="5"/>
      <c r="H61" s="3"/>
      <c r="I61" s="2"/>
    </row>
    <row r="62" spans="1:9" s="1" customFormat="1" ht="18.75" customHeight="1" x14ac:dyDescent="0.35">
      <c r="A62" s="24"/>
      <c r="B62" s="25" t="s">
        <v>165</v>
      </c>
      <c r="C62" s="24"/>
      <c r="D62" s="24"/>
      <c r="E62" s="24"/>
      <c r="F62" s="24"/>
      <c r="G62" s="26"/>
      <c r="H62" s="27"/>
      <c r="I62" s="28"/>
    </row>
    <row r="63" spans="1:9" s="1" customFormat="1" ht="18.75" customHeight="1" x14ac:dyDescent="0.35">
      <c r="B63" s="1" t="s">
        <v>23</v>
      </c>
      <c r="G63" s="5" t="s">
        <v>48</v>
      </c>
      <c r="H63" s="11">
        <f>MIN(ABS(H42),ABS(H43))</f>
        <v>37.277999999999999</v>
      </c>
      <c r="I63" s="2" t="s">
        <v>8</v>
      </c>
    </row>
    <row r="64" spans="1:9" s="1" customFormat="1" ht="18.75" customHeight="1" x14ac:dyDescent="0.35">
      <c r="B64" s="1" t="s">
        <v>24</v>
      </c>
      <c r="G64" s="5" t="s">
        <v>49</v>
      </c>
      <c r="H64" s="11">
        <f>MAX(ABS(H42),ABS(H43))</f>
        <v>39.24</v>
      </c>
      <c r="I64" s="2" t="s">
        <v>8</v>
      </c>
    </row>
    <row r="65" spans="1:9" s="1" customFormat="1" ht="18.75" customHeight="1" x14ac:dyDescent="0.35">
      <c r="B65" s="1" t="s">
        <v>50</v>
      </c>
      <c r="G65" s="5" t="s">
        <v>53</v>
      </c>
      <c r="H65" s="11">
        <f>(MAX((0.6-0.4*IF(H42*H43&lt;0,-H63/H64,IF(H42*H43&gt;=0,H63/H64)))/(1-1*H37/(PI()^2*H7*D53/(1*(IF(H42*H43&lt;0,H10,IF(H42*H43&gt;=0,0.5*H10,"[ EROR ]"))))^2*1/1000)),1))*MAX(ABS(H42),ABS(H43))</f>
        <v>42.451419892777814</v>
      </c>
      <c r="I65" s="2" t="s">
        <v>8</v>
      </c>
    </row>
    <row r="66" spans="1:9" s="1" customFormat="1" ht="18.75" customHeight="1" x14ac:dyDescent="0.35">
      <c r="G66" s="5"/>
      <c r="H66" s="3"/>
      <c r="I66" s="2"/>
    </row>
    <row r="67" spans="1:9" s="1" customFormat="1" ht="18.75" customHeight="1" x14ac:dyDescent="0.35">
      <c r="A67" s="61" t="s">
        <v>228</v>
      </c>
      <c r="B67" s="25" t="s">
        <v>227</v>
      </c>
      <c r="C67" s="24"/>
      <c r="D67" s="24"/>
      <c r="E67" s="24"/>
      <c r="F67" s="24"/>
      <c r="G67" s="26"/>
      <c r="H67" s="27"/>
      <c r="I67" s="28"/>
    </row>
    <row r="68" spans="1:9" s="1" customFormat="1" ht="18.75" customHeight="1" x14ac:dyDescent="0.35">
      <c r="B68" s="1" t="s">
        <v>262</v>
      </c>
      <c r="E68" s="4" t="str">
        <f>IF((0.5*(H14-H15)/H16)&lt;(0.38*SQRT(H7/H5)),"λ &lt; λp",IF((0.38*SQRT(H7/H5))&lt;(0.5*(H14-H15)/H16),IF((0.5*(H14-H15)/H16)&lt;(1*SQRT(H7/H5)),"λp &lt; λ &lt; λr",IF((0.5*(H14-H15)/H16)&gt;(1*SQRT(H7/H5)),"λr &lt; λ","[ EROR ]"))))</f>
        <v>λ &lt; λp</v>
      </c>
      <c r="F68" s="30" t="s">
        <v>55</v>
      </c>
      <c r="G68" s="77" t="str">
        <f>IF((0.5*(H14-H15)/H16)&lt;(0.38*SQRT(H7/H5)),"[ KOMPAK ]",IF((0.38*SQRT(H7/H5))&lt;(0.5*(H14-H15)/H16),IF((0.5*(H14-H15)/H16)&lt;(1*SQRT(H7/H5)),"[ NON KOMPAK ]",IF((0.5*(H14-H15)/H16)&gt;(1*SQRT(H7/H5)),"[ LANGSING ]","[ EROR ]"))))</f>
        <v>[ KOMPAK ]</v>
      </c>
      <c r="H68" s="78"/>
      <c r="I68" s="2"/>
    </row>
    <row r="69" spans="1:9" s="1" customFormat="1" ht="18.75" customHeight="1" x14ac:dyDescent="0.35">
      <c r="B69" s="1" t="s">
        <v>263</v>
      </c>
      <c r="E69" s="4" t="str">
        <f>IF(((H13-2*(H16+H17))/H15)&lt;(3.76*SQRT(H7/H5)),"λ &lt; λp",IF((3.76*SQRT(H7/H5))&lt;((H13-2*(H16+H17))/H15),IF(((H13-2*(H16+H17))/H15)&lt;(5.7*SQRT(H7/H5)),"λp &lt; λ &lt; λr",IF(((H13-2*(H16+H17))/H15)&gt;(5.7*SQRT(H7/H5)),"λr &lt; λ","[ EROR ]"))))</f>
        <v>λ &lt; λp</v>
      </c>
      <c r="F69" s="30" t="s">
        <v>55</v>
      </c>
      <c r="G69" s="77" t="str">
        <f>IF(((H13-2*(H16+H17))/H15)&lt;(3.76*SQRT(H7/H5)),"[ KOMPAK ]",IF((3.76*SQRT(H7/H5))&lt;((H13-2*(H16+H17))/H15),IF(((H13-2*(H16+H17))/H15)&lt;(5.7*SQRT(H7/H5)),"[ NON KOMPAK ]",IF(((H13-2*(H16+H17))/H15)&gt;(5.7*SQRT(H7/H5)),"[ LANGSING ]","[ EROR ]"))))</f>
        <v>[ KOMPAK ]</v>
      </c>
      <c r="H69" s="78"/>
      <c r="I69" s="2"/>
    </row>
    <row r="70" spans="1:9" s="1" customFormat="1" ht="18.75" customHeight="1" x14ac:dyDescent="0.35">
      <c r="G70" s="5"/>
      <c r="H70" s="3"/>
      <c r="I70" s="2"/>
    </row>
    <row r="71" spans="1:9" s="1" customFormat="1" ht="18.75" customHeight="1" x14ac:dyDescent="0.35">
      <c r="B71" s="1" t="s">
        <v>56</v>
      </c>
      <c r="G71" s="5"/>
      <c r="H71" s="3"/>
      <c r="I71" s="2"/>
    </row>
    <row r="72" spans="1:9" s="1" customFormat="1" ht="18.75" customHeight="1" x14ac:dyDescent="0.35">
      <c r="B72" s="29" t="s">
        <v>59</v>
      </c>
      <c r="G72" s="5"/>
      <c r="H72" s="3"/>
      <c r="I72" s="2"/>
    </row>
    <row r="73" spans="1:9" s="31" customFormat="1" ht="18.75" customHeight="1" x14ac:dyDescent="0.35">
      <c r="B73" s="72" t="s">
        <v>57</v>
      </c>
      <c r="C73" s="73"/>
      <c r="D73" s="72" t="s">
        <v>58</v>
      </c>
      <c r="E73" s="73"/>
      <c r="F73" s="71" t="s">
        <v>146</v>
      </c>
      <c r="G73" s="71"/>
      <c r="H73" s="71"/>
    </row>
    <row r="74" spans="1:9" s="31" customFormat="1" ht="18.75" customHeight="1" x14ac:dyDescent="0.35">
      <c r="B74" s="74"/>
      <c r="C74" s="75"/>
      <c r="D74" s="74"/>
      <c r="E74" s="75"/>
      <c r="F74" s="47" t="s">
        <v>150</v>
      </c>
      <c r="G74" s="47" t="s">
        <v>151</v>
      </c>
      <c r="H74" s="47" t="s">
        <v>152</v>
      </c>
    </row>
    <row r="75" spans="1:9" s="1" customFormat="1" ht="18.75" customHeight="1" x14ac:dyDescent="0.35">
      <c r="B75" s="48"/>
      <c r="C75" s="49"/>
      <c r="D75" s="48"/>
      <c r="E75" s="49"/>
      <c r="F75" s="44" t="s">
        <v>139</v>
      </c>
      <c r="G75" s="44" t="s">
        <v>143</v>
      </c>
      <c r="H75" s="44" t="str">
        <f>IF(B77="c",IF(D77="c","[ Perlu ]","-"),"-")</f>
        <v>[ Perlu ]</v>
      </c>
      <c r="I75" s="2"/>
    </row>
    <row r="76" spans="1:9" s="1" customFormat="1" ht="18.75" customHeight="1" x14ac:dyDescent="0.35">
      <c r="B76" s="69" t="str">
        <f>G68</f>
        <v>[ KOMPAK ]</v>
      </c>
      <c r="C76" s="70"/>
      <c r="D76" s="69" t="str">
        <f>G69</f>
        <v>[ KOMPAK ]</v>
      </c>
      <c r="E76" s="70"/>
      <c r="F76" s="44" t="s">
        <v>140</v>
      </c>
      <c r="G76" s="44" t="s">
        <v>144</v>
      </c>
      <c r="H76" s="44" t="str">
        <f>IF(B77="nc",IF(D77="c","[ Perlu ]","-"),IF(B77="s",IF(D77="c","[ Perlu ]","-"),"-"))</f>
        <v>-</v>
      </c>
      <c r="I76" s="2"/>
    </row>
    <row r="77" spans="1:9" s="1" customFormat="1" ht="18.75" customHeight="1" x14ac:dyDescent="0.35">
      <c r="B77" s="69" t="str">
        <f>IF((0.5*(H14-H15)/H16)&lt;(1*SQRT(H7/H5)),"c",IF((1*SQRT(H7/H5))&lt;(0.5*(H14-H15)/H16),IF((0.5*(H14-H15)/H16)&lt;(1*SQRT(H7/H5)),"nc",IF((0.5*(H14-H15)/H16)&gt;(1*SQRT(H7/H5)),"s","[ EROR ]"))))</f>
        <v>c</v>
      </c>
      <c r="C77" s="70"/>
      <c r="D77" s="69" t="str">
        <f>IF(((H13-2*(H16+H17))/H15)&lt;(3.76*SQRT(H7/H5)),"c",IF((3.76*SQRT(H7/H5))&lt;((H13-2*(H16+H17))/H15),IF(((H13-2*(H16+H17))/H15)&lt;(5.7*SQRT(H7/H5)),"nc",IF(((H13-2*(H16+H17))/H15)&gt;(5.7*SQRT(H7/H5)),"s","[ EROR ]"))))</f>
        <v>c</v>
      </c>
      <c r="E77" s="70"/>
      <c r="F77" s="44" t="s">
        <v>141</v>
      </c>
      <c r="G77" s="44" t="s">
        <v>145</v>
      </c>
      <c r="H77" s="44" t="str">
        <f>IF(D77="c","[ Perlu ]",IF(D77="nc","[ Perlu ]","-"))</f>
        <v>[ Perlu ]</v>
      </c>
      <c r="I77" s="2"/>
    </row>
    <row r="78" spans="1:9" s="1" customFormat="1" ht="18.75" customHeight="1" x14ac:dyDescent="0.35">
      <c r="B78" s="50"/>
      <c r="C78" s="51"/>
      <c r="D78" s="50"/>
      <c r="E78" s="51"/>
      <c r="F78" s="44" t="s">
        <v>142</v>
      </c>
      <c r="G78" s="44" t="s">
        <v>145</v>
      </c>
      <c r="H78" s="44" t="str">
        <f>IF(D77="s","[ Perlu ]","-")</f>
        <v>-</v>
      </c>
      <c r="I78" s="2"/>
    </row>
    <row r="79" spans="1:9" s="1" customFormat="1" ht="18.75" customHeight="1" x14ac:dyDescent="0.35">
      <c r="B79" s="63" t="s">
        <v>205</v>
      </c>
      <c r="C79" s="8"/>
      <c r="D79" s="8"/>
      <c r="E79" s="8"/>
      <c r="F79" s="45"/>
      <c r="G79" s="45"/>
      <c r="H79" s="45"/>
    </row>
    <row r="80" spans="1:9" s="1" customFormat="1" ht="18.75" customHeight="1" x14ac:dyDescent="0.35">
      <c r="B80" s="8"/>
      <c r="C80" s="8"/>
      <c r="D80" s="8"/>
      <c r="E80" s="8"/>
      <c r="F80" s="8"/>
      <c r="G80" s="6"/>
      <c r="H80" s="45"/>
      <c r="I80" s="2"/>
    </row>
    <row r="81" spans="1:9" s="1" customFormat="1" ht="18.75" customHeight="1" x14ac:dyDescent="0.35">
      <c r="B81" s="46" t="s">
        <v>61</v>
      </c>
      <c r="C81" s="8"/>
      <c r="D81" s="8"/>
      <c r="E81" s="8"/>
      <c r="F81" s="8"/>
      <c r="G81" s="6"/>
      <c r="H81" s="9"/>
      <c r="I81" s="2"/>
    </row>
    <row r="82" spans="1:9" s="1" customFormat="1" ht="18.75" customHeight="1" x14ac:dyDescent="0.35">
      <c r="B82" s="71" t="s">
        <v>57</v>
      </c>
      <c r="C82" s="71"/>
      <c r="D82" s="71" t="s">
        <v>58</v>
      </c>
      <c r="E82" s="71"/>
      <c r="F82" s="71" t="s">
        <v>146</v>
      </c>
      <c r="G82" s="71"/>
      <c r="H82" s="71"/>
      <c r="I82" s="2"/>
    </row>
    <row r="83" spans="1:9" s="1" customFormat="1" ht="18.75" customHeight="1" x14ac:dyDescent="0.35">
      <c r="B83" s="71"/>
      <c r="C83" s="71"/>
      <c r="D83" s="71"/>
      <c r="E83" s="71"/>
      <c r="F83" s="47" t="s">
        <v>150</v>
      </c>
      <c r="G83" s="47" t="s">
        <v>151</v>
      </c>
      <c r="H83" s="47" t="s">
        <v>152</v>
      </c>
      <c r="I83" s="2"/>
    </row>
    <row r="84" spans="1:9" s="1" customFormat="1" ht="18.75" customHeight="1" x14ac:dyDescent="0.35">
      <c r="B84" s="69" t="str">
        <f>B76</f>
        <v>[ KOMPAK ]</v>
      </c>
      <c r="C84" s="70"/>
      <c r="D84" s="69" t="str">
        <f>D76</f>
        <v>[ KOMPAK ]</v>
      </c>
      <c r="E84" s="70"/>
      <c r="F84" s="83" t="s">
        <v>147</v>
      </c>
      <c r="G84" s="83" t="s">
        <v>149</v>
      </c>
      <c r="H84" s="83" t="s">
        <v>148</v>
      </c>
      <c r="I84" s="2"/>
    </row>
    <row r="85" spans="1:9" s="1" customFormat="1" ht="18.75" customHeight="1" x14ac:dyDescent="0.35">
      <c r="B85" s="81" t="str">
        <f>B77</f>
        <v>c</v>
      </c>
      <c r="C85" s="82"/>
      <c r="D85" s="81" t="str">
        <f>D77</f>
        <v>c</v>
      </c>
      <c r="E85" s="82"/>
      <c r="F85" s="84"/>
      <c r="G85" s="84"/>
      <c r="H85" s="84"/>
      <c r="I85" s="2"/>
    </row>
    <row r="86" spans="1:9" s="1" customFormat="1" ht="18.75" customHeight="1" x14ac:dyDescent="0.35">
      <c r="B86" s="63" t="s">
        <v>205</v>
      </c>
      <c r="G86" s="5"/>
      <c r="H86" s="3"/>
      <c r="I86" s="2"/>
    </row>
    <row r="87" spans="1:9" s="1" customFormat="1" ht="18.75" customHeight="1" x14ac:dyDescent="0.35">
      <c r="G87" s="5"/>
      <c r="H87" s="3"/>
      <c r="I87" s="2"/>
    </row>
    <row r="88" spans="1:9" s="1" customFormat="1" ht="18.75" customHeight="1" x14ac:dyDescent="0.35">
      <c r="G88" s="5"/>
      <c r="H88" s="3"/>
      <c r="I88" s="2"/>
    </row>
    <row r="89" spans="1:9" s="1" customFormat="1" ht="18.75" customHeight="1" x14ac:dyDescent="0.35">
      <c r="A89" s="61" t="s">
        <v>230</v>
      </c>
      <c r="B89" s="25" t="s">
        <v>229</v>
      </c>
      <c r="C89" s="24"/>
      <c r="D89" s="24"/>
      <c r="E89" s="24"/>
      <c r="F89" s="24"/>
      <c r="G89" s="26"/>
      <c r="H89" s="27"/>
      <c r="I89" s="28"/>
    </row>
    <row r="90" spans="1:9" s="1" customFormat="1" ht="18.75" customHeight="1" x14ac:dyDescent="0.35">
      <c r="B90" s="1" t="s">
        <v>183</v>
      </c>
      <c r="G90" s="5" t="s">
        <v>184</v>
      </c>
      <c r="H90" s="33">
        <f>MAX(12.5*ABS(MAX(ABS(H39),ABS(H40)))/(2.5*ABS(MAX(ABS(H39),ABS(H40)))+3*ABS(IF($H$39*$H$40&gt;0,(H39+H40)*1/4-H40,H39+3/4*(H40-H39)))+4*ABS(IF($H$39*$H$40&gt;0,(H39+H40)*2/4-H40,H39+2/4*(H40-H39)))+3*ABS(IF($H$39*$H$40&gt;0,(H39+H40)*3/4-H40,H39+1/4*(H40-H39)))),1)</f>
        <v>2.2321428571428572</v>
      </c>
      <c r="I90" s="2"/>
    </row>
    <row r="91" spans="1:9" s="1" customFormat="1" ht="18.75" customHeight="1" x14ac:dyDescent="0.35">
      <c r="G91" s="5"/>
      <c r="H91" s="3"/>
      <c r="I91" s="2"/>
    </row>
    <row r="92" spans="1:9" s="1" customFormat="1" ht="18.75" customHeight="1" x14ac:dyDescent="0.35">
      <c r="A92" s="58" t="s">
        <v>231</v>
      </c>
      <c r="B92" s="23" t="s">
        <v>256</v>
      </c>
      <c r="C92" s="64"/>
      <c r="D92" s="64"/>
      <c r="E92" s="64"/>
      <c r="F92" s="64"/>
      <c r="G92" s="65"/>
      <c r="H92" s="66"/>
      <c r="I92" s="67"/>
    </row>
    <row r="93" spans="1:9" s="1" customFormat="1" ht="18.75" customHeight="1" x14ac:dyDescent="0.35">
      <c r="A93" s="61" t="s">
        <v>232</v>
      </c>
      <c r="B93" s="25" t="s">
        <v>75</v>
      </c>
      <c r="C93" s="24"/>
      <c r="D93" s="24"/>
      <c r="E93" s="24"/>
      <c r="F93" s="24"/>
      <c r="G93" s="26"/>
      <c r="H93" s="27"/>
      <c r="I93" s="28"/>
    </row>
    <row r="94" spans="1:9" s="1" customFormat="1" ht="18.75" customHeight="1" x14ac:dyDescent="0.35">
      <c r="B94" s="29" t="s">
        <v>60</v>
      </c>
      <c r="E94" s="29" t="str">
        <f>IF($H$75="-",": [ TIDAK PERLU ]",": [ PERLU ]")</f>
        <v>: [ PERLU ]</v>
      </c>
      <c r="G94" s="5"/>
      <c r="H94" s="3"/>
      <c r="I94" s="2"/>
    </row>
    <row r="95" spans="1:9" s="1" customFormat="1" ht="18.75" customHeight="1" x14ac:dyDescent="0.35">
      <c r="B95" s="1" t="s">
        <v>82</v>
      </c>
      <c r="G95" s="5" t="s">
        <v>86</v>
      </c>
      <c r="H95" s="52">
        <f>H5*G53/1000^2</f>
        <v>351.54</v>
      </c>
      <c r="I95" s="2" t="s">
        <v>8</v>
      </c>
    </row>
    <row r="96" spans="1:9" s="1" customFormat="1" ht="18.75" customHeight="1" x14ac:dyDescent="0.35">
      <c r="G96" s="5"/>
      <c r="H96" s="3"/>
      <c r="I96" s="2"/>
    </row>
    <row r="97" spans="2:10" s="1" customFormat="1" ht="18.75" customHeight="1" x14ac:dyDescent="0.35">
      <c r="B97" s="29" t="s">
        <v>73</v>
      </c>
      <c r="E97" s="29" t="str">
        <f>IF($H$75="-",": [ TIDAK PERLU ]",": [ PERLU ]")</f>
        <v>: [ PERLU ]</v>
      </c>
      <c r="G97" s="5"/>
      <c r="H97" s="3"/>
      <c r="I97" s="2"/>
    </row>
    <row r="98" spans="2:10" s="1" customFormat="1" ht="18.75" customHeight="1" x14ac:dyDescent="0.35">
      <c r="B98" s="1" t="s">
        <v>74</v>
      </c>
      <c r="G98" s="5" t="s">
        <v>264</v>
      </c>
      <c r="H98" s="33">
        <f>1.76*(SQRT(D53/H49))*SQRT(H7/H5)/1000</f>
        <v>3.8161345835786009</v>
      </c>
      <c r="I98" s="2" t="s">
        <v>79</v>
      </c>
    </row>
    <row r="99" spans="2:10" s="1" customFormat="1" ht="18.75" customHeight="1" x14ac:dyDescent="0.35">
      <c r="B99" s="1" t="s">
        <v>78</v>
      </c>
      <c r="G99" s="5" t="s">
        <v>265</v>
      </c>
      <c r="H99" s="33">
        <f>(1.95*(MIN(SQRT(0.5*D53*(H13-H16)/E53),H14/SQRT(12*(1+1/6*(H13*H15)/(H14*H16)))))*H7/(0.7*H5)*SQRT((1/3*((2*H14*H16^3)+((H13-H16)*H15^3)))*1/(E53*(H13-H16))+SQRT(((1/3*((2*H14*H16^3)+((H13-H16)*H15^3)))*1/(E53*(H13-H16)))^2+6.76*(0.7*H5/H7)^2)))/1000</f>
        <v>13.509237432909314</v>
      </c>
      <c r="I99" s="2" t="s">
        <v>79</v>
      </c>
    </row>
    <row r="100" spans="2:10" s="1" customFormat="1" ht="18.75" customHeight="1" x14ac:dyDescent="0.35">
      <c r="B100" s="1" t="s">
        <v>80</v>
      </c>
      <c r="G100" s="5" t="s">
        <v>81</v>
      </c>
      <c r="H100" s="33">
        <f>$H$10/1000</f>
        <v>4</v>
      </c>
      <c r="I100" s="2" t="s">
        <v>79</v>
      </c>
    </row>
    <row r="101" spans="2:10" s="1" customFormat="1" ht="18.75" customHeight="1" x14ac:dyDescent="0.35">
      <c r="B101" s="1" t="s">
        <v>84</v>
      </c>
      <c r="G101" s="5" t="s">
        <v>266</v>
      </c>
      <c r="H101" s="11">
        <f>H90*PI()^2*H7/(H100*1000/(MIN(SQRT(0.5*D53*(H13-H16)/E53),H14/SQRT(12*(1+1/6*(H13*H15)/(H14*H16))))))^2*SQRT(1+0.078*((1/3*((2*H14*H16^3)+((H13-H16)*H15^3)))*1/(E53*(H13-H16)))*(H100*1000/(MIN(SQRT(0.5*D53*(H13-H16)/E53),H14/SQRT(12*(1+1/6*(H13*H15)/(H14*H16))))))^2)</f>
        <v>2180.3695026533283</v>
      </c>
      <c r="I101" s="2" t="s">
        <v>15</v>
      </c>
    </row>
    <row r="102" spans="2:10" s="1" customFormat="1" ht="18.75" customHeight="1" x14ac:dyDescent="0.35">
      <c r="G102" s="5"/>
      <c r="H102" s="3"/>
      <c r="I102" s="2"/>
    </row>
    <row r="103" spans="2:10" s="1" customFormat="1" ht="18.75" customHeight="1" x14ac:dyDescent="0.35">
      <c r="B103" s="1" t="s">
        <v>83</v>
      </c>
      <c r="G103" s="5"/>
      <c r="H103" s="3"/>
      <c r="I103" s="2"/>
    </row>
    <row r="104" spans="2:10" s="1" customFormat="1" ht="18.75" customHeight="1" x14ac:dyDescent="0.35">
      <c r="B104" s="42" t="s">
        <v>76</v>
      </c>
      <c r="C104" s="37" t="s">
        <v>102</v>
      </c>
      <c r="D104" s="39"/>
      <c r="E104" s="39"/>
      <c r="F104" s="39"/>
      <c r="G104" s="40" t="s">
        <v>86</v>
      </c>
      <c r="H104" s="11" t="str">
        <f>IF(H100&lt;H98,H5*G53/10^6,"-")</f>
        <v>-</v>
      </c>
      <c r="I104" s="2" t="s">
        <v>8</v>
      </c>
    </row>
    <row r="105" spans="2:10" s="1" customFormat="1" ht="18.75" customHeight="1" x14ac:dyDescent="0.35">
      <c r="B105" s="42" t="s">
        <v>77</v>
      </c>
      <c r="C105" s="37" t="s">
        <v>103</v>
      </c>
      <c r="D105" s="39"/>
      <c r="E105" s="39"/>
      <c r="F105" s="39"/>
      <c r="G105" s="40" t="s">
        <v>86</v>
      </c>
      <c r="H105" s="11">
        <f>IF(H98&lt;H100,IF(H100&lt;H99,H90*(H5*G53-(H5*G53-0.7*H5*E53)*(H100-H98)/(H99-H98))/10^6,"-"),"-")</f>
        <v>779.25546133423256</v>
      </c>
      <c r="I105" s="2" t="s">
        <v>8</v>
      </c>
    </row>
    <row r="106" spans="2:10" s="1" customFormat="1" ht="18.75" customHeight="1" x14ac:dyDescent="0.35">
      <c r="B106" s="42" t="s">
        <v>85</v>
      </c>
      <c r="C106" s="37" t="s">
        <v>104</v>
      </c>
      <c r="D106" s="39"/>
      <c r="E106" s="39"/>
      <c r="F106" s="39"/>
      <c r="G106" s="40" t="s">
        <v>86</v>
      </c>
      <c r="H106" s="11" t="str">
        <f>IF(H100&gt;H99,H101*E53/10^6,"-")</f>
        <v>-</v>
      </c>
      <c r="I106" s="2" t="s">
        <v>8</v>
      </c>
    </row>
    <row r="107" spans="2:10" s="1" customFormat="1" ht="18.75" customHeight="1" x14ac:dyDescent="0.35">
      <c r="G107" s="5" t="s">
        <v>86</v>
      </c>
      <c r="H107" s="11">
        <f>MAX(H104:H106)</f>
        <v>779.25546133423256</v>
      </c>
      <c r="I107" s="2" t="s">
        <v>8</v>
      </c>
    </row>
    <row r="108" spans="2:10" s="1" customFormat="1" ht="18.75" customHeight="1" x14ac:dyDescent="0.35">
      <c r="B108" s="1" t="s">
        <v>87</v>
      </c>
      <c r="G108" s="5"/>
      <c r="H108" s="3"/>
      <c r="I108" s="2"/>
    </row>
    <row r="109" spans="2:10" s="1" customFormat="1" ht="18.75" customHeight="1" x14ac:dyDescent="0.35">
      <c r="B109" s="1" t="s">
        <v>88</v>
      </c>
      <c r="D109" s="3" t="s">
        <v>105</v>
      </c>
      <c r="E109" s="35" t="s">
        <v>89</v>
      </c>
      <c r="F109" s="3" t="s">
        <v>106</v>
      </c>
      <c r="G109" s="3"/>
      <c r="H109" s="2"/>
    </row>
    <row r="110" spans="2:10" s="1" customFormat="1" ht="18.75" customHeight="1" x14ac:dyDescent="0.35">
      <c r="D110" s="11">
        <f>H107</f>
        <v>779.25546133423256</v>
      </c>
      <c r="E110" s="3" t="str">
        <f>IF(D110&gt;F110,"&gt;","≤")</f>
        <v>&gt;</v>
      </c>
      <c r="F110" s="11">
        <f>H5*G53/10^6</f>
        <v>351.54</v>
      </c>
      <c r="G110" s="30" t="s">
        <v>55</v>
      </c>
      <c r="H110" s="36" t="str">
        <f>IF(D110&gt;F110,"[ Pakai Mp ]","[ OK ]")</f>
        <v>[ Pakai Mp ]</v>
      </c>
    </row>
    <row r="111" spans="2:10" s="1" customFormat="1" ht="18.75" customHeight="1" x14ac:dyDescent="0.35">
      <c r="D111" s="12"/>
      <c r="E111" s="3"/>
      <c r="F111" s="12"/>
      <c r="G111" s="30"/>
      <c r="H111" s="36"/>
      <c r="J111" s="1" t="s">
        <v>138</v>
      </c>
    </row>
    <row r="112" spans="2:10" s="1" customFormat="1" ht="18.75" customHeight="1" x14ac:dyDescent="0.35">
      <c r="B112" s="1" t="s">
        <v>90</v>
      </c>
      <c r="C112" s="1" t="s">
        <v>91</v>
      </c>
      <c r="G112" s="5" t="s">
        <v>86</v>
      </c>
      <c r="H112" s="52">
        <f>MIN(D110,F110)</f>
        <v>351.54</v>
      </c>
      <c r="I112" s="2" t="s">
        <v>8</v>
      </c>
    </row>
    <row r="113" spans="1:9" s="1" customFormat="1" ht="18.75" customHeight="1" x14ac:dyDescent="0.35">
      <c r="G113" s="5"/>
      <c r="H113" s="3"/>
      <c r="I113" s="2"/>
    </row>
    <row r="114" spans="1:9" s="1" customFormat="1" ht="18.75" customHeight="1" x14ac:dyDescent="0.35">
      <c r="A114" s="61" t="s">
        <v>233</v>
      </c>
      <c r="B114" s="25" t="s">
        <v>92</v>
      </c>
      <c r="C114" s="24"/>
      <c r="D114" s="24"/>
      <c r="E114" s="24"/>
      <c r="F114" s="24"/>
      <c r="G114" s="26"/>
      <c r="H114" s="27"/>
      <c r="I114" s="28"/>
    </row>
    <row r="115" spans="1:9" s="1" customFormat="1" ht="18.75" customHeight="1" x14ac:dyDescent="0.35">
      <c r="B115" s="29" t="s">
        <v>73</v>
      </c>
      <c r="E115" s="29" t="str">
        <f>IF($H$76="-",": [ TIDAK PERLU ]",": [ PERLU ]")</f>
        <v>: [ TIDAK PERLU ]</v>
      </c>
      <c r="G115" s="5"/>
      <c r="H115" s="3"/>
      <c r="I115" s="2"/>
    </row>
    <row r="116" spans="1:9" s="1" customFormat="1" ht="18.75" customHeight="1" x14ac:dyDescent="0.35">
      <c r="B116" s="1" t="s">
        <v>91</v>
      </c>
      <c r="G116" s="5" t="s">
        <v>86</v>
      </c>
      <c r="H116" s="52">
        <f>H112</f>
        <v>351.54</v>
      </c>
      <c r="I116" s="2" t="s">
        <v>8</v>
      </c>
    </row>
    <row r="117" spans="1:9" s="1" customFormat="1" ht="18.75" customHeight="1" x14ac:dyDescent="0.35">
      <c r="G117" s="5"/>
      <c r="H117" s="3"/>
      <c r="I117" s="2"/>
    </row>
    <row r="118" spans="1:9" s="1" customFormat="1" ht="18.75" customHeight="1" x14ac:dyDescent="0.35">
      <c r="B118" s="29" t="s">
        <v>93</v>
      </c>
      <c r="E118" s="29" t="str">
        <f>IF($H$76="-",": [ TIDAK PERLU ]",IF(B77="c",": [ TIDAK PERLU ]",": [ PERLU ]"))</f>
        <v>: [ TIDAK PERLU ]</v>
      </c>
      <c r="G118" s="5"/>
      <c r="H118" s="3"/>
      <c r="I118" s="2"/>
    </row>
    <row r="119" spans="1:9" s="1" customFormat="1" ht="18.75" customHeight="1" x14ac:dyDescent="0.35">
      <c r="B119" s="1" t="s">
        <v>107</v>
      </c>
      <c r="G119" s="5" t="s">
        <v>108</v>
      </c>
      <c r="H119" s="11">
        <f>IF((4/SQRT(((H13-2*(H16+H17))/H15)))&lt;0.35,0.35,IF((4/SQRT(((H13-2*(H16+H17))/H15)))&gt;0.35,IF((4/SQRT(((H13-2*(H16+H17))/H15)))&lt;0.76,(4/SQRT(((H13-2*(H16+H17))/H15))),IF(0.76&lt;(4/SQRT(((H13-2*(H16+H17))/H15))),0.76,"[ EROR ]"))))</f>
        <v>0.76</v>
      </c>
      <c r="I119" s="2"/>
    </row>
    <row r="120" spans="1:9" s="1" customFormat="1" ht="18.75" customHeight="1" x14ac:dyDescent="0.35">
      <c r="B120" s="1" t="s">
        <v>94</v>
      </c>
      <c r="G120" s="17" t="s">
        <v>267</v>
      </c>
      <c r="H120" s="11">
        <f>H14/(2*H16)</f>
        <v>10</v>
      </c>
      <c r="I120" s="2"/>
    </row>
    <row r="121" spans="1:9" s="1" customFormat="1" ht="18.75" customHeight="1" x14ac:dyDescent="0.35">
      <c r="B121" s="1" t="s">
        <v>96</v>
      </c>
      <c r="G121" s="17" t="s">
        <v>100</v>
      </c>
      <c r="H121" s="11">
        <f>(1*SQRT(H7/H5))</f>
        <v>28.867513459481287</v>
      </c>
      <c r="I121" s="2"/>
    </row>
    <row r="122" spans="1:9" s="1" customFormat="1" ht="18.75" customHeight="1" x14ac:dyDescent="0.35">
      <c r="B122" s="1" t="s">
        <v>97</v>
      </c>
      <c r="G122" s="17" t="s">
        <v>101</v>
      </c>
      <c r="H122" s="11">
        <f>(1*SQRT(H7/H5))</f>
        <v>28.867513459481287</v>
      </c>
      <c r="I122" s="2"/>
    </row>
    <row r="123" spans="1:9" s="1" customFormat="1" ht="18.75" customHeight="1" x14ac:dyDescent="0.35">
      <c r="G123" s="17"/>
      <c r="H123" s="12"/>
      <c r="I123" s="2"/>
    </row>
    <row r="124" spans="1:9" s="1" customFormat="1" ht="18.75" customHeight="1" x14ac:dyDescent="0.35">
      <c r="B124" s="1" t="s">
        <v>95</v>
      </c>
      <c r="G124" s="5"/>
      <c r="H124" s="3"/>
      <c r="I124" s="2"/>
    </row>
    <row r="125" spans="1:9" s="1" customFormat="1" ht="18.75" customHeight="1" x14ac:dyDescent="0.35">
      <c r="B125" s="42" t="s">
        <v>76</v>
      </c>
      <c r="C125" s="37" t="s">
        <v>98</v>
      </c>
      <c r="D125" s="43"/>
      <c r="E125" s="39"/>
      <c r="F125" s="39"/>
      <c r="G125" s="40" t="s">
        <v>86</v>
      </c>
      <c r="H125" s="11" t="str">
        <f>IF(B77="nc",(F110*10^6-(F110*10^6-0.7*H5*E53)*(H120-H121)/(H122-H121))/10^6,"-")</f>
        <v>-</v>
      </c>
      <c r="I125" s="2" t="s">
        <v>8</v>
      </c>
    </row>
    <row r="126" spans="1:9" s="1" customFormat="1" ht="18.75" customHeight="1" x14ac:dyDescent="0.35">
      <c r="B126" s="42" t="s">
        <v>77</v>
      </c>
      <c r="C126" s="37" t="s">
        <v>99</v>
      </c>
      <c r="D126" s="43"/>
      <c r="E126" s="39"/>
      <c r="F126" s="39"/>
      <c r="G126" s="40" t="s">
        <v>86</v>
      </c>
      <c r="H126" s="11" t="str">
        <f>IF(B77="s",0.9*H7*H119*E53/H120^2/10^6,"-")</f>
        <v>-</v>
      </c>
      <c r="I126" s="2" t="s">
        <v>8</v>
      </c>
    </row>
    <row r="127" spans="1:9" s="1" customFormat="1" ht="18.75" customHeight="1" x14ac:dyDescent="0.35">
      <c r="G127" s="5"/>
      <c r="H127" s="3"/>
      <c r="I127" s="2"/>
    </row>
    <row r="128" spans="1:9" s="1" customFormat="1" ht="18.75" customHeight="1" x14ac:dyDescent="0.35">
      <c r="B128" s="1" t="s">
        <v>90</v>
      </c>
      <c r="G128" s="5"/>
      <c r="H128" s="3"/>
      <c r="I128" s="2"/>
    </row>
    <row r="129" spans="1:9" s="1" customFormat="1" ht="18.75" customHeight="1" x14ac:dyDescent="0.35">
      <c r="B129" s="1" t="s">
        <v>186</v>
      </c>
      <c r="G129" s="5" t="s">
        <v>86</v>
      </c>
      <c r="H129" s="52" t="str">
        <f>IF(B77="c","-",MIN(H125:H126))</f>
        <v>-</v>
      </c>
      <c r="I129" s="2" t="s">
        <v>8</v>
      </c>
    </row>
    <row r="130" spans="1:9" s="1" customFormat="1" ht="18.75" customHeight="1" x14ac:dyDescent="0.35">
      <c r="G130" s="5"/>
      <c r="H130" s="3"/>
      <c r="I130" s="2"/>
    </row>
    <row r="131" spans="1:9" s="1" customFormat="1" ht="18.75" customHeight="1" x14ac:dyDescent="0.35">
      <c r="A131" s="61" t="s">
        <v>234</v>
      </c>
      <c r="B131" s="25" t="s">
        <v>109</v>
      </c>
      <c r="C131" s="24"/>
      <c r="D131" s="24"/>
      <c r="E131" s="24"/>
      <c r="F131" s="24"/>
      <c r="G131" s="26"/>
      <c r="H131" s="27"/>
      <c r="I131" s="28"/>
    </row>
    <row r="132" spans="1:9" s="1" customFormat="1" ht="18.75" customHeight="1" x14ac:dyDescent="0.35">
      <c r="B132" s="29" t="s">
        <v>72</v>
      </c>
      <c r="E132" s="29" t="str">
        <f>IF($H$77="-",": [ TIDAK PERLU ]",": [ PERLU ]")</f>
        <v>: [ PERLU ]</v>
      </c>
      <c r="G132" s="5"/>
      <c r="H132" s="3"/>
      <c r="I132" s="2"/>
    </row>
    <row r="133" spans="1:9" s="1" customFormat="1" ht="18.75" customHeight="1" x14ac:dyDescent="0.35">
      <c r="B133" s="1" t="s">
        <v>62</v>
      </c>
      <c r="G133" s="5" t="s">
        <v>268</v>
      </c>
      <c r="H133" s="11">
        <f>H5*(2/H13*(1/12*H14*H16^3+H14*H16*(0.5*(H13-H16))^2))/10^6</f>
        <v>146.34</v>
      </c>
      <c r="I133" s="2" t="s">
        <v>8</v>
      </c>
    </row>
    <row r="134" spans="1:9" s="1" customFormat="1" ht="18.75" customHeight="1" x14ac:dyDescent="0.35">
      <c r="B134" s="1" t="s">
        <v>180</v>
      </c>
      <c r="G134" s="5" t="s">
        <v>181</v>
      </c>
      <c r="H134" s="11">
        <f>MIN(G53*H5/10^6,1.6*E53*H5/10^6)</f>
        <v>351.54</v>
      </c>
      <c r="I134" s="2" t="s">
        <v>8</v>
      </c>
    </row>
    <row r="135" spans="1:9" s="1" customFormat="1" ht="18.75" customHeight="1" x14ac:dyDescent="0.35">
      <c r="B135" s="1" t="s">
        <v>63</v>
      </c>
      <c r="G135" s="5"/>
      <c r="H135" s="3"/>
      <c r="I135" s="2"/>
    </row>
    <row r="136" spans="1:9" s="1" customFormat="1" ht="18.75" customHeight="1" x14ac:dyDescent="0.35">
      <c r="B136" s="2" t="s">
        <v>65</v>
      </c>
      <c r="C136" s="10" t="s">
        <v>69</v>
      </c>
      <c r="G136" s="5"/>
      <c r="H136" s="3"/>
      <c r="I136" s="2"/>
    </row>
    <row r="137" spans="1:9" s="1" customFormat="1" ht="18.75" customHeight="1" x14ac:dyDescent="0.35">
      <c r="B137" s="2" t="s">
        <v>64</v>
      </c>
      <c r="C137" s="32" t="s">
        <v>110</v>
      </c>
      <c r="G137" s="5" t="s">
        <v>71</v>
      </c>
      <c r="H137" s="38">
        <f>IF((1/12*H16*H14^3)/D53&gt;0.23,IF((H13-2*(H16+H17))/H15&lt;=(3.76*SQRT(H7/H5)),H134/H133,"-"),"-")</f>
        <v>2.4022140221402215</v>
      </c>
      <c r="I137" s="2"/>
    </row>
    <row r="138" spans="1:9" s="1" customFormat="1" ht="18.75" customHeight="1" x14ac:dyDescent="0.35">
      <c r="B138" s="2" t="s">
        <v>66</v>
      </c>
      <c r="C138" s="32" t="s">
        <v>111</v>
      </c>
      <c r="G138" s="5" t="s">
        <v>71</v>
      </c>
      <c r="H138" s="38" t="str">
        <f>IF((1/12*H16*H14^3)/D53&gt;0.23,IF((H13-2*(H16+H17))/H15&gt;(3.76*SQRT(H7/H5)),(F110/H133-(F110/H133)/(((H13-2*(H16+H17))/H15)-(3.76*SQRT(H7/H5)))/((5.7*SQRT(H7/H5))-(3.76*SQRT(H7/H5)))),"-"),"-")</f>
        <v>-</v>
      </c>
      <c r="I138" s="2"/>
    </row>
    <row r="139" spans="1:9" s="1" customFormat="1" ht="18.75" customHeight="1" x14ac:dyDescent="0.35">
      <c r="B139" s="2" t="s">
        <v>67</v>
      </c>
      <c r="G139" s="5" t="s">
        <v>71</v>
      </c>
      <c r="H139" s="38" t="str">
        <f>IF((1/12*H16*H14^3)/D53&gt;0.23,IF((H13-2*(H16+H17))/H15&gt;(3.76*SQRT(H7/H5)),H134/H133,"-"),"-")</f>
        <v>-</v>
      </c>
      <c r="I139" s="2"/>
    </row>
    <row r="140" spans="1:9" s="1" customFormat="1" ht="18.75" customHeight="1" x14ac:dyDescent="0.35">
      <c r="B140" s="2" t="s">
        <v>68</v>
      </c>
      <c r="C140" s="10" t="s">
        <v>115</v>
      </c>
      <c r="G140" s="5" t="s">
        <v>71</v>
      </c>
      <c r="H140" s="4" t="str">
        <f>IF((1/12*H16*H14^3)/D53&lt;=0.23,1,"-")</f>
        <v>-</v>
      </c>
      <c r="I140" s="2"/>
    </row>
    <row r="141" spans="1:9" s="1" customFormat="1" ht="18.75" customHeight="1" x14ac:dyDescent="0.35">
      <c r="B141" s="1" t="s">
        <v>70</v>
      </c>
      <c r="G141" s="5" t="s">
        <v>71</v>
      </c>
      <c r="H141" s="38">
        <f>MIN(H137:H140)</f>
        <v>2.4022140221402215</v>
      </c>
      <c r="I141" s="2"/>
    </row>
    <row r="142" spans="1:9" s="1" customFormat="1" ht="18.75" customHeight="1" x14ac:dyDescent="0.35">
      <c r="G142" s="5"/>
      <c r="H142" s="3"/>
      <c r="I142" s="2"/>
    </row>
    <row r="143" spans="1:9" s="1" customFormat="1" ht="18.75" customHeight="1" x14ac:dyDescent="0.35">
      <c r="B143" s="1" t="s">
        <v>185</v>
      </c>
      <c r="G143" s="5" t="s">
        <v>86</v>
      </c>
      <c r="H143" s="15">
        <f>H141*H133</f>
        <v>351.54</v>
      </c>
      <c r="I143" s="2" t="s">
        <v>8</v>
      </c>
    </row>
    <row r="144" spans="1:9" s="1" customFormat="1" ht="18.75" customHeight="1" x14ac:dyDescent="0.35">
      <c r="G144" s="5"/>
      <c r="H144" s="3"/>
      <c r="I144" s="2"/>
    </row>
    <row r="145" spans="2:9" s="1" customFormat="1" ht="18.75" customHeight="1" x14ac:dyDescent="0.35">
      <c r="B145" s="29" t="s">
        <v>73</v>
      </c>
      <c r="E145" s="29" t="str">
        <f>IF($H$77="-",": [ TIDAK PERLU ]",": [ PERLU ]")</f>
        <v>: [ PERLU ]</v>
      </c>
      <c r="G145" s="5"/>
      <c r="H145" s="3"/>
      <c r="I145" s="2"/>
    </row>
    <row r="146" spans="2:9" s="1" customFormat="1" ht="18.75" customHeight="1" x14ac:dyDescent="0.35">
      <c r="B146" s="1" t="s">
        <v>74</v>
      </c>
      <c r="G146" s="5" t="s">
        <v>264</v>
      </c>
      <c r="H146" s="11">
        <f>1.1*(H14/SQRT(12*(1+1/6*((H13-2*(H17+H16))*H15)/(H14*H16))))*SQRT(H7/H5)/1000</f>
        <v>2.6380591024882025</v>
      </c>
      <c r="I146" s="2" t="s">
        <v>79</v>
      </c>
    </row>
    <row r="147" spans="2:9" s="1" customFormat="1" ht="18.75" customHeight="1" x14ac:dyDescent="0.35">
      <c r="B147" s="1" t="s">
        <v>112</v>
      </c>
      <c r="G147" s="5"/>
      <c r="H147" s="3"/>
      <c r="I147" s="2"/>
    </row>
    <row r="148" spans="2:9" s="1" customFormat="1" ht="18.75" customHeight="1" x14ac:dyDescent="0.35">
      <c r="G148" s="5" t="s">
        <v>265</v>
      </c>
      <c r="H148" s="11">
        <f>1.95*(H14/SQRT(12*(1+1/6*((H13-2*(H17+H16))*H15)/(H14*H16))))*H7/H5*SQRT((1/3*((2*H14*H16^3)+((H13-H16)*H15^3)))/((2/H13*(1/12*H14*H16^3+H14*H16*(0.5*(H13-H16))^2))*(H13-H16))+SQRT(((1/3*((2*H14*H16^3)+((H13-H16)*H15^3)))/((2/H13*(1/12*H14*H16^3+H14*H16*(0.5*(H13-H16))^2))*(H13-H16)))^2+6.76*(0.7*H5/H7)^2))/1000</f>
        <v>13.068489179170321</v>
      </c>
      <c r="I148" s="2" t="s">
        <v>79</v>
      </c>
    </row>
    <row r="149" spans="2:9" s="1" customFormat="1" ht="18.75" customHeight="1" x14ac:dyDescent="0.35">
      <c r="B149" s="1" t="s">
        <v>80</v>
      </c>
      <c r="G149" s="5" t="s">
        <v>81</v>
      </c>
      <c r="H149" s="33">
        <f>$H$10/1000</f>
        <v>4</v>
      </c>
      <c r="I149" s="2" t="s">
        <v>79</v>
      </c>
    </row>
    <row r="150" spans="2:9" s="1" customFormat="1" ht="18.75" customHeight="1" x14ac:dyDescent="0.35">
      <c r="G150" s="5"/>
      <c r="H150" s="3"/>
      <c r="I150" s="2"/>
    </row>
    <row r="151" spans="2:9" s="1" customFormat="1" ht="18.75" customHeight="1" x14ac:dyDescent="0.35">
      <c r="B151" s="1" t="s">
        <v>83</v>
      </c>
      <c r="G151" s="5"/>
      <c r="H151" s="3"/>
      <c r="I151" s="2"/>
    </row>
    <row r="152" spans="2:9" s="1" customFormat="1" ht="18.75" customHeight="1" x14ac:dyDescent="0.35">
      <c r="B152" s="42" t="s">
        <v>76</v>
      </c>
      <c r="C152" s="37" t="s">
        <v>102</v>
      </c>
      <c r="D152" s="39"/>
      <c r="E152" s="39"/>
      <c r="F152" s="39"/>
      <c r="G152" s="40" t="s">
        <v>86</v>
      </c>
      <c r="H152" s="11" t="str">
        <f>IF(H149&lt;H146,H141*H133,"-")</f>
        <v>-</v>
      </c>
      <c r="I152" s="2" t="s">
        <v>8</v>
      </c>
    </row>
    <row r="153" spans="2:9" s="1" customFormat="1" ht="18.75" customHeight="1" x14ac:dyDescent="0.35">
      <c r="B153" s="42" t="s">
        <v>77</v>
      </c>
      <c r="C153" s="37" t="s">
        <v>103</v>
      </c>
      <c r="D153" s="39"/>
      <c r="E153" s="39"/>
      <c r="F153" s="39"/>
      <c r="G153" s="40" t="s">
        <v>86</v>
      </c>
      <c r="H153" s="11">
        <f>IF(H146&lt;H149,IF(H149&lt;H148,H90*(H141*H133-(H141*H133-0.7*H5*(2/H13*(1/12*H14*H16^3+H14*H16*(0.5*(H13-H16))^2))/10^6)*(H149-H146)/(H148-H146)),"-"),"-")</f>
        <v>712.08438640811119</v>
      </c>
      <c r="I153" s="2" t="s">
        <v>8</v>
      </c>
    </row>
    <row r="154" spans="2:9" s="1" customFormat="1" ht="18.75" customHeight="1" x14ac:dyDescent="0.35">
      <c r="B154" s="42" t="s">
        <v>85</v>
      </c>
      <c r="C154" s="37" t="s">
        <v>104</v>
      </c>
      <c r="D154" s="39"/>
      <c r="E154" s="39"/>
      <c r="F154" s="39"/>
      <c r="G154" s="40" t="s">
        <v>86</v>
      </c>
      <c r="H154" s="11" t="str">
        <f>IF(H149&gt;H148,H101*(2/H13*(1/12*H14*H16^3+H14*H16*(0.5*(H13-H16))^2))/10^6,"-")</f>
        <v>-</v>
      </c>
      <c r="I154" s="2" t="s">
        <v>8</v>
      </c>
    </row>
    <row r="155" spans="2:9" s="1" customFormat="1" ht="18.75" customHeight="1" x14ac:dyDescent="0.35">
      <c r="G155" s="5" t="s">
        <v>86</v>
      </c>
      <c r="H155" s="11">
        <f>MAX(H152:H154)</f>
        <v>712.08438640811119</v>
      </c>
      <c r="I155" s="2" t="s">
        <v>8</v>
      </c>
    </row>
    <row r="156" spans="2:9" s="1" customFormat="1" ht="18.75" customHeight="1" x14ac:dyDescent="0.35">
      <c r="B156" s="1" t="s">
        <v>87</v>
      </c>
      <c r="G156" s="5"/>
      <c r="H156" s="3"/>
      <c r="I156" s="2"/>
    </row>
    <row r="157" spans="2:9" s="1" customFormat="1" ht="18.75" customHeight="1" x14ac:dyDescent="0.35">
      <c r="B157" s="1" t="s">
        <v>88</v>
      </c>
      <c r="D157" s="3" t="s">
        <v>105</v>
      </c>
      <c r="E157" s="35" t="s">
        <v>89</v>
      </c>
      <c r="F157" s="3" t="s">
        <v>105</v>
      </c>
      <c r="G157" s="3"/>
      <c r="H157" s="2"/>
    </row>
    <row r="158" spans="2:9" s="1" customFormat="1" ht="18.75" customHeight="1" x14ac:dyDescent="0.35">
      <c r="D158" s="11">
        <f>H155</f>
        <v>712.08438640811119</v>
      </c>
      <c r="E158" s="3" t="str">
        <f>IF(D158&gt;F158,"&gt;","≤")</f>
        <v>&gt;</v>
      </c>
      <c r="F158" s="11">
        <f>H141*H133</f>
        <v>351.54</v>
      </c>
      <c r="G158" s="30" t="s">
        <v>55</v>
      </c>
      <c r="H158" s="36" t="str">
        <f>IF(D158&gt;F158,"[ pakai Rpc*Myc ]","[ OK ]")</f>
        <v>[ pakai Rpc*Myc ]</v>
      </c>
    </row>
    <row r="159" spans="2:9" s="1" customFormat="1" ht="18.75" customHeight="1" x14ac:dyDescent="0.35">
      <c r="D159" s="12"/>
      <c r="E159" s="3"/>
      <c r="F159" s="12"/>
      <c r="G159" s="30"/>
      <c r="H159" s="36"/>
    </row>
    <row r="160" spans="2:9" s="1" customFormat="1" ht="18.75" customHeight="1" x14ac:dyDescent="0.35">
      <c r="B160" s="1" t="s">
        <v>90</v>
      </c>
      <c r="C160" s="1" t="s">
        <v>91</v>
      </c>
      <c r="G160" s="5" t="s">
        <v>86</v>
      </c>
      <c r="H160" s="52">
        <f>MIN(D158,F158)</f>
        <v>351.54</v>
      </c>
      <c r="I160" s="2" t="s">
        <v>8</v>
      </c>
    </row>
    <row r="161" spans="1:9" s="1" customFormat="1" ht="18.75" customHeight="1" x14ac:dyDescent="0.35">
      <c r="G161" s="5"/>
      <c r="H161" s="3"/>
      <c r="I161" s="2"/>
    </row>
    <row r="162" spans="1:9" s="1" customFormat="1" ht="18.75" customHeight="1" x14ac:dyDescent="0.35">
      <c r="B162" s="29" t="s">
        <v>93</v>
      </c>
      <c r="E162" s="29" t="str">
        <f>IF($H$77="-",": [ TIDAK PERLU ]",IF(B77="c",": [ TIDAK PERLU ]",": [ PERLU ]"))</f>
        <v>: [ TIDAK PERLU ]</v>
      </c>
      <c r="G162" s="5"/>
      <c r="H162" s="3"/>
      <c r="I162" s="2"/>
    </row>
    <row r="163" spans="1:9" s="1" customFormat="1" ht="18.75" customHeight="1" x14ac:dyDescent="0.35">
      <c r="B163" s="1" t="s">
        <v>95</v>
      </c>
      <c r="G163" s="5"/>
      <c r="H163" s="3"/>
      <c r="I163" s="2"/>
    </row>
    <row r="164" spans="1:9" s="1" customFormat="1" ht="18.75" customHeight="1" x14ac:dyDescent="0.35">
      <c r="B164" s="42" t="s">
        <v>76</v>
      </c>
      <c r="C164" s="37" t="s">
        <v>98</v>
      </c>
      <c r="D164" s="43"/>
      <c r="E164" s="39"/>
      <c r="F164" s="39"/>
      <c r="G164" s="40" t="s">
        <v>86</v>
      </c>
      <c r="H164" s="11" t="str">
        <f>IF(B77="nc",((IF(H141&lt;0.35,0.35,IF(H141&lt;0.76,H141,IF(H141&gt;0.76,0.76,"[ EROR ]"))))*H133*10^6-((IF(H141&lt;0.35,0.35,IF(H141&lt;0.76,H141,IF(H141&gt;0.76,0.76,"[ EROR ]"))))*H133*10^6-0.7*H5*(2/H13*(1/12*H14*H16^3+H14*H16*(0.5*(H13-H16))^2)))*(H120-H121)/(H122-H121))/10^6,"-")</f>
        <v>-</v>
      </c>
      <c r="I164" s="2" t="s">
        <v>8</v>
      </c>
    </row>
    <row r="165" spans="1:9" s="1" customFormat="1" ht="18.75" customHeight="1" x14ac:dyDescent="0.35">
      <c r="B165" s="42" t="s">
        <v>77</v>
      </c>
      <c r="C165" s="37" t="s">
        <v>99</v>
      </c>
      <c r="D165" s="43"/>
      <c r="E165" s="39"/>
      <c r="F165" s="39"/>
      <c r="G165" s="40" t="s">
        <v>86</v>
      </c>
      <c r="H165" s="11" t="str">
        <f>IF(B77="s",0.9*H7*(4/SQRT(((H13-2*(H16+H17))/H15)))*(2/H13*(1/12*H14*H16^3+H14*H16*(0.5*(H13-H16))^2))/(0.5*(H14-H15)/H16)^2/10^6,"-")</f>
        <v>-</v>
      </c>
      <c r="I165" s="2" t="s">
        <v>8</v>
      </c>
    </row>
    <row r="166" spans="1:9" s="1" customFormat="1" ht="18.75" customHeight="1" x14ac:dyDescent="0.35">
      <c r="G166" s="5"/>
      <c r="H166" s="3"/>
      <c r="I166" s="2"/>
    </row>
    <row r="167" spans="1:9" s="1" customFormat="1" ht="18.75" customHeight="1" x14ac:dyDescent="0.35">
      <c r="B167" s="1" t="s">
        <v>90</v>
      </c>
      <c r="G167" s="5"/>
      <c r="H167" s="3"/>
      <c r="I167" s="2"/>
    </row>
    <row r="168" spans="1:9" s="1" customFormat="1" ht="18.75" customHeight="1" x14ac:dyDescent="0.35">
      <c r="B168" s="1" t="s">
        <v>186</v>
      </c>
      <c r="G168" s="5" t="s">
        <v>86</v>
      </c>
      <c r="H168" s="52" t="str">
        <f>IF(B77="c","-",MIN(H164:H165))</f>
        <v>-</v>
      </c>
      <c r="I168" s="2" t="s">
        <v>8</v>
      </c>
    </row>
    <row r="169" spans="1:9" s="1" customFormat="1" ht="18.75" customHeight="1" x14ac:dyDescent="0.35">
      <c r="G169" s="5"/>
      <c r="H169" s="3"/>
      <c r="I169" s="2"/>
    </row>
    <row r="170" spans="1:9" s="1" customFormat="1" ht="18.75" customHeight="1" x14ac:dyDescent="0.35">
      <c r="B170" s="29" t="s">
        <v>119</v>
      </c>
      <c r="E170" s="29" t="s">
        <v>153</v>
      </c>
      <c r="G170" s="5"/>
      <c r="H170" s="3"/>
      <c r="I170" s="2"/>
    </row>
    <row r="171" spans="1:9" s="1" customFormat="1" ht="18.75" customHeight="1" x14ac:dyDescent="0.35">
      <c r="B171" s="1" t="s">
        <v>113</v>
      </c>
      <c r="G171" s="5"/>
      <c r="H171" s="3"/>
      <c r="I171" s="2"/>
    </row>
    <row r="172" spans="1:9" s="1" customFormat="1" ht="18.75" customHeight="1" x14ac:dyDescent="0.35">
      <c r="G172" s="5"/>
      <c r="H172" s="3"/>
      <c r="I172" s="2"/>
    </row>
    <row r="173" spans="1:9" s="1" customFormat="1" ht="18.75" customHeight="1" x14ac:dyDescent="0.35">
      <c r="A173" s="61" t="s">
        <v>235</v>
      </c>
      <c r="B173" s="25" t="s">
        <v>114</v>
      </c>
      <c r="C173" s="24"/>
      <c r="D173" s="24"/>
      <c r="E173" s="24"/>
      <c r="F173" s="24"/>
      <c r="G173" s="26"/>
      <c r="H173" s="27"/>
      <c r="I173" s="28"/>
    </row>
    <row r="174" spans="1:9" s="1" customFormat="1" ht="18.75" customHeight="1" x14ac:dyDescent="0.35">
      <c r="B174" s="29" t="s">
        <v>72</v>
      </c>
      <c r="E174" s="29" t="str">
        <f>IF($H$78="-",": [ TIDAK PERLU ]",": [ PERLU ]")</f>
        <v>: [ TIDAK PERLU ]</v>
      </c>
      <c r="G174" s="5"/>
      <c r="H174" s="3"/>
      <c r="I174" s="2"/>
    </row>
    <row r="175" spans="1:9" s="1" customFormat="1" ht="18.75" customHeight="1" x14ac:dyDescent="0.35">
      <c r="B175" s="1" t="s">
        <v>116</v>
      </c>
      <c r="G175" s="5" t="s">
        <v>117</v>
      </c>
      <c r="H175" s="11">
        <f>MIN(1-(H13-2*(H17+H16))/(1200+300*(H13-2*(H17+H16)))*(((H13-H16)/H15-5.7*SQRT(H7/H5))),1)</f>
        <v>1</v>
      </c>
      <c r="I175" s="2"/>
    </row>
    <row r="176" spans="1:9" s="1" customFormat="1" ht="18.75" customHeight="1" x14ac:dyDescent="0.35">
      <c r="B176" s="1" t="s">
        <v>187</v>
      </c>
      <c r="G176" s="5" t="s">
        <v>86</v>
      </c>
      <c r="H176" s="52">
        <f>H175*H5*(2/H13*(1/12*H14*H16^3+H14*H16*(0.5*(H13-H16))^2))/10^6</f>
        <v>146.34</v>
      </c>
      <c r="I176" s="2" t="s">
        <v>8</v>
      </c>
    </row>
    <row r="177" spans="2:9" s="1" customFormat="1" ht="18.75" customHeight="1" x14ac:dyDescent="0.35">
      <c r="G177" s="5"/>
      <c r="H177" s="3"/>
      <c r="I177" s="2"/>
    </row>
    <row r="178" spans="2:9" s="1" customFormat="1" ht="18.75" customHeight="1" x14ac:dyDescent="0.35">
      <c r="B178" s="29" t="s">
        <v>73</v>
      </c>
      <c r="E178" s="29" t="str">
        <f>IF($H$78="-",": [ TIDAK PERLU ]",": [ PERLU ]")</f>
        <v>: [ TIDAK PERLU ]</v>
      </c>
      <c r="G178" s="5"/>
      <c r="H178" s="3"/>
      <c r="I178" s="2"/>
    </row>
    <row r="179" spans="2:9" s="1" customFormat="1" ht="18.75" customHeight="1" x14ac:dyDescent="0.35">
      <c r="B179" s="1" t="s">
        <v>84</v>
      </c>
      <c r="G179" s="5"/>
      <c r="H179" s="3"/>
      <c r="I179" s="2"/>
    </row>
    <row r="180" spans="2:9" s="1" customFormat="1" ht="18.75" customHeight="1" x14ac:dyDescent="0.35">
      <c r="B180" s="56" t="s">
        <v>76</v>
      </c>
      <c r="C180" s="41" t="s">
        <v>102</v>
      </c>
      <c r="D180" s="39"/>
      <c r="E180" s="39"/>
      <c r="F180" s="39"/>
      <c r="G180" s="40" t="s">
        <v>120</v>
      </c>
      <c r="H180" s="11" t="str">
        <f>IF(($H$10/1000)&lt;H146,H5,"-")</f>
        <v>-</v>
      </c>
      <c r="I180" s="2" t="s">
        <v>15</v>
      </c>
    </row>
    <row r="181" spans="2:9" s="1" customFormat="1" ht="18.75" customHeight="1" x14ac:dyDescent="0.35">
      <c r="B181" s="56" t="s">
        <v>77</v>
      </c>
      <c r="C181" s="41" t="s">
        <v>103</v>
      </c>
      <c r="D181" s="39"/>
      <c r="E181" s="39"/>
      <c r="F181" s="39"/>
      <c r="G181" s="40" t="s">
        <v>121</v>
      </c>
      <c r="H181" s="11">
        <f>IF(H146&lt;($H$10/1000),IF(($H$10/1000)&lt;(PI()*((H14/SQRT(12*(1+1/6*((H13-2*(H17+H16))*H15)/(H14*H16)))))*SQRT(H7/(0.7*H5))/1000),H90*(H5-0.3*H5*(($H$10/1000)-H146)/((PI()*((H14/SQRT(12*(1+1/6*((H13-2*(H17+H16))*H15)/(H14*H16)))))*SQRT(H7/(0.7*H5))/1000)-H146)),"-"),"-")</f>
        <v>501.33718577481045</v>
      </c>
      <c r="I181" s="2" t="s">
        <v>15</v>
      </c>
    </row>
    <row r="182" spans="2:9" s="1" customFormat="1" ht="18.75" customHeight="1" x14ac:dyDescent="0.35">
      <c r="B182" s="56" t="s">
        <v>85</v>
      </c>
      <c r="C182" s="41" t="s">
        <v>104</v>
      </c>
      <c r="D182" s="39"/>
      <c r="E182" s="39"/>
      <c r="F182" s="39"/>
      <c r="G182" s="40" t="s">
        <v>122</v>
      </c>
      <c r="H182" s="11" t="str">
        <f>IF(($H$10/1000)&gt;(PI()*((H14/SQRT(12*(1+1/6*((H13-2*(H17+H16))*H15)/(H14*H16)))))*SQRT(H7/(0.7*H5))/1000),H90*PI()^2*H7/(($H$10/1000)*1000/((H14/SQRT(12*(1+1/6*((H13-2*(H17+H16))*H15)/(H14*H16))))))^2,"-")</f>
        <v>-</v>
      </c>
      <c r="I182" s="2" t="s">
        <v>15</v>
      </c>
    </row>
    <row r="183" spans="2:9" s="1" customFormat="1" ht="18.75" customHeight="1" x14ac:dyDescent="0.35">
      <c r="G183" s="5" t="s">
        <v>123</v>
      </c>
      <c r="H183" s="11">
        <f>MAX(H180:H182)</f>
        <v>501.33718577481045</v>
      </c>
      <c r="I183" s="2" t="s">
        <v>15</v>
      </c>
    </row>
    <row r="184" spans="2:9" s="1" customFormat="1" ht="18.75" customHeight="1" x14ac:dyDescent="0.35">
      <c r="B184" s="1" t="s">
        <v>126</v>
      </c>
      <c r="G184" s="5"/>
      <c r="H184" s="3"/>
      <c r="I184" s="2"/>
    </row>
    <row r="185" spans="2:9" s="1" customFormat="1" ht="18.75" customHeight="1" x14ac:dyDescent="0.35">
      <c r="B185" s="1" t="s">
        <v>88</v>
      </c>
      <c r="D185" s="3" t="s">
        <v>124</v>
      </c>
      <c r="E185" s="35" t="s">
        <v>89</v>
      </c>
      <c r="F185" s="3" t="s">
        <v>125</v>
      </c>
      <c r="G185" s="3"/>
      <c r="H185" s="2"/>
    </row>
    <row r="186" spans="2:9" s="1" customFormat="1" ht="18.75" customHeight="1" x14ac:dyDescent="0.35">
      <c r="D186" s="11">
        <f>H183</f>
        <v>501.33718577481045</v>
      </c>
      <c r="E186" s="3" t="str">
        <f>IF(D186&gt;F186,"&gt;","≤")</f>
        <v>&gt;</v>
      </c>
      <c r="F186" s="11">
        <f>H5</f>
        <v>240</v>
      </c>
      <c r="G186" s="30" t="s">
        <v>55</v>
      </c>
      <c r="H186" s="36" t="str">
        <f>IF(D186&gt;F186,"[ pakai fy ]","[ OK ]")</f>
        <v>[ pakai fy ]</v>
      </c>
    </row>
    <row r="187" spans="2:9" s="1" customFormat="1" ht="18.75" customHeight="1" x14ac:dyDescent="0.35">
      <c r="D187" s="12"/>
      <c r="E187" s="3"/>
      <c r="F187" s="12"/>
      <c r="G187" s="30"/>
      <c r="H187" s="36"/>
    </row>
    <row r="188" spans="2:9" s="1" customFormat="1" ht="18.75" customHeight="1" x14ac:dyDescent="0.35">
      <c r="B188" s="1" t="s">
        <v>90</v>
      </c>
      <c r="C188" s="1" t="s">
        <v>127</v>
      </c>
      <c r="G188" s="5" t="s">
        <v>123</v>
      </c>
      <c r="H188" s="11">
        <f>MIN(D186,F186)</f>
        <v>240</v>
      </c>
      <c r="I188" s="2" t="s">
        <v>15</v>
      </c>
    </row>
    <row r="189" spans="2:9" s="1" customFormat="1" ht="18.75" customHeight="1" x14ac:dyDescent="0.35">
      <c r="G189" s="5"/>
      <c r="H189" s="3"/>
      <c r="I189" s="2"/>
    </row>
    <row r="190" spans="2:9" s="1" customFormat="1" ht="18.75" customHeight="1" x14ac:dyDescent="0.35">
      <c r="B190" s="1" t="s">
        <v>83</v>
      </c>
      <c r="G190" s="5" t="s">
        <v>86</v>
      </c>
      <c r="H190" s="52">
        <f>H175*H188*(2/H13*(1/12*H14*H16^3+H14*H16*(0.5*(H13-H16))^2))/10^6</f>
        <v>146.34</v>
      </c>
      <c r="I190" s="2" t="s">
        <v>8</v>
      </c>
    </row>
    <row r="191" spans="2:9" s="1" customFormat="1" ht="18.75" customHeight="1" x14ac:dyDescent="0.35">
      <c r="G191" s="5"/>
      <c r="H191" s="3"/>
      <c r="I191" s="2"/>
    </row>
    <row r="192" spans="2:9" s="1" customFormat="1" ht="18.75" customHeight="1" x14ac:dyDescent="0.35">
      <c r="B192" s="29" t="s">
        <v>93</v>
      </c>
      <c r="E192" s="29" t="str">
        <f>IF($H$78="-",": [ TIDAK PERLU ]",IF(B77="c",": [ TIDAK PERLU ]",": [ PERLU ]"))</f>
        <v>: [ TIDAK PERLU ]</v>
      </c>
      <c r="G192" s="5"/>
      <c r="H192" s="3"/>
      <c r="I192" s="2"/>
    </row>
    <row r="193" spans="1:9" s="1" customFormat="1" ht="18.75" customHeight="1" x14ac:dyDescent="0.35">
      <c r="B193" s="1" t="s">
        <v>128</v>
      </c>
      <c r="G193" s="5"/>
      <c r="H193" s="3"/>
      <c r="I193" s="2"/>
    </row>
    <row r="194" spans="1:9" s="1" customFormat="1" ht="18.75" customHeight="1" x14ac:dyDescent="0.35">
      <c r="B194" s="42" t="s">
        <v>76</v>
      </c>
      <c r="C194" s="37" t="s">
        <v>98</v>
      </c>
      <c r="D194" s="43"/>
      <c r="E194" s="39"/>
      <c r="F194" s="39"/>
      <c r="G194" s="40" t="s">
        <v>123</v>
      </c>
      <c r="H194" s="11" t="str">
        <f>IF((0.5*(H14-H15)/H16)&gt;H121,IF((0.5*(H14-H15)/H16)&lt;H122,H5-0.3*H5*((0.5*(H14-H15)/H16)-H121)/(H122-H121),"-"),"-")</f>
        <v>-</v>
      </c>
      <c r="I194" s="2" t="s">
        <v>15</v>
      </c>
    </row>
    <row r="195" spans="1:9" s="1" customFormat="1" ht="18.75" customHeight="1" x14ac:dyDescent="0.35">
      <c r="B195" s="42" t="s">
        <v>77</v>
      </c>
      <c r="C195" s="37" t="s">
        <v>99</v>
      </c>
      <c r="D195" s="43"/>
      <c r="E195" s="39"/>
      <c r="F195" s="39"/>
      <c r="G195" s="40" t="s">
        <v>123</v>
      </c>
      <c r="H195" s="11" t="str">
        <f>IF((0.5*(H14-H15)/H16)&gt;H122,0.9*H7*(IF((4/SQRT(((H13-2*(H16+H17))/H15)))&lt;0.35,0.35,IF((4/SQRT(((H13-2*(H16+H17))/H15)))&lt;0.76,(4/SQRT(((H13-2*(H16+H17))/H15))),IF((4/SQRT(((H13-2*(H16+H17))/H15)))&gt;0.76,0.76,"[ EROR ]"))))/(H14/(2*H16))^2,"-")</f>
        <v>-</v>
      </c>
      <c r="I195" s="2" t="s">
        <v>15</v>
      </c>
    </row>
    <row r="196" spans="1:9" s="1" customFormat="1" ht="18.75" customHeight="1" x14ac:dyDescent="0.35">
      <c r="G196" s="5"/>
      <c r="H196" s="3"/>
      <c r="I196" s="2"/>
    </row>
    <row r="197" spans="1:9" s="1" customFormat="1" ht="18.75" customHeight="1" x14ac:dyDescent="0.35">
      <c r="B197" s="1" t="s">
        <v>90</v>
      </c>
      <c r="G197" s="5"/>
      <c r="H197" s="3"/>
      <c r="I197" s="2"/>
    </row>
    <row r="198" spans="1:9" s="1" customFormat="1" ht="18.75" customHeight="1" x14ac:dyDescent="0.35">
      <c r="B198" s="1" t="s">
        <v>186</v>
      </c>
      <c r="G198" s="5" t="s">
        <v>86</v>
      </c>
      <c r="H198" s="52" t="str">
        <f>IF(B77="c","-",H175*MIN(H194:H195)*(2/H13*(1/12*H14*H16^3+H14*H16*(0.5*(H13-H16))^2))/10^6)</f>
        <v>-</v>
      </c>
      <c r="I198" s="2" t="s">
        <v>8</v>
      </c>
    </row>
    <row r="199" spans="1:9" s="1" customFormat="1" ht="18.75" customHeight="1" x14ac:dyDescent="0.35">
      <c r="G199" s="5"/>
      <c r="H199" s="3"/>
      <c r="I199" s="2"/>
    </row>
    <row r="200" spans="1:9" s="1" customFormat="1" ht="18.75" customHeight="1" x14ac:dyDescent="0.35">
      <c r="B200" s="29" t="s">
        <v>119</v>
      </c>
      <c r="E200" s="29" t="s">
        <v>153</v>
      </c>
      <c r="G200" s="5"/>
      <c r="H200" s="3"/>
      <c r="I200" s="2"/>
    </row>
    <row r="201" spans="1:9" s="1" customFormat="1" ht="18.75" customHeight="1" x14ac:dyDescent="0.35">
      <c r="B201" s="1" t="s">
        <v>113</v>
      </c>
      <c r="G201" s="5"/>
      <c r="H201" s="3"/>
      <c r="I201" s="2"/>
    </row>
    <row r="202" spans="1:9" s="1" customFormat="1" ht="18.75" customHeight="1" x14ac:dyDescent="0.35">
      <c r="G202" s="5"/>
      <c r="H202" s="3"/>
      <c r="I202" s="2"/>
    </row>
    <row r="203" spans="1:9" s="1" customFormat="1" ht="18.75" customHeight="1" x14ac:dyDescent="0.35">
      <c r="A203" s="61" t="s">
        <v>236</v>
      </c>
      <c r="B203" s="25" t="s">
        <v>132</v>
      </c>
      <c r="C203" s="24"/>
      <c r="D203" s="24"/>
      <c r="E203" s="24"/>
      <c r="F203" s="24"/>
      <c r="G203" s="26"/>
      <c r="H203" s="27"/>
      <c r="I203" s="28"/>
    </row>
    <row r="204" spans="1:9" s="1" customFormat="1" ht="18.75" customHeight="1" x14ac:dyDescent="0.35">
      <c r="B204" s="29" t="s">
        <v>60</v>
      </c>
      <c r="E204" s="29" t="s">
        <v>118</v>
      </c>
      <c r="G204" s="5"/>
      <c r="H204" s="3"/>
      <c r="I204" s="2"/>
    </row>
    <row r="205" spans="1:9" s="1" customFormat="1" ht="18.75" customHeight="1" x14ac:dyDescent="0.35">
      <c r="B205" s="1" t="s">
        <v>129</v>
      </c>
      <c r="G205" s="5" t="s">
        <v>86</v>
      </c>
      <c r="H205" s="52">
        <f>MIN(H5*H53/10^6,1.6*H5*F53/10^6)</f>
        <v>163.62</v>
      </c>
      <c r="I205" s="2" t="s">
        <v>8</v>
      </c>
    </row>
    <row r="206" spans="1:9" s="1" customFormat="1" ht="18.75" customHeight="1" x14ac:dyDescent="0.35">
      <c r="G206" s="5"/>
      <c r="H206" s="3"/>
      <c r="I206" s="2"/>
    </row>
    <row r="207" spans="1:9" s="1" customFormat="1" ht="18.75" customHeight="1" x14ac:dyDescent="0.35">
      <c r="B207" s="29" t="s">
        <v>130</v>
      </c>
      <c r="E207" s="29" t="str">
        <f>IF(B85="c",": [ TIDAK PERLU ]",": [ PERLU ]")</f>
        <v>: [ TIDAK PERLU ]</v>
      </c>
      <c r="G207" s="5"/>
      <c r="H207" s="3"/>
      <c r="I207" s="2"/>
    </row>
    <row r="208" spans="1:9" s="1" customFormat="1" ht="18.75" customHeight="1" x14ac:dyDescent="0.35">
      <c r="B208" s="1" t="s">
        <v>128</v>
      </c>
      <c r="G208" s="5"/>
      <c r="H208" s="3"/>
      <c r="I208" s="2"/>
    </row>
    <row r="209" spans="1:9" s="1" customFormat="1" ht="18.75" customHeight="1" x14ac:dyDescent="0.35">
      <c r="B209" s="42" t="s">
        <v>76</v>
      </c>
      <c r="C209" s="37" t="s">
        <v>98</v>
      </c>
      <c r="D209" s="43"/>
      <c r="E209" s="39"/>
      <c r="F209" s="39"/>
      <c r="G209" s="40" t="s">
        <v>86</v>
      </c>
      <c r="H209" s="11" t="str">
        <f>IF(H121&lt;(0.5*H14/H16),IF((0.5*H14/H16)&lt;H122,(H5*H53/10^6)-((H5*H53/10^6)*10^6-0.7*H5*F53)*(H120-H121)/(H122-H121)/10^6,"-"),"-")</f>
        <v>-</v>
      </c>
      <c r="I209" s="2" t="s">
        <v>15</v>
      </c>
    </row>
    <row r="210" spans="1:9" s="1" customFormat="1" ht="18.75" customHeight="1" x14ac:dyDescent="0.35">
      <c r="B210" s="42" t="s">
        <v>77</v>
      </c>
      <c r="C210" s="37" t="s">
        <v>99</v>
      </c>
      <c r="D210" s="43"/>
      <c r="E210" s="39"/>
      <c r="F210" s="39"/>
      <c r="G210" s="40" t="s">
        <v>86</v>
      </c>
      <c r="H210" s="11" t="str">
        <f>IF((0.5*H14/H16)&gt;H122,(0.69*H7/(0.5*H14/H16)^2)*F53/10^6,"-")</f>
        <v>-</v>
      </c>
      <c r="I210" s="2" t="s">
        <v>15</v>
      </c>
    </row>
    <row r="211" spans="1:9" s="1" customFormat="1" ht="18.75" customHeight="1" x14ac:dyDescent="0.35">
      <c r="G211" s="5"/>
      <c r="H211" s="3"/>
      <c r="I211" s="2"/>
    </row>
    <row r="212" spans="1:9" s="1" customFormat="1" ht="18.75" customHeight="1" x14ac:dyDescent="0.35">
      <c r="B212" s="1" t="s">
        <v>90</v>
      </c>
      <c r="G212" s="5"/>
      <c r="H212" s="3"/>
      <c r="I212" s="2"/>
    </row>
    <row r="213" spans="1:9" s="1" customFormat="1" ht="18.75" customHeight="1" x14ac:dyDescent="0.35">
      <c r="B213" s="1" t="s">
        <v>131</v>
      </c>
      <c r="G213" s="5" t="s">
        <v>86</v>
      </c>
      <c r="H213" s="52" t="str">
        <f>IF(B85="c","-",MIN(H209:H210))</f>
        <v>-</v>
      </c>
      <c r="I213" s="2" t="s">
        <v>8</v>
      </c>
    </row>
    <row r="214" spans="1:9" s="1" customFormat="1" ht="18.75" customHeight="1" x14ac:dyDescent="0.35">
      <c r="G214" s="5"/>
      <c r="H214" s="3"/>
      <c r="I214" s="2"/>
    </row>
    <row r="215" spans="1:9" s="1" customFormat="1" ht="18.75" customHeight="1" x14ac:dyDescent="0.35">
      <c r="A215" s="58" t="s">
        <v>239</v>
      </c>
      <c r="B215" s="23" t="s">
        <v>255</v>
      </c>
      <c r="C215" s="64"/>
      <c r="D215" s="64"/>
      <c r="E215" s="64"/>
      <c r="F215" s="64"/>
      <c r="G215" s="65"/>
      <c r="H215" s="66"/>
      <c r="I215" s="67"/>
    </row>
    <row r="216" spans="1:9" s="1" customFormat="1" ht="18.75" customHeight="1" x14ac:dyDescent="0.35">
      <c r="A216" s="61" t="s">
        <v>240</v>
      </c>
      <c r="B216" s="25" t="s">
        <v>238</v>
      </c>
      <c r="C216" s="24"/>
      <c r="D216" s="24"/>
      <c r="E216" s="24"/>
      <c r="F216" s="24"/>
      <c r="G216" s="26"/>
      <c r="H216" s="27"/>
      <c r="I216" s="28"/>
    </row>
    <row r="217" spans="1:9" s="1" customFormat="1" ht="18.75" customHeight="1" x14ac:dyDescent="0.35">
      <c r="B217" s="1" t="s">
        <v>262</v>
      </c>
      <c r="E217" s="4" t="str">
        <f>IF((0.5*(H14-H15)/H16)&lt;(0.56*SQRT(H7/H5)),"λ &lt; λr",IF((0.5*(H14-H15)/H16)&gt;(0.56*SQRT(H7/H5)),"λr &lt; λ","[ EROR ]"))</f>
        <v>λ &lt; λr</v>
      </c>
      <c r="F217" s="30" t="s">
        <v>55</v>
      </c>
      <c r="G217" s="77" t="str">
        <f>IF((0.5*(H14-H15)/H16)&lt;(0.56*SQRT(H7/H5)),"[ OK (Tak Langsing)]",IF((0.5*(H14-H15)/H16)&gt;(0.56*SQRT(H7/H5)),"[NOT OK (Langsing)]","[ EROR ]"))</f>
        <v>[ OK (Tak Langsing)]</v>
      </c>
      <c r="H217" s="78"/>
      <c r="I217" s="2"/>
    </row>
    <row r="218" spans="1:9" s="1" customFormat="1" ht="18.75" customHeight="1" x14ac:dyDescent="0.35">
      <c r="G218" s="5"/>
      <c r="H218" s="3"/>
      <c r="I218" s="2"/>
    </row>
    <row r="219" spans="1:9" s="1" customFormat="1" ht="18.75" customHeight="1" x14ac:dyDescent="0.35">
      <c r="B219" s="1" t="s">
        <v>263</v>
      </c>
      <c r="E219" s="4" t="str">
        <f>IF(((H13-2*(H16+H17))/H15)&lt;(1.49*SQRT(H7/H5)),"λ &lt; λr",IF(((H13-2*(H16+H17))/H15)&gt;(1.49*SQRT(H7/H5)),"λr &lt; λ","[ EROR ]"))</f>
        <v>λ &lt; λr</v>
      </c>
      <c r="F219" s="30" t="s">
        <v>55</v>
      </c>
      <c r="G219" s="77" t="str">
        <f>IF(((H13-2*(H16+H17))/H15)&lt;(1.49*SQRT(H7/H5)),"[ OK (Tak Langsing)]",IF(((H13-2*(H16+H17))/H15)&gt;(1.49*SQRT(H7/H5)),"[NOT OK (Langsing)]","[ EROR ]"))</f>
        <v>[ OK (Tak Langsing)]</v>
      </c>
      <c r="H219" s="78"/>
      <c r="I219" s="2"/>
    </row>
    <row r="220" spans="1:9" s="1" customFormat="1" ht="18.75" customHeight="1" x14ac:dyDescent="0.35">
      <c r="G220" s="5"/>
      <c r="H220" s="3"/>
      <c r="I220" s="2"/>
    </row>
    <row r="221" spans="1:9" s="1" customFormat="1" ht="18.75" customHeight="1" x14ac:dyDescent="0.35">
      <c r="A221" s="61" t="s">
        <v>241</v>
      </c>
      <c r="B221" s="25" t="s">
        <v>133</v>
      </c>
      <c r="C221" s="24"/>
      <c r="D221" s="24"/>
      <c r="E221" s="24"/>
      <c r="F221" s="24"/>
      <c r="G221" s="26"/>
      <c r="H221" s="27"/>
      <c r="I221" s="28"/>
    </row>
    <row r="222" spans="1:9" s="1" customFormat="1" ht="18.75" customHeight="1" x14ac:dyDescent="0.35">
      <c r="B222" s="1" t="s">
        <v>134</v>
      </c>
      <c r="G222" s="5" t="s">
        <v>123</v>
      </c>
      <c r="H222" s="11">
        <f>(MAX((IF(IF((MAX(0.65*H10/(SQRT(C53/H49)),0.65*H10/(SQRT(D53/H49))))&gt;4.71*SQRT($H$7/$H$5),1,0)+IF(($H$5/(PI()^2*H7/(MAX(0.65*H10/(SQRT(C53/H49)),0.65*H10/(SQRT(D53/H49))))^2))&gt;2.25,1,0)&gt;=1,0.877*(PI()^2*H7/(MAX(0.65*H10/(SQRT(C53/H49)),0.65*H10/(SQRT(D53/H49))))^2),0)),(IF(IF((MAX(0.65*H10/(SQRT(C53/H49)),0.65*H10/(SQRT(D53/H49))))&lt;=4.71*SQRT($H$7/$H$5),1,0)+IF(($H$5/(PI()^2*H7/(MAX(0.65*H10/(SQRT(C53/H49)),0.65*H10/(SQRT(D53/H49))))^2))&lt;=2.25,1,0)&gt;=1,0.658^($H$5/(PI()^2*H7/(MAX(0.65*H10/(SQRT(C53/H49)),0.65*H10/(SQRT(D53/H49))))^2))*$H$5,"-"))))</f>
        <v>225.80256251846527</v>
      </c>
      <c r="I222" s="2" t="s">
        <v>15</v>
      </c>
    </row>
    <row r="223" spans="1:9" s="1" customFormat="1" ht="18.75" customHeight="1" x14ac:dyDescent="0.35">
      <c r="B223" s="1" t="s">
        <v>135</v>
      </c>
      <c r="G223" s="5" t="s">
        <v>137</v>
      </c>
      <c r="H223" s="52">
        <f>H222*H49/1000</f>
        <v>2704.691088901372</v>
      </c>
      <c r="I223" s="2" t="s">
        <v>3</v>
      </c>
    </row>
    <row r="224" spans="1:9" s="1" customFormat="1" ht="18.75" customHeight="1" x14ac:dyDescent="0.35">
      <c r="G224" s="5"/>
      <c r="H224" s="3"/>
      <c r="I224" s="2"/>
    </row>
    <row r="225" spans="1:9" s="1" customFormat="1" ht="18.75" customHeight="1" x14ac:dyDescent="0.35">
      <c r="A225" s="61" t="s">
        <v>242</v>
      </c>
      <c r="B225" s="25" t="s">
        <v>136</v>
      </c>
      <c r="C225" s="24"/>
      <c r="D225" s="24"/>
      <c r="E225" s="24"/>
      <c r="F225" s="24"/>
      <c r="G225" s="26"/>
      <c r="H225" s="27"/>
      <c r="I225" s="28"/>
    </row>
    <row r="226" spans="1:9" s="1" customFormat="1" ht="18.75" customHeight="1" x14ac:dyDescent="0.35">
      <c r="B226" s="1" t="s">
        <v>134</v>
      </c>
      <c r="G226" s="5" t="s">
        <v>123</v>
      </c>
      <c r="H226" s="11">
        <f>MAX(IF(IF((MAX(0.65*H10/(SQRT(C53/H49)),0.65*H10/(SQRT(D53/H49))))&gt;4.71*SQRT($H$7/$H$5),1,0)+IF(($H$5/((1/(C53+D53))*(PI()^2*H7*(1/24*(H13-H16)^2*H14^3*H16)/((0.65*H10)^2)+77200*(1/3*((2*H14*H16^3)+((H13-H16)*H15^3))))))&gt;2.25,1,0)&gt;=1,0.877*((1/(C53+D53))*(PI()^2*H7*(1/24*(H13-H16)^2*H14^3*H16)/((0.65*H10)^2)+77200*(1/3*((2*H14*H16^3)+((H13-H16)*H15^3))))),0),IF(IF((MAX(0.65*H10/(SQRT(C53/H49)),0.65*H10/(SQRT(D53/H49))))&lt;=4.71*SQRT($H$7/$H$5),1,0)+IF(($H$5/((1/(C53+D53))*(PI()^2*H7*(1/24*(H13-H16)^2*H14^3*H16)/((0.65*H10)^2)+77200*(1/3*((2*H14*H16^3)+((H13-H16)*H15^3))))))&lt;=2.25,1,0)&gt;=1,0.658^($H$5/((1/(C53+D53))*(PI()^2*H7*(1/24*(H13-H16)^2*H14^3*H16)/((0.65*H10)^2)+77200*(1/3*((2*H14*H16^3)+((H13-H16)*H15^3))))))*$H$5,"-"))</f>
        <v>226.4023212489096</v>
      </c>
      <c r="I226" s="2" t="s">
        <v>15</v>
      </c>
    </row>
    <row r="227" spans="1:9" s="1" customFormat="1" ht="18.75" customHeight="1" x14ac:dyDescent="0.35">
      <c r="G227" s="5"/>
      <c r="H227" s="3"/>
      <c r="I227" s="2"/>
    </row>
    <row r="228" spans="1:9" s="1" customFormat="1" ht="18.75" customHeight="1" x14ac:dyDescent="0.35">
      <c r="B228" s="1" t="s">
        <v>156</v>
      </c>
      <c r="G228" s="5" t="s">
        <v>137</v>
      </c>
      <c r="H228" s="52">
        <f>H226*H49/1000</f>
        <v>2711.8750733328638</v>
      </c>
      <c r="I228" s="2" t="s">
        <v>3</v>
      </c>
    </row>
    <row r="229" spans="1:9" s="1" customFormat="1" ht="18.75" customHeight="1" x14ac:dyDescent="0.35">
      <c r="G229" s="5"/>
      <c r="H229" s="3"/>
      <c r="I229" s="2"/>
    </row>
    <row r="230" spans="1:9" s="1" customFormat="1" ht="18.75" customHeight="1" x14ac:dyDescent="0.35">
      <c r="A230" s="58" t="s">
        <v>243</v>
      </c>
      <c r="B230" s="23" t="s">
        <v>237</v>
      </c>
      <c r="C230" s="64"/>
      <c r="D230" s="64"/>
      <c r="E230" s="64"/>
      <c r="F230" s="64"/>
      <c r="G230" s="65"/>
      <c r="H230" s="66"/>
      <c r="I230" s="67"/>
    </row>
    <row r="231" spans="1:9" s="1" customFormat="1" ht="18.75" customHeight="1" x14ac:dyDescent="0.35">
      <c r="A231" s="61" t="s">
        <v>248</v>
      </c>
      <c r="B231" s="29" t="s">
        <v>244</v>
      </c>
      <c r="C231" s="24"/>
      <c r="D231" s="24"/>
      <c r="E231" s="24"/>
      <c r="F231" s="24"/>
      <c r="G231" s="26"/>
      <c r="H231" s="27"/>
      <c r="I231" s="28"/>
    </row>
    <row r="232" spans="1:9" s="1" customFormat="1" ht="18.75" customHeight="1" x14ac:dyDescent="0.35">
      <c r="B232" s="1" t="s">
        <v>157</v>
      </c>
      <c r="G232" s="5" t="s">
        <v>154</v>
      </c>
      <c r="H232" s="11">
        <f>H223</f>
        <v>2704.691088901372</v>
      </c>
      <c r="I232" s="2" t="s">
        <v>3</v>
      </c>
    </row>
    <row r="233" spans="1:9" s="1" customFormat="1" ht="18.75" customHeight="1" x14ac:dyDescent="0.35">
      <c r="B233" s="1" t="s">
        <v>158</v>
      </c>
      <c r="G233" s="5" t="s">
        <v>154</v>
      </c>
      <c r="H233" s="11">
        <f>H228</f>
        <v>2711.8750733328638</v>
      </c>
      <c r="I233" s="2" t="s">
        <v>3</v>
      </c>
    </row>
    <row r="234" spans="1:9" s="1" customFormat="1" ht="18.75" customHeight="1" x14ac:dyDescent="0.35">
      <c r="B234" s="1" t="s">
        <v>155</v>
      </c>
      <c r="G234" s="5" t="s">
        <v>154</v>
      </c>
      <c r="H234" s="52">
        <f>MIN(H232:H233)</f>
        <v>2704.691088901372</v>
      </c>
      <c r="I234" s="2" t="s">
        <v>3</v>
      </c>
    </row>
    <row r="235" spans="1:9" s="1" customFormat="1" ht="18.75" customHeight="1" x14ac:dyDescent="0.35">
      <c r="G235" s="5"/>
      <c r="H235" s="3"/>
      <c r="I235" s="2"/>
    </row>
    <row r="236" spans="1:9" s="1" customFormat="1" ht="18.75" customHeight="1" x14ac:dyDescent="0.35">
      <c r="A236" s="61" t="s">
        <v>249</v>
      </c>
      <c r="B236" s="29" t="s">
        <v>245</v>
      </c>
      <c r="C236" s="24"/>
      <c r="D236" s="24"/>
      <c r="E236" s="24"/>
      <c r="F236" s="24"/>
      <c r="G236" s="26"/>
      <c r="H236" s="27"/>
      <c r="I236" s="28"/>
    </row>
    <row r="237" spans="1:9" s="1" customFormat="1" ht="18.75" customHeight="1" x14ac:dyDescent="0.35">
      <c r="B237" s="29" t="s">
        <v>139</v>
      </c>
      <c r="G237" s="5"/>
      <c r="H237" s="3"/>
      <c r="I237" s="2"/>
    </row>
    <row r="238" spans="1:9" s="1" customFormat="1" ht="18.75" customHeight="1" x14ac:dyDescent="0.35">
      <c r="B238" s="2" t="s">
        <v>159</v>
      </c>
      <c r="G238" s="5" t="s">
        <v>178</v>
      </c>
      <c r="H238" s="4">
        <f>IF($H$75="-","-",H95)</f>
        <v>351.54</v>
      </c>
      <c r="I238" s="2" t="s">
        <v>8</v>
      </c>
    </row>
    <row r="239" spans="1:9" s="1" customFormat="1" ht="18.75" customHeight="1" x14ac:dyDescent="0.35">
      <c r="B239" s="2" t="s">
        <v>160</v>
      </c>
      <c r="G239" s="5" t="s">
        <v>178</v>
      </c>
      <c r="H239" s="4">
        <f>IF($H$75="-","-",H112)</f>
        <v>351.54</v>
      </c>
      <c r="I239" s="2" t="s">
        <v>8</v>
      </c>
    </row>
    <row r="240" spans="1:9" s="1" customFormat="1" ht="18.75" customHeight="1" x14ac:dyDescent="0.35">
      <c r="B240" s="29" t="s">
        <v>140</v>
      </c>
      <c r="G240" s="5"/>
      <c r="H240" s="3"/>
      <c r="I240" s="2"/>
    </row>
    <row r="241" spans="1:9" s="1" customFormat="1" ht="18.75" customHeight="1" x14ac:dyDescent="0.35">
      <c r="B241" s="2" t="s">
        <v>160</v>
      </c>
      <c r="G241" s="5" t="s">
        <v>178</v>
      </c>
      <c r="H241" s="11" t="str">
        <f>IF($H$76="-","-",H116)</f>
        <v>-</v>
      </c>
      <c r="I241" s="2" t="s">
        <v>8</v>
      </c>
    </row>
    <row r="242" spans="1:9" s="1" customFormat="1" ht="18.75" customHeight="1" x14ac:dyDescent="0.35">
      <c r="B242" s="2" t="s">
        <v>161</v>
      </c>
      <c r="G242" s="5" t="s">
        <v>178</v>
      </c>
      <c r="H242" s="11" t="str">
        <f>IF($H$76="-","-",H129)</f>
        <v>-</v>
      </c>
      <c r="I242" s="2" t="s">
        <v>8</v>
      </c>
    </row>
    <row r="243" spans="1:9" s="1" customFormat="1" ht="18.75" customHeight="1" x14ac:dyDescent="0.35">
      <c r="B243" s="29" t="s">
        <v>141</v>
      </c>
      <c r="G243" s="5"/>
      <c r="H243" s="12"/>
      <c r="I243" s="2"/>
    </row>
    <row r="244" spans="1:9" s="1" customFormat="1" ht="18.75" customHeight="1" x14ac:dyDescent="0.35">
      <c r="B244" s="2" t="s">
        <v>162</v>
      </c>
      <c r="G244" s="5" t="s">
        <v>178</v>
      </c>
      <c r="H244" s="11">
        <f>IF($H$77="-","-",H143)</f>
        <v>351.54</v>
      </c>
      <c r="I244" s="2" t="s">
        <v>8</v>
      </c>
    </row>
    <row r="245" spans="1:9" s="1" customFormat="1" ht="18.75" customHeight="1" x14ac:dyDescent="0.35">
      <c r="B245" s="2" t="s">
        <v>160</v>
      </c>
      <c r="G245" s="5" t="s">
        <v>178</v>
      </c>
      <c r="H245" s="11">
        <f>IF($H$77="-","-",H160)</f>
        <v>351.54</v>
      </c>
      <c r="I245" s="2" t="s">
        <v>8</v>
      </c>
    </row>
    <row r="246" spans="1:9" s="1" customFormat="1" ht="18.75" customHeight="1" x14ac:dyDescent="0.35">
      <c r="B246" s="2" t="s">
        <v>163</v>
      </c>
      <c r="G246" s="5" t="s">
        <v>178</v>
      </c>
      <c r="H246" s="11" t="str">
        <f>IF($H$77="-","-",H168)</f>
        <v>-</v>
      </c>
      <c r="I246" s="2" t="s">
        <v>8</v>
      </c>
    </row>
    <row r="247" spans="1:9" s="1" customFormat="1" ht="18.75" customHeight="1" x14ac:dyDescent="0.35">
      <c r="B247" s="29" t="s">
        <v>142</v>
      </c>
      <c r="G247" s="5"/>
      <c r="H247" s="3"/>
      <c r="I247" s="2"/>
    </row>
    <row r="248" spans="1:9" s="1" customFormat="1" ht="18.75" customHeight="1" x14ac:dyDescent="0.35">
      <c r="B248" s="2" t="s">
        <v>162</v>
      </c>
      <c r="G248" s="5" t="s">
        <v>178</v>
      </c>
      <c r="H248" s="4" t="str">
        <f>IF($H$78="-","-",H176)</f>
        <v>-</v>
      </c>
      <c r="I248" s="2" t="s">
        <v>8</v>
      </c>
    </row>
    <row r="249" spans="1:9" s="1" customFormat="1" ht="18.75" customHeight="1" x14ac:dyDescent="0.35">
      <c r="B249" s="2" t="s">
        <v>160</v>
      </c>
      <c r="G249" s="5" t="s">
        <v>178</v>
      </c>
      <c r="H249" s="4" t="str">
        <f>IF($H$78="-","-",H190)</f>
        <v>-</v>
      </c>
      <c r="I249" s="2" t="s">
        <v>8</v>
      </c>
    </row>
    <row r="250" spans="1:9" s="1" customFormat="1" ht="18.75" customHeight="1" x14ac:dyDescent="0.35">
      <c r="B250" s="2" t="s">
        <v>163</v>
      </c>
      <c r="G250" s="5" t="s">
        <v>178</v>
      </c>
      <c r="H250" s="4" t="str">
        <f>IF($H$78="-","-",H198)</f>
        <v>-</v>
      </c>
      <c r="I250" s="2" t="s">
        <v>8</v>
      </c>
    </row>
    <row r="251" spans="1:9" s="1" customFormat="1" ht="18.75" customHeight="1" x14ac:dyDescent="0.35">
      <c r="B251" s="1" t="s">
        <v>164</v>
      </c>
      <c r="G251" s="5" t="s">
        <v>178</v>
      </c>
      <c r="H251" s="52">
        <f>MIN(H238:H250)</f>
        <v>351.54</v>
      </c>
      <c r="I251" s="2" t="s">
        <v>8</v>
      </c>
    </row>
    <row r="252" spans="1:9" s="1" customFormat="1" ht="18.75" customHeight="1" x14ac:dyDescent="0.35">
      <c r="G252" s="5"/>
      <c r="H252" s="3"/>
      <c r="I252" s="2"/>
    </row>
    <row r="253" spans="1:9" s="1" customFormat="1" ht="18.75" customHeight="1" x14ac:dyDescent="0.35">
      <c r="A253" s="61" t="s">
        <v>250</v>
      </c>
      <c r="B253" s="29" t="s">
        <v>246</v>
      </c>
      <c r="C253" s="24"/>
      <c r="D253" s="24"/>
      <c r="E253" s="24"/>
      <c r="F253" s="24"/>
      <c r="G253" s="26"/>
      <c r="H253" s="27"/>
      <c r="I253" s="28"/>
    </row>
    <row r="254" spans="1:9" s="1" customFormat="1" ht="18.75" customHeight="1" x14ac:dyDescent="0.35">
      <c r="B254" s="1" t="s">
        <v>159</v>
      </c>
      <c r="G254" s="5" t="s">
        <v>179</v>
      </c>
      <c r="H254" s="11">
        <f>H205</f>
        <v>163.62</v>
      </c>
      <c r="I254" s="2" t="s">
        <v>8</v>
      </c>
    </row>
    <row r="255" spans="1:9" s="1" customFormat="1" ht="18.75" customHeight="1" x14ac:dyDescent="0.35">
      <c r="B255" s="1" t="s">
        <v>161</v>
      </c>
      <c r="G255" s="5" t="s">
        <v>179</v>
      </c>
      <c r="H255" s="11" t="str">
        <f>H213</f>
        <v>-</v>
      </c>
      <c r="I255" s="2" t="s">
        <v>8</v>
      </c>
    </row>
    <row r="256" spans="1:9" s="1" customFormat="1" ht="18.75" customHeight="1" x14ac:dyDescent="0.35">
      <c r="B256" s="1" t="s">
        <v>164</v>
      </c>
      <c r="G256" s="5" t="s">
        <v>179</v>
      </c>
      <c r="H256" s="52">
        <f>MIN(H254:H255)</f>
        <v>163.62</v>
      </c>
      <c r="I256" s="2" t="s">
        <v>8</v>
      </c>
    </row>
    <row r="257" spans="1:15" s="1" customFormat="1" ht="18.75" customHeight="1" x14ac:dyDescent="0.35">
      <c r="G257" s="5"/>
      <c r="H257" s="3"/>
      <c r="I257" s="2"/>
    </row>
    <row r="258" spans="1:15" s="1" customFormat="1" ht="18.75" customHeight="1" x14ac:dyDescent="0.35">
      <c r="A258" s="61" t="s">
        <v>251</v>
      </c>
      <c r="B258" s="25" t="s">
        <v>247</v>
      </c>
      <c r="C258" s="24"/>
      <c r="D258" s="24"/>
      <c r="E258" s="24"/>
      <c r="F258" s="24"/>
      <c r="G258" s="26"/>
      <c r="H258" s="27"/>
      <c r="I258" s="28"/>
    </row>
    <row r="259" spans="1:15" s="1" customFormat="1" ht="18.75" customHeight="1" x14ac:dyDescent="0.35">
      <c r="B259" s="1" t="s">
        <v>170</v>
      </c>
      <c r="G259" s="5" t="s">
        <v>177</v>
      </c>
      <c r="H259" s="11">
        <f>H37</f>
        <v>784.80000000000007</v>
      </c>
      <c r="I259" s="2" t="s">
        <v>3</v>
      </c>
    </row>
    <row r="260" spans="1:15" s="1" customFormat="1" ht="18.75" customHeight="1" x14ac:dyDescent="0.35">
      <c r="B260" s="1" t="s">
        <v>167</v>
      </c>
      <c r="G260" s="5" t="s">
        <v>166</v>
      </c>
      <c r="H260" s="11">
        <f>H60</f>
        <v>98.100000000000009</v>
      </c>
      <c r="I260" s="2" t="s">
        <v>8</v>
      </c>
    </row>
    <row r="261" spans="1:15" s="1" customFormat="1" ht="18.75" customHeight="1" x14ac:dyDescent="0.35">
      <c r="B261" s="1" t="s">
        <v>168</v>
      </c>
      <c r="G261" s="5" t="s">
        <v>169</v>
      </c>
      <c r="H261" s="11">
        <f>H65</f>
        <v>42.451419892777814</v>
      </c>
      <c r="I261" s="2" t="s">
        <v>8</v>
      </c>
    </row>
    <row r="262" spans="1:15" s="1" customFormat="1" ht="18.75" customHeight="1" x14ac:dyDescent="0.35">
      <c r="B262" s="1" t="s">
        <v>172</v>
      </c>
      <c r="G262" s="5" t="s">
        <v>174</v>
      </c>
      <c r="H262" s="33">
        <v>0.9</v>
      </c>
      <c r="I262" s="2"/>
    </row>
    <row r="263" spans="1:15" s="1" customFormat="1" ht="18.75" customHeight="1" x14ac:dyDescent="0.35">
      <c r="B263" s="1" t="s">
        <v>173</v>
      </c>
      <c r="G263" s="5" t="s">
        <v>175</v>
      </c>
      <c r="H263" s="33">
        <v>0.9</v>
      </c>
      <c r="I263" s="2"/>
    </row>
    <row r="264" spans="1:15" s="1" customFormat="1" ht="18.75" customHeight="1" x14ac:dyDescent="0.35">
      <c r="B264" s="1" t="s">
        <v>171</v>
      </c>
      <c r="G264" s="5" t="s">
        <v>176</v>
      </c>
      <c r="H264" s="38">
        <f>H259/(H262*H234)</f>
        <v>0.3224028073217784</v>
      </c>
      <c r="I264" s="2"/>
    </row>
    <row r="265" spans="1:15" s="1" customFormat="1" ht="18.75" customHeight="1" x14ac:dyDescent="0.35">
      <c r="B265" s="1" t="s">
        <v>188</v>
      </c>
      <c r="E265" s="34"/>
      <c r="G265" s="5"/>
      <c r="H265" s="12"/>
      <c r="I265" s="2"/>
      <c r="O265" s="53"/>
    </row>
    <row r="266" spans="1:15" s="1" customFormat="1" ht="18.75" customHeight="1" x14ac:dyDescent="0.35">
      <c r="B266" s="1" t="s">
        <v>88</v>
      </c>
      <c r="D266" s="4" t="s">
        <v>189</v>
      </c>
      <c r="E266" s="3" t="s">
        <v>89</v>
      </c>
      <c r="F266" s="33">
        <v>1</v>
      </c>
      <c r="G266" s="5"/>
      <c r="H266" s="3"/>
      <c r="I266" s="29"/>
    </row>
    <row r="267" spans="1:15" s="1" customFormat="1" ht="18.75" customHeight="1" x14ac:dyDescent="0.35">
      <c r="D267" s="11">
        <f>MAX(IF(H264&gt;=0.2,H259/(H262*H234)+8/9*(H260/(H263*H251)+H261/(H263*H256)),0),IF(H264&lt;0.2,H259/(2*H262*H234)+(H260/(H263*H251)+H261/(H263*H256)),0))</f>
        <v>0.85426369484880116</v>
      </c>
      <c r="E267" s="3" t="str">
        <f>IF(D267&lt;=F267,"≤","&gt;")</f>
        <v>≤</v>
      </c>
      <c r="F267" s="33">
        <f>F266</f>
        <v>1</v>
      </c>
      <c r="G267" s="30" t="s">
        <v>55</v>
      </c>
      <c r="H267" s="36" t="str">
        <f>IF(D267&lt;=1,"[ OK ]","[ NOT OK ]")</f>
        <v>[ OK ]</v>
      </c>
      <c r="I267" s="2"/>
    </row>
    <row r="268" spans="1:15" s="1" customFormat="1" ht="18.75" customHeight="1" x14ac:dyDescent="0.35">
      <c r="G268" s="5"/>
      <c r="H268" s="3"/>
      <c r="I268" s="2"/>
    </row>
    <row r="269" spans="1:15" s="1" customFormat="1" ht="18.75" customHeight="1" x14ac:dyDescent="0.35">
      <c r="A269" s="58" t="s">
        <v>252</v>
      </c>
      <c r="B269" s="23" t="s">
        <v>257</v>
      </c>
      <c r="C269" s="64"/>
      <c r="D269" s="64"/>
      <c r="E269" s="64"/>
      <c r="F269" s="64"/>
      <c r="G269" s="65"/>
      <c r="H269" s="66"/>
      <c r="I269" s="67"/>
    </row>
    <row r="270" spans="1:15" s="1" customFormat="1" ht="18.75" customHeight="1" x14ac:dyDescent="0.35">
      <c r="A270" s="61" t="s">
        <v>253</v>
      </c>
      <c r="B270" s="25" t="s">
        <v>260</v>
      </c>
      <c r="C270" s="24"/>
      <c r="D270" s="24"/>
      <c r="E270" s="24"/>
      <c r="F270" s="24"/>
      <c r="G270" s="26"/>
      <c r="H270" s="27"/>
      <c r="I270" s="28"/>
    </row>
    <row r="271" spans="1:15" s="1" customFormat="1" ht="18.75" customHeight="1" x14ac:dyDescent="0.35">
      <c r="B271" s="1" t="s">
        <v>190</v>
      </c>
      <c r="G271" s="5" t="s">
        <v>192</v>
      </c>
      <c r="H271" s="33">
        <f>MAX(IF((H13-H16)/H15&lt;=2.24*SQRT(H7/H5),1,0),IF((H13-H16)/H15&gt;2.24*SQRT(H7/H5),1.1/(H13-H16)/H15*SQRT(5.34*H7/H5),0))</f>
        <v>1</v>
      </c>
      <c r="I271" s="2"/>
    </row>
    <row r="272" spans="1:15" s="1" customFormat="1" ht="18.75" customHeight="1" x14ac:dyDescent="0.35">
      <c r="B272" s="1" t="s">
        <v>191</v>
      </c>
      <c r="G272" s="5" t="s">
        <v>269</v>
      </c>
      <c r="H272" s="4">
        <f>0.6*H5*((H13-H16)*H15)*H271/1000</f>
        <v>410.4</v>
      </c>
      <c r="I272" s="2" t="s">
        <v>3</v>
      </c>
    </row>
    <row r="273" spans="1:9" s="1" customFormat="1" ht="18.75" customHeight="1" x14ac:dyDescent="0.35">
      <c r="B273" s="1" t="s">
        <v>194</v>
      </c>
      <c r="G273" s="5" t="s">
        <v>195</v>
      </c>
      <c r="H273" s="33">
        <v>0.9</v>
      </c>
      <c r="I273" s="2"/>
    </row>
    <row r="274" spans="1:9" s="1" customFormat="1" ht="18.75" customHeight="1" x14ac:dyDescent="0.35">
      <c r="B274" s="1" t="s">
        <v>201</v>
      </c>
      <c r="G274" s="5"/>
      <c r="H274" s="54"/>
      <c r="I274" s="2"/>
    </row>
    <row r="275" spans="1:9" s="1" customFormat="1" ht="18.75" customHeight="1" x14ac:dyDescent="0.35">
      <c r="B275" s="1" t="s">
        <v>88</v>
      </c>
      <c r="D275" s="3" t="s">
        <v>203</v>
      </c>
      <c r="E275" s="3" t="s">
        <v>89</v>
      </c>
      <c r="F275" s="3" t="s">
        <v>202</v>
      </c>
      <c r="G275" s="5"/>
      <c r="H275" s="54"/>
      <c r="I275" s="2"/>
    </row>
    <row r="276" spans="1:9" s="1" customFormat="1" ht="18.75" customHeight="1" x14ac:dyDescent="0.35">
      <c r="D276" s="33">
        <f>H44</f>
        <v>48.65</v>
      </c>
      <c r="E276" s="3" t="str">
        <f>IF(D276&lt;F276,"≤","&gt;")</f>
        <v>≤</v>
      </c>
      <c r="F276" s="4">
        <f>0.9*0.6*H5*((H13-H16)*H15)*H271/1000</f>
        <v>369.36000000000007</v>
      </c>
      <c r="G276" s="30" t="s">
        <v>55</v>
      </c>
      <c r="H276" s="36" t="str">
        <f>IF(D276&lt;F276,"[ OK ]","[ NOT OK ]")</f>
        <v>[ OK ]</v>
      </c>
      <c r="I276" s="2"/>
    </row>
    <row r="277" spans="1:9" s="1" customFormat="1" ht="18.75" customHeight="1" x14ac:dyDescent="0.35">
      <c r="D277" s="54"/>
      <c r="E277" s="3"/>
      <c r="F277" s="3"/>
      <c r="G277" s="30"/>
      <c r="H277" s="36"/>
      <c r="I277" s="2"/>
    </row>
    <row r="278" spans="1:9" s="1" customFormat="1" ht="18.75" customHeight="1" x14ac:dyDescent="0.35">
      <c r="B278" s="1" t="s">
        <v>206</v>
      </c>
      <c r="G278" s="5"/>
      <c r="H278" s="54"/>
      <c r="I278" s="2"/>
    </row>
    <row r="279" spans="1:9" s="1" customFormat="1" ht="18.75" customHeight="1" x14ac:dyDescent="0.35">
      <c r="B279" s="1" t="s">
        <v>88</v>
      </c>
      <c r="C279" s="1" t="s">
        <v>209</v>
      </c>
      <c r="F279" s="1" t="s">
        <v>207</v>
      </c>
      <c r="G279" s="5"/>
      <c r="H279" s="3"/>
      <c r="I279" s="2"/>
    </row>
    <row r="280" spans="1:9" s="1" customFormat="1" ht="18.75" customHeight="1" x14ac:dyDescent="0.35">
      <c r="C280" s="57">
        <f>H264+H260/(H263*H251)+D276/(H273*F276)</f>
        <v>0.77881633660939853</v>
      </c>
      <c r="F280" s="1" t="str">
        <f>IF(C280&lt;=1,"≤ 1,0","&gt; 1,0")</f>
        <v>≤ 1,0</v>
      </c>
      <c r="G280" s="30" t="s">
        <v>55</v>
      </c>
      <c r="H280" s="36" t="str">
        <f>IF(C280&lt;=1,"[ OK ]","[ NOT OK ]")</f>
        <v>[ OK ]</v>
      </c>
      <c r="I280" s="2"/>
    </row>
    <row r="281" spans="1:9" s="1" customFormat="1" ht="18.75" customHeight="1" x14ac:dyDescent="0.35">
      <c r="G281" s="5"/>
      <c r="H281" s="3"/>
      <c r="I281" s="2"/>
    </row>
    <row r="282" spans="1:9" s="1" customFormat="1" ht="18.75" customHeight="1" x14ac:dyDescent="0.35">
      <c r="A282" s="61" t="s">
        <v>254</v>
      </c>
      <c r="B282" s="25" t="s">
        <v>258</v>
      </c>
      <c r="C282" s="24"/>
      <c r="D282" s="24"/>
      <c r="E282" s="24"/>
      <c r="F282" s="24"/>
      <c r="G282" s="26"/>
      <c r="H282" s="27"/>
      <c r="I282" s="28"/>
    </row>
    <row r="283" spans="1:9" s="1" customFormat="1" ht="18.75" customHeight="1" x14ac:dyDescent="0.35">
      <c r="B283" s="1" t="s">
        <v>190</v>
      </c>
      <c r="G283" s="5" t="s">
        <v>193</v>
      </c>
      <c r="H283" s="33">
        <f>MAX(IF((H14/(2*H16))&lt;=2.24*SQRT(H7/H5),1,0),IF((H14/(2*H16))&gt;2.24*SQRT(H7/H5),1.1/(H14/(2*H16))*SQRT(1.2*H7/H5),0))</f>
        <v>1</v>
      </c>
      <c r="I283" s="2"/>
    </row>
    <row r="284" spans="1:9" s="1" customFormat="1" ht="18.75" customHeight="1" x14ac:dyDescent="0.35">
      <c r="G284" s="5"/>
      <c r="H284" s="3"/>
      <c r="I284" s="2"/>
    </row>
    <row r="285" spans="1:9" s="1" customFormat="1" ht="18.75" customHeight="1" x14ac:dyDescent="0.35">
      <c r="B285" s="1" t="s">
        <v>191</v>
      </c>
      <c r="G285" s="5" t="s">
        <v>269</v>
      </c>
      <c r="H285" s="33">
        <f>0.6*H5*H14*H16*H283/1000</f>
        <v>648</v>
      </c>
      <c r="I285" s="2" t="s">
        <v>3</v>
      </c>
    </row>
    <row r="286" spans="1:9" s="1" customFormat="1" ht="18.75" customHeight="1" x14ac:dyDescent="0.35">
      <c r="B286" s="1" t="s">
        <v>194</v>
      </c>
      <c r="G286" s="5" t="s">
        <v>195</v>
      </c>
      <c r="H286" s="33">
        <v>0.9</v>
      </c>
      <c r="I286" s="2"/>
    </row>
    <row r="287" spans="1:9" s="1" customFormat="1" ht="18.75" customHeight="1" x14ac:dyDescent="0.35">
      <c r="B287" s="1" t="s">
        <v>196</v>
      </c>
      <c r="G287" s="5" t="s">
        <v>200</v>
      </c>
      <c r="H287" s="33">
        <f>H45</f>
        <v>33.258000000000003</v>
      </c>
      <c r="I287" s="2" t="s">
        <v>3</v>
      </c>
    </row>
    <row r="288" spans="1:9" s="1" customFormat="1" ht="18.75" customHeight="1" x14ac:dyDescent="0.35">
      <c r="B288" s="1" t="s">
        <v>88</v>
      </c>
      <c r="D288" s="3" t="s">
        <v>204</v>
      </c>
      <c r="E288" s="3" t="s">
        <v>89</v>
      </c>
      <c r="F288" s="3" t="s">
        <v>202</v>
      </c>
      <c r="G288" s="5"/>
      <c r="H288" s="54"/>
      <c r="I288" s="2"/>
    </row>
    <row r="289" spans="2:9" s="1" customFormat="1" ht="18.75" customHeight="1" x14ac:dyDescent="0.35">
      <c r="D289" s="33">
        <f>H45</f>
        <v>33.258000000000003</v>
      </c>
      <c r="E289" s="3" t="str">
        <f>IF(D289&lt;H286*H285,"≤","&gt;")</f>
        <v>≤</v>
      </c>
      <c r="F289" s="33">
        <f>H285</f>
        <v>648</v>
      </c>
      <c r="G289" s="30" t="s">
        <v>55</v>
      </c>
      <c r="H289" s="36" t="str">
        <f>IF(D289&lt;H286*H285,"[ OK ]","[ NOT OK ]")</f>
        <v>[ OK ]</v>
      </c>
      <c r="I289" s="2"/>
    </row>
    <row r="290" spans="2:9" s="1" customFormat="1" ht="18.75" customHeight="1" x14ac:dyDescent="0.35">
      <c r="D290" s="54"/>
      <c r="E290" s="3"/>
      <c r="F290" s="54"/>
      <c r="G290" s="30"/>
      <c r="H290" s="36"/>
      <c r="I290" s="2"/>
    </row>
    <row r="291" spans="2:9" s="1" customFormat="1" ht="18.75" customHeight="1" x14ac:dyDescent="0.35">
      <c r="B291" s="1" t="s">
        <v>206</v>
      </c>
      <c r="G291" s="5"/>
      <c r="H291" s="54"/>
      <c r="I291" s="2"/>
    </row>
    <row r="292" spans="2:9" s="1" customFormat="1" ht="18.75" customHeight="1" x14ac:dyDescent="0.35">
      <c r="B292" s="1" t="s">
        <v>88</v>
      </c>
      <c r="C292" s="1" t="s">
        <v>208</v>
      </c>
      <c r="F292" s="1" t="s">
        <v>207</v>
      </c>
      <c r="G292" s="5"/>
      <c r="H292" s="3"/>
      <c r="I292" s="2"/>
    </row>
    <row r="293" spans="2:9" s="1" customFormat="1" ht="18.75" customHeight="1" x14ac:dyDescent="0.35">
      <c r="C293" s="57">
        <f>H264+H261/(H263*H256)+D289/(H286*F289)</f>
        <v>0.66770876620196018</v>
      </c>
      <c r="F293" s="1" t="str">
        <f>IF(C293&lt;=1,"≤ 1,0","&gt; 1,0")</f>
        <v>≤ 1,0</v>
      </c>
      <c r="G293" s="30" t="s">
        <v>55</v>
      </c>
      <c r="H293" s="36" t="str">
        <f>IF(C293&lt;=1,"[ OK ]","[ NOT OK ]")</f>
        <v>[ OK ]</v>
      </c>
      <c r="I293" s="2"/>
    </row>
    <row r="294" spans="2:9" s="1" customFormat="1" ht="18.75" customHeight="1" x14ac:dyDescent="0.35">
      <c r="G294" s="5"/>
      <c r="H294" s="3"/>
      <c r="I294" s="2"/>
    </row>
  </sheetData>
  <mergeCells count="27">
    <mergeCell ref="G217:H217"/>
    <mergeCell ref="G219:H219"/>
    <mergeCell ref="E51:F51"/>
    <mergeCell ref="G51:H51"/>
    <mergeCell ref="B76:C76"/>
    <mergeCell ref="D76:E76"/>
    <mergeCell ref="F82:H82"/>
    <mergeCell ref="D82:E83"/>
    <mergeCell ref="B82:C83"/>
    <mergeCell ref="B85:C85"/>
    <mergeCell ref="D85:E85"/>
    <mergeCell ref="B84:C84"/>
    <mergeCell ref="D84:E84"/>
    <mergeCell ref="F84:F85"/>
    <mergeCell ref="G84:G85"/>
    <mergeCell ref="H84:H85"/>
    <mergeCell ref="B1:F1"/>
    <mergeCell ref="B77:C77"/>
    <mergeCell ref="D77:E77"/>
    <mergeCell ref="F73:H73"/>
    <mergeCell ref="D73:E74"/>
    <mergeCell ref="B73:C74"/>
    <mergeCell ref="B51:B52"/>
    <mergeCell ref="G68:H68"/>
    <mergeCell ref="G69:H69"/>
    <mergeCell ref="C51:D51"/>
    <mergeCell ref="G12:H12"/>
  </mergeCells>
  <dataValidations disablePrompts="1" count="1">
    <dataValidation type="list" allowBlank="1" showInputMessage="1" showErrorMessage="1" sqref="H4" xr:uid="{8C3BCAF8-0629-4960-BFD7-7B4E41AC0E55}">
      <formula1>"BJ 34, BJ 37, BJ 41, BJ 50, BJ 55"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Shafannisa Sulhi</cp:lastModifiedBy>
  <cp:lastPrinted>2021-09-20T04:42:52Z</cp:lastPrinted>
  <dcterms:created xsi:type="dcterms:W3CDTF">2021-09-03T02:49:02Z</dcterms:created>
  <dcterms:modified xsi:type="dcterms:W3CDTF">2024-08-15T03:43:37Z</dcterms:modified>
</cp:coreProperties>
</file>