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Lite/"/>
    </mc:Choice>
  </mc:AlternateContent>
  <xr:revisionPtr revIDLastSave="660" documentId="8_{C30C2735-D54F-4E7C-BE72-8A4ED733CEDB}" xr6:coauthVersionLast="47" xr6:coauthVersionMax="47" xr10:uidLastSave="{1713619A-EB99-49EA-BCF9-ECB36F3C3F26}"/>
  <bookViews>
    <workbookView xWindow="-120" yWindow="-120" windowWidth="29040" windowHeight="15720" xr2:uid="{256F34B1-1608-418F-A65A-CD49556DDF45}"/>
  </bookViews>
  <sheets>
    <sheet name="Input + Proc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D203" i="1"/>
  <c r="H95" i="1"/>
  <c r="H75" i="1"/>
  <c r="H124" i="1"/>
  <c r="H96" i="1"/>
  <c r="H38" i="1"/>
  <c r="G38" i="1"/>
  <c r="D38" i="1"/>
  <c r="H116" i="1" s="1"/>
  <c r="C38" i="1"/>
  <c r="E38" i="1" s="1"/>
  <c r="H34" i="1"/>
  <c r="F38" i="1" l="1"/>
  <c r="H25" i="1" l="1"/>
  <c r="H66" i="1" s="1"/>
  <c r="H6" i="1"/>
  <c r="H5" i="1"/>
  <c r="F203" i="1" l="1"/>
  <c r="H203" i="1"/>
  <c r="E203" i="1"/>
  <c r="H150" i="1"/>
  <c r="H157" i="1"/>
  <c r="H123" i="1"/>
  <c r="H129" i="1" s="1"/>
  <c r="H122" i="1"/>
  <c r="H110" i="1"/>
  <c r="H114" i="1"/>
  <c r="H115" i="1"/>
  <c r="F86" i="1"/>
  <c r="H109" i="1"/>
  <c r="H74" i="1"/>
  <c r="H80" i="1"/>
  <c r="H82" i="1"/>
  <c r="D52" i="1"/>
  <c r="G44" i="1"/>
  <c r="E44" i="1"/>
  <c r="H98" i="1"/>
  <c r="H169" i="1" s="1"/>
  <c r="B52" i="1"/>
  <c r="G43" i="1"/>
  <c r="E43" i="1"/>
  <c r="H97" i="1"/>
  <c r="H168" i="1" s="1"/>
  <c r="F161" i="1"/>
  <c r="H71" i="1"/>
  <c r="H194" i="1"/>
  <c r="D197" i="1" s="1"/>
  <c r="H156" i="1" l="1"/>
  <c r="H155" i="1"/>
  <c r="H140" i="1"/>
  <c r="H139" i="1"/>
  <c r="H113" i="1"/>
  <c r="H117" i="1" s="1"/>
  <c r="H151" i="1"/>
  <c r="H171" i="1"/>
  <c r="H81" i="1"/>
  <c r="H83" i="1" s="1"/>
  <c r="D86" i="1" s="1"/>
  <c r="H127" i="1"/>
  <c r="H128" i="1" l="1"/>
  <c r="H102" i="1"/>
  <c r="H101" i="1"/>
  <c r="D51" i="1"/>
  <c r="D60" i="1" s="1"/>
  <c r="D61" i="1"/>
  <c r="H52" i="1"/>
  <c r="H53" i="1"/>
  <c r="E86" i="1"/>
  <c r="H86" i="1"/>
  <c r="H88" i="1"/>
  <c r="H50" i="1"/>
  <c r="H105" i="1"/>
  <c r="H51" i="1"/>
  <c r="H143" i="1"/>
  <c r="B61" i="1"/>
  <c r="B51" i="1"/>
  <c r="B60" i="1" s="1"/>
  <c r="H158" i="1" l="1"/>
  <c r="D161" i="1" s="1"/>
  <c r="E161" i="1" s="1"/>
  <c r="E73" i="1"/>
  <c r="E70" i="1"/>
  <c r="H179" i="1"/>
  <c r="E108" i="1"/>
  <c r="H187" i="1"/>
  <c r="E137" i="1"/>
  <c r="E121" i="1"/>
  <c r="E91" i="1"/>
  <c r="H183" i="1"/>
  <c r="H182" i="1"/>
  <c r="E94" i="1"/>
  <c r="H191" i="1"/>
  <c r="H190" i="1"/>
  <c r="H189" i="1"/>
  <c r="E166" i="1"/>
  <c r="E153" i="1"/>
  <c r="E149" i="1"/>
  <c r="H92" i="1"/>
  <c r="H180" i="1"/>
  <c r="H119" i="1"/>
  <c r="H185" i="1" s="1"/>
  <c r="F133" i="1"/>
  <c r="H130" i="1"/>
  <c r="D133" i="1" s="1"/>
  <c r="H163" i="1" l="1"/>
  <c r="H164" i="1" s="1"/>
  <c r="H161" i="1"/>
  <c r="E133" i="1"/>
  <c r="H133" i="1"/>
  <c r="H135" i="1"/>
  <c r="H186" i="1" l="1"/>
  <c r="H192" i="1" s="1"/>
  <c r="H197" i="1" l="1"/>
  <c r="E197" i="1"/>
  <c r="F197" i="1"/>
  <c r="C207" i="1" s="1"/>
  <c r="H207" i="1" s="1"/>
  <c r="F207" i="1" l="1"/>
</calcChain>
</file>

<file path=xl/sharedStrings.xml><?xml version="1.0" encoding="utf-8"?>
<sst xmlns="http://schemas.openxmlformats.org/spreadsheetml/2006/main" count="389" uniqueCount="202">
  <si>
    <t>Mutu struktur baja,</t>
  </si>
  <si>
    <t>BJ 37</t>
  </si>
  <si>
    <t>Tegangan leleh struktur baja,</t>
  </si>
  <si>
    <r>
      <t>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</si>
  <si>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t>MPa</t>
  </si>
  <si>
    <t>Tegangan putus struktur baja,</t>
  </si>
  <si>
    <r>
      <t>f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</si>
  <si>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Nilai modulus elastisitas struktur baja,</t>
  </si>
  <si>
    <t>E =</t>
  </si>
  <si>
    <t>L =</t>
  </si>
  <si>
    <t>mm</t>
  </si>
  <si>
    <t>Profil :</t>
  </si>
  <si>
    <r>
      <t>h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</si>
  <si>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</si>
  <si>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</si>
  <si>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</t>
    </r>
  </si>
  <si>
    <t>r =</t>
  </si>
  <si>
    <t>kN</t>
  </si>
  <si>
    <t>Nilai momen sumbu X akibat kombinasi beban terfaktor,</t>
  </si>
  <si>
    <t>kN.m</t>
  </si>
  <si>
    <t>Nilai gaya geser tegak lurus sumbu X akibat kombinasi beban terfaktor,</t>
  </si>
  <si>
    <r>
      <t>V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 xml:space="preserve"> =</t>
    </r>
  </si>
  <si>
    <t>Luas penampang profil baja,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</si>
  <si>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</si>
  <si>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Momen Inersia</t>
  </si>
  <si>
    <t>Mod. Penampang Elastis</t>
  </si>
  <si>
    <t>Mod. Penampang Plastis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</si>
  <si>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</si>
  <si>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</si>
  <si>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</si>
  <si>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</si>
  <si>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</si>
  <si>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</t>
    </r>
  </si>
  <si>
    <t>Value</t>
  </si>
  <si>
    <t>Satuan</t>
  </si>
  <si>
    <r>
      <t>mm</t>
    </r>
    <r>
      <rPr>
        <vertAlign val="superscript"/>
        <sz val="11"/>
        <color theme="1"/>
        <rFont val="Calibri"/>
        <family val="2"/>
        <scheme val="minor"/>
      </rPr>
      <t>4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</si>
  <si>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</si>
  <si>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t>→</t>
  </si>
  <si>
    <t>Kondisi penampang bagian badan :</t>
  </si>
  <si>
    <t>Keadaan batas terhadap sumbu X</t>
  </si>
  <si>
    <t>Kelansingan Sayap</t>
  </si>
  <si>
    <t>Kelansingan Badan</t>
  </si>
  <si>
    <t>Perlu Kontrol Keadaan Batas ?</t>
  </si>
  <si>
    <t>Acuan</t>
  </si>
  <si>
    <t>Jenis Kontrol</t>
  </si>
  <si>
    <t>Ket.</t>
  </si>
  <si>
    <t>Pasal F2</t>
  </si>
  <si>
    <t>Y, LTB</t>
  </si>
  <si>
    <t>Pasal F3</t>
  </si>
  <si>
    <t>LTB, FLB</t>
  </si>
  <si>
    <t>Pasal F4</t>
  </si>
  <si>
    <t>CFY, LTB, FLB</t>
  </si>
  <si>
    <t>Pasal F5</t>
  </si>
  <si>
    <t>*SNI 1729 2020</t>
  </si>
  <si>
    <t>Keadaan batas terhadap sumbu Y</t>
  </si>
  <si>
    <t>Pasal F6</t>
  </si>
  <si>
    <t>Y, FLB</t>
  </si>
  <si>
    <t>[ Perlu ]</t>
  </si>
  <si>
    <r>
      <t>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</si>
  <si>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</si>
  <si>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</si>
  <si>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</si>
  <si>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t>Faktor modifikasi tekuk torsi lateral pakai,</t>
  </si>
  <si>
    <t>Berdasarkan SNI 1729 2020 Pasal F2</t>
  </si>
  <si>
    <t>Keadaan batas leleh (Y)</t>
  </si>
  <si>
    <t>Kekuatan lentur nominal berdasarkan batas leleh,</t>
  </si>
  <si>
    <t>Keadaan batas tekuk torsi-lateral (LTB)</t>
  </si>
  <si>
    <t>Kondisi 1 :</t>
  </si>
  <si>
    <t>Kondisi 2 :</t>
  </si>
  <si>
    <t>Batas panjang tak terbreis secara lateral untuk keadaan batas leleh,</t>
  </si>
  <si>
    <t>m</t>
  </si>
  <si>
    <t>Batas panjang tak terbreis untuk keadaan batas pada tekuk torsi-lateral inelastik,</t>
  </si>
  <si>
    <t>Tegangan tekuk torsi-lateral penampang,</t>
  </si>
  <si>
    <t>Kekuatan lentur nominal berdasarkan batas tekuk torsi-lateral,</t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</si>
  <si>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&lt; L</t>
    </r>
    <r>
      <rPr>
        <vertAlign val="subscript"/>
        <sz val="11"/>
        <color theme="1"/>
        <rFont val="Calibri"/>
        <family val="2"/>
        <scheme val="minor"/>
      </rPr>
      <t>p</t>
    </r>
  </si>
  <si>
    <r>
      <t>L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&lt; 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&lt; L</t>
    </r>
    <r>
      <rPr>
        <vertAlign val="subscript"/>
        <sz val="11"/>
        <color theme="1"/>
        <rFont val="Calibri"/>
        <family val="2"/>
        <scheme val="minor"/>
      </rPr>
      <t>r</t>
    </r>
  </si>
  <si>
    <t>Kondisi 3 :</t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</si>
  <si>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&gt; L</t>
    </r>
    <r>
      <rPr>
        <vertAlign val="subscript"/>
        <sz val="11"/>
        <color theme="1"/>
        <rFont val="Calibri"/>
        <family val="2"/>
        <scheme val="minor"/>
      </rPr>
      <t>r</t>
    </r>
  </si>
  <si>
    <r>
      <t>M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</si>
  <si>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t>Kontrol nilai lentur nominal berdasarkan batas tekuk torsi-lateral,</t>
  </si>
  <si>
    <t>Syarat :</t>
  </si>
  <si>
    <r>
      <t>M</t>
    </r>
    <r>
      <rPr>
        <vertAlign val="subscript"/>
        <sz val="11"/>
        <color theme="1"/>
        <rFont val="Calibri"/>
        <family val="2"/>
        <scheme val="minor"/>
      </rPr>
      <t>n</t>
    </r>
  </si>
  <si>
    <t>≤</t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</si>
  <si>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</si>
  <si>
    <t xml:space="preserve"> </t>
  </si>
  <si>
    <t>Kesimpulan :</t>
  </si>
  <si>
    <t>Nilai lentur nominal berdasarkan batas tekuk torsi-lateral,</t>
  </si>
  <si>
    <t>Berdasarkan SNI 1729 2020 Pasal F3</t>
  </si>
  <si>
    <t>Keadaan batas tekuk lokal sayap tekan (FLB)</t>
  </si>
  <si>
    <r>
      <t>k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</si>
  <si>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Koefisien elemen langsing tak diperkaku pakai,</t>
  </si>
  <si>
    <t>Rasio lebar terhadap tebal pada sayap,</t>
  </si>
  <si>
    <t>Batas kelangsingan untuk sayap kompak,</t>
  </si>
  <si>
    <r>
      <t>λ</t>
    </r>
    <r>
      <rPr>
        <vertAlign val="subscript"/>
        <sz val="11"/>
        <color theme="1"/>
        <rFont val="Calibri"/>
        <family val="2"/>
      </rPr>
      <t>pf</t>
    </r>
    <r>
      <rPr>
        <sz val="11"/>
        <color theme="1"/>
        <rFont val="Calibri"/>
        <family val="2"/>
      </rPr>
      <t xml:space="preserve"> = λ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</si>
  <si>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t>Batas kelangsingan untuk sayap nonkompak,</t>
  </si>
  <si>
    <r>
      <t>λ</t>
    </r>
    <r>
      <rPr>
        <vertAlign val="subscript"/>
        <sz val="11"/>
        <color theme="1"/>
        <rFont val="Calibri"/>
        <family val="2"/>
      </rPr>
      <t>rf</t>
    </r>
    <r>
      <rPr>
        <sz val="11"/>
        <color theme="1"/>
        <rFont val="Calibri"/>
        <family val="2"/>
      </rPr>
      <t xml:space="preserve"> = λ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=</t>
    </r>
  </si>
  <si>
    <t>Kekuatan lentur nominal berdasarkan batas lokal sayap tekan,</t>
  </si>
  <si>
    <r>
      <t>λ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&lt; λ &lt; λ</t>
    </r>
    <r>
      <rPr>
        <vertAlign val="subscript"/>
        <sz val="11"/>
        <color theme="1"/>
        <rFont val="Calibri"/>
        <family val="2"/>
        <scheme val="minor"/>
      </rPr>
      <t>r</t>
    </r>
  </si>
  <si>
    <r>
      <t>λ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&gt; λ</t>
    </r>
  </si>
  <si>
    <t>Kekuatan lentur nominal berdasarkan batas tekuk lokal sayap tekan,</t>
  </si>
  <si>
    <t>Berdasarkan SNI 1729 2020 Pasal F4</t>
  </si>
  <si>
    <t>Keadaan batas leleh sayap tekan (CFY)</t>
  </si>
  <si>
    <t>Momen leleh pada sayap tekan,</t>
  </si>
  <si>
    <t>Nilai momen lentur plastis pakai,</t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</si>
  <si>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 =</t>
    </r>
  </si>
  <si>
    <t>Nilai faktor plastifikasi badan,</t>
  </si>
  <si>
    <t>Kondisi 1.</t>
  </si>
  <si>
    <r>
      <t>I</t>
    </r>
    <r>
      <rPr>
        <vertAlign val="subscript"/>
        <sz val="11"/>
        <color theme="1"/>
        <rFont val="Calibri"/>
        <family val="2"/>
        <scheme val="minor"/>
      </rPr>
      <t>yc</t>
    </r>
    <r>
      <rPr>
        <sz val="11"/>
        <color theme="1"/>
        <rFont val="Calibri"/>
        <family val="2"/>
        <scheme val="minor"/>
      </rPr>
      <t xml:space="preserve"> / I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&gt; 0,23</t>
    </r>
  </si>
  <si>
    <t>Kondisi 1.A.</t>
  </si>
  <si>
    <r>
      <t>(h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- 2 * (t</t>
    </r>
    <r>
      <rPr>
        <vertAlign val="subscript"/>
        <sz val="11"/>
        <color theme="1"/>
        <rFont val="Calibri"/>
        <family val="2"/>
      </rPr>
      <t>f +</t>
    </r>
    <r>
      <rPr>
        <sz val="11"/>
        <color theme="1"/>
        <rFont val="Calibri"/>
        <family val="2"/>
      </rPr>
      <t xml:space="preserve"> r)) /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≤ λ</t>
    </r>
    <r>
      <rPr>
        <vertAlign val="subscript"/>
        <sz val="11"/>
        <color theme="1"/>
        <rFont val="Calibri"/>
        <family val="2"/>
      </rPr>
      <t>pw</t>
    </r>
  </si>
  <si>
    <t>Kondisi 1.B.</t>
  </si>
  <si>
    <r>
      <t>(h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- 2 * (t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+ r)) /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&gt; λ</t>
    </r>
    <r>
      <rPr>
        <vertAlign val="subscript"/>
        <sz val="11"/>
        <color theme="1"/>
        <rFont val="Calibri"/>
        <family val="2"/>
      </rPr>
      <t>pw</t>
    </r>
  </si>
  <si>
    <t>Nilai maksimum faktor plastifikasi badan Kondisi 1.B.,</t>
  </si>
  <si>
    <t>Kondisi 2.</t>
  </si>
  <si>
    <r>
      <t>I</t>
    </r>
    <r>
      <rPr>
        <vertAlign val="subscript"/>
        <sz val="11"/>
        <color theme="1"/>
        <rFont val="Calibri"/>
        <family val="2"/>
        <scheme val="minor"/>
      </rPr>
      <t>yc</t>
    </r>
    <r>
      <rPr>
        <sz val="11"/>
        <color theme="1"/>
        <rFont val="Calibri"/>
        <family val="2"/>
        <scheme val="minor"/>
      </rPr>
      <t xml:space="preserve"> / I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0,23</t>
    </r>
  </si>
  <si>
    <t>Kesimpulan nilai faktor plastifikasi badan,</t>
  </si>
  <si>
    <r>
      <t>R</t>
    </r>
    <r>
      <rPr>
        <vertAlign val="subscript"/>
        <sz val="11"/>
        <color theme="1"/>
        <rFont val="Calibri"/>
        <family val="2"/>
        <scheme val="minor"/>
      </rPr>
      <t>pc</t>
    </r>
    <r>
      <rPr>
        <sz val="11"/>
        <color theme="1"/>
        <rFont val="Calibri"/>
        <family val="2"/>
        <scheme val="minor"/>
      </rPr>
      <t xml:space="preserve"> =</t>
    </r>
  </si>
  <si>
    <t>Kekuatan lentur nominal berdasarkan kekuatan leleh sayap tekan,</t>
  </si>
  <si>
    <t>Batas panjang tak terbreis untuk keadaan batas tekuk torsilateral inelastis</t>
  </si>
  <si>
    <t>Keadaan batas leleh sayap tarik (TFY)</t>
  </si>
  <si>
    <t>: [ TIDAK PERLU ]</t>
  </si>
  <si>
    <r>
      <t>Apabila S</t>
    </r>
    <r>
      <rPr>
        <vertAlign val="subscript"/>
        <sz val="11"/>
        <color theme="1"/>
        <rFont val="Calibri"/>
        <family val="2"/>
        <scheme val="minor"/>
      </rPr>
      <t>xt</t>
    </r>
    <r>
      <rPr>
        <sz val="11"/>
        <color theme="1"/>
        <rFont val="Calibri"/>
        <family val="2"/>
        <scheme val="minor"/>
      </rPr>
      <t xml:space="preserve"> ≥ S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>, keadaan batas leleh sayap tarik tidak berlaku.</t>
    </r>
  </si>
  <si>
    <t>Berdasarkan SNI 1729 2020 Pasal F5</t>
  </si>
  <si>
    <t>Nilai pakai untuk faktor reduksi kekuatan lentur,</t>
  </si>
  <si>
    <r>
      <t>R</t>
    </r>
    <r>
      <rPr>
        <vertAlign val="subscript"/>
        <sz val="11"/>
        <color theme="1"/>
        <rFont val="Calibri"/>
        <family val="2"/>
        <scheme val="minor"/>
      </rPr>
      <t>pg</t>
    </r>
    <r>
      <rPr>
        <sz val="11"/>
        <color theme="1"/>
        <rFont val="Calibri"/>
        <family val="2"/>
        <scheme val="minor"/>
      </rPr>
      <t xml:space="preserve"> =</t>
    </r>
  </si>
  <si>
    <t>Kekuatan lentur nominal berdasarkan batas leleh sayap tekan,</t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</si>
  <si>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=</t>
    </r>
  </si>
  <si>
    <t>Kontrol nilai tegangan tekuk torsi-lateral penampang,</t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</si>
  <si>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</si>
  <si>
    <r>
      <t>f</t>
    </r>
    <r>
      <rPr>
        <vertAlign val="subscript"/>
        <sz val="11"/>
        <color theme="1"/>
        <rFont val="Calibri"/>
        <family val="2"/>
        <scheme val="minor"/>
      </rPr>
      <t>y</t>
    </r>
  </si>
  <si>
    <t>Nilai tegangan tekuk torsi-lateral penampang,</t>
  </si>
  <si>
    <t>Nilai tegangan kritis penampang,</t>
  </si>
  <si>
    <t>Rekapitulasi kekuatan lentur nominal arah X :</t>
  </si>
  <si>
    <t>Kekuatan lentur nominal berdasarkan batas leleh (Y),</t>
  </si>
  <si>
    <r>
      <t>M</t>
    </r>
    <r>
      <rPr>
        <vertAlign val="subscript"/>
        <sz val="11"/>
        <color theme="1"/>
        <rFont val="Calibri"/>
        <family val="2"/>
        <scheme val="minor"/>
      </rPr>
      <t>nX</t>
    </r>
    <r>
      <rPr>
        <sz val="11"/>
        <color theme="1"/>
        <rFont val="Calibri"/>
        <family val="2"/>
        <scheme val="minor"/>
      </rPr>
      <t xml:space="preserve"> =</t>
    </r>
  </si>
  <si>
    <t>Kekuatan lentur nominal berdasarkan batas tekuk torsi-lateral (LTB),</t>
  </si>
  <si>
    <t>Kekuatan lentur nominal berdasarkan batas tekuk lokal sayap (FLB),</t>
  </si>
  <si>
    <t>Kekuatan lentur nominal berdasarkan batas leleh sayap tekan (CFY),</t>
  </si>
  <si>
    <t>Kekuatan lentur nominal berdasarkan batas lokal sayap tekan (TFY),</t>
  </si>
  <si>
    <t>Kuat lentur nominal arah X yang berpengaruh,</t>
  </si>
  <si>
    <t>Nilai faktor ketahanan untuk kuat geser,</t>
  </si>
  <si>
    <t>Kontrol gaya geser terhadap kekuatan geser nominal,</t>
  </si>
  <si>
    <r>
      <t>V</t>
    </r>
    <r>
      <rPr>
        <vertAlign val="subscript"/>
        <sz val="11"/>
        <color theme="1"/>
        <rFont val="Calibri"/>
        <family val="2"/>
        <scheme val="minor"/>
      </rPr>
      <t>UX</t>
    </r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</si>
  <si>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Vn</t>
    </r>
  </si>
  <si>
    <t>≤ 1,0</t>
  </si>
  <si>
    <r>
      <t>M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 xml:space="preserve"> =</t>
    </r>
  </si>
  <si>
    <t>Momen pada 1/4 bentang,</t>
  </si>
  <si>
    <t>Momen di tengah bentang,</t>
  </si>
  <si>
    <t>Momen pada 3/4 bentang,</t>
  </si>
  <si>
    <t>Momen pada maksimum,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</si>
  <si>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</si>
  <si>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t>Gaya lentur akibat kombinasi beban terfaktor,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</si>
  <si>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* M</t>
    </r>
    <r>
      <rPr>
        <vertAlign val="subscript"/>
        <sz val="11"/>
        <color theme="1"/>
        <rFont val="Calibri"/>
        <family val="2"/>
        <scheme val="minor"/>
      </rPr>
      <t>nX</t>
    </r>
  </si>
  <si>
    <r>
      <t>M</t>
    </r>
    <r>
      <rPr>
        <vertAlign val="subscript"/>
        <sz val="11"/>
        <color theme="1"/>
        <rFont val="Calibri"/>
        <family val="2"/>
        <scheme val="minor"/>
      </rPr>
      <t>UX</t>
    </r>
  </si>
  <si>
    <r>
      <t>M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*M</t>
    </r>
    <r>
      <rPr>
        <vertAlign val="subscript"/>
        <sz val="11"/>
        <color theme="1"/>
        <rFont val="Calibri"/>
        <family val="2"/>
        <scheme val="minor"/>
      </rPr>
      <t>nX</t>
    </r>
    <r>
      <rPr>
        <sz val="11"/>
        <color theme="1"/>
        <rFont val="Calibri"/>
        <family val="2"/>
        <scheme val="minor"/>
      </rPr>
      <t>) + V</t>
    </r>
    <r>
      <rPr>
        <vertAlign val="subscript"/>
        <sz val="11"/>
        <color theme="1"/>
        <rFont val="Calibri"/>
        <family val="2"/>
        <scheme val="minor"/>
      </rPr>
      <t>UX</t>
    </r>
    <r>
      <rPr>
        <sz val="11"/>
        <color theme="1"/>
        <rFont val="Calibri"/>
        <family val="2"/>
        <scheme val="minor"/>
      </rPr>
      <t>/(φ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*V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</si>
  <si>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</si>
  <si>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</si>
  <si>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</si>
  <si>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</si>
  <si>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</si>
  <si>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</si>
  <si>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</si>
  <si>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</si>
  <si>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A.2.</t>
  </si>
  <si>
    <t>A.3.</t>
  </si>
  <si>
    <t>Dimensi dari penampang profil WF,</t>
  </si>
  <si>
    <t>Input data beban</t>
  </si>
  <si>
    <t>Panjang struktur baja,</t>
  </si>
  <si>
    <t>Input data dimensi struktur balok</t>
  </si>
  <si>
    <t>Input data material</t>
  </si>
  <si>
    <t>B.</t>
  </si>
  <si>
    <t>B.2.</t>
  </si>
  <si>
    <t>B.1.</t>
  </si>
  <si>
    <t>Sifat - sifat material penampang WF</t>
  </si>
  <si>
    <t>Perhitungan klasifikasi penampang profil WF</t>
  </si>
  <si>
    <t>Nilai faktor modifikasi tekuk torsi lateral pakai</t>
  </si>
  <si>
    <t>B.3.</t>
  </si>
  <si>
    <t>C.</t>
  </si>
  <si>
    <t>C.1.</t>
  </si>
  <si>
    <t>C.2.</t>
  </si>
  <si>
    <t>C.3.</t>
  </si>
  <si>
    <t>C.4.</t>
  </si>
  <si>
    <t>C.5.</t>
  </si>
  <si>
    <t>D.</t>
  </si>
  <si>
    <t>Kontrol gaya lentur terhadap kekuatan geser nominal,</t>
  </si>
  <si>
    <t>Kontrol interaksi kombinasi lentur dan geser untuk sumbu X,</t>
  </si>
  <si>
    <t>Kesimpulan klasifikasi penampang balok,</t>
  </si>
  <si>
    <t>Panjang balok,</t>
  </si>
  <si>
    <t>Kondisi penampang bagian sayap :</t>
  </si>
  <si>
    <t>400 x 200 x 8 x 13</t>
  </si>
  <si>
    <t>ANALISA SIFAT DAN KLASIFIKASI PENAMPANG PROFIL WF</t>
  </si>
  <si>
    <t>ANALISA TAHANAN LENTUR PADA STRUKTUR BALOK</t>
  </si>
  <si>
    <t>ANALISA TAHANAN GESER PADA STRUKTUR BALOK</t>
  </si>
  <si>
    <t xml:space="preserve">            </t>
  </si>
  <si>
    <r>
      <t>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</si>
  <si>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</si>
  <si>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</si>
  <si>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=</t>
    </r>
  </si>
  <si>
    <t>λ =</t>
  </si>
  <si>
    <r>
      <t>M</t>
    </r>
    <r>
      <rPr>
        <vertAlign val="subscript"/>
        <sz val="11"/>
        <color theme="1"/>
        <rFont val="Calibri"/>
        <family val="2"/>
        <scheme val="minor"/>
      </rPr>
      <t>yc</t>
    </r>
    <r>
      <rPr>
        <sz val="11"/>
        <color theme="1"/>
        <rFont val="Calibri"/>
        <family val="2"/>
        <scheme val="minor"/>
      </rPr>
      <t xml:space="preserve"> =</t>
    </r>
  </si>
  <si>
    <r>
      <t>R</t>
    </r>
    <r>
      <rPr>
        <vertAlign val="subscript"/>
        <sz val="11"/>
        <color theme="1"/>
        <rFont val="Calibri"/>
        <family val="2"/>
        <scheme val="minor"/>
      </rPr>
      <t>pc</t>
    </r>
    <r>
      <rPr>
        <sz val="11"/>
        <color theme="1"/>
        <rFont val="Calibri"/>
        <family val="2"/>
        <scheme val="minor"/>
      </rPr>
      <t xml:space="preserve"> * M</t>
    </r>
    <r>
      <rPr>
        <vertAlign val="subscript"/>
        <sz val="11"/>
        <color theme="1"/>
        <rFont val="Calibri"/>
        <family val="2"/>
        <scheme val="minor"/>
      </rPr>
      <t>yc</t>
    </r>
  </si>
  <si>
    <r>
      <t>L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</si>
</sst>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.E+00"/>
    <numFmt numFmtId="166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11"/>
      <name val="Calibri"/>
      <family val="2"/>
      <charset val="1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4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indent="1"/>
    </xf>
    <xf numFmtId="0" fontId="5" fillId="0" borderId="6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 indent="1"/>
    </xf>
    <xf numFmtId="164" fontId="0" fillId="0" borderId="4" xfId="0" applyNumberForma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 inden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5" borderId="8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4" xfId="0" applyNumberFormat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5" borderId="4" xfId="0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5" fillId="0" borderId="0" xfId="0" applyFont="1"/>
    <xf numFmtId="0" fontId="15" fillId="7" borderId="0" xfId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7" borderId="0" xfId="1" applyFont="1" applyFill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0" fillId="0" borderId="4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CB1F9EC8-B1F9-4EAB-AF60-873B948BF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11</xdr:row>
      <xdr:rowOff>123825</xdr:rowOff>
    </xdr:from>
    <xdr:to>
      <xdr:col>4</xdr:col>
      <xdr:colOff>457200</xdr:colOff>
      <xdr:row>21</xdr:row>
      <xdr:rowOff>63086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23E134-EF99-44A5-B1FB-F2CB2EE64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2743200"/>
          <a:ext cx="2343150" cy="2320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9525</xdr:rowOff>
    </xdr:from>
    <xdr:to>
      <xdr:col>8</xdr:col>
      <xdr:colOff>903714</xdr:colOff>
      <xdr:row>221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7C6B50-ED41-86FC-3166-FE419C163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77650"/>
          <a:ext cx="7685514" cy="2905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C2DF-B221-40D0-B579-08F0F311FE70}">
  <sheetPr>
    <tabColor rgb="FFFFFF00"/>
  </sheetPr>
  <dimension ref="A1:N208"/>
  <sheetViews>
    <sheetView showGridLines="0" tabSelected="1" topLeftCell="A205" workbookViewId="0">
      <selection activeCell="G98" sqref="G98"/>
    </sheetView>
  </sheetViews>
  <sheetFormatPr defaultRowHeight="18.75" customHeight="1" x14ac:dyDescent="0.25"/>
  <cols>
    <col min="1" max="1" width="6.7109375" style="51" customWidth="1"/>
    <col min="2" max="6" width="13.5703125" style="1" customWidth="1"/>
    <col min="7" max="7" width="13.5703125" style="4" customWidth="1"/>
    <col min="8" max="8" width="13.5703125" style="3" customWidth="1"/>
    <col min="9" max="9" width="13.5703125" style="2" customWidth="1"/>
    <col min="10" max="10" width="9.140625" style="1"/>
    <col min="11" max="11" width="11.28515625" style="1" bestFit="1" customWidth="1"/>
    <col min="12" max="16384" width="9.140625" style="1"/>
  </cols>
  <sheetData>
    <row r="1" spans="1:14" ht="18.75" customHeight="1" x14ac:dyDescent="0.25">
      <c r="A1" s="58" t="s">
        <v>155</v>
      </c>
      <c r="B1" s="63" t="s">
        <v>156</v>
      </c>
      <c r="C1" s="63"/>
      <c r="D1" s="63"/>
      <c r="E1" s="63"/>
      <c r="F1" s="63"/>
      <c r="G1" s="58" t="s">
        <v>157</v>
      </c>
      <c r="H1" s="58" t="s">
        <v>158</v>
      </c>
      <c r="I1" s="58" t="s">
        <v>159</v>
      </c>
    </row>
    <row r="2" spans="1:14" ht="18.75" customHeight="1" x14ac:dyDescent="0.25">
      <c r="A2" s="59" t="s">
        <v>160</v>
      </c>
      <c r="B2" s="17" t="s">
        <v>161</v>
      </c>
      <c r="C2" s="17"/>
      <c r="D2" s="17"/>
      <c r="E2" s="17"/>
      <c r="F2" s="17"/>
      <c r="G2" s="17"/>
      <c r="H2" s="17"/>
      <c r="I2" s="17"/>
    </row>
    <row r="3" spans="1:14" ht="18.75" customHeight="1" x14ac:dyDescent="0.25">
      <c r="A3" s="60" t="s">
        <v>162</v>
      </c>
      <c r="B3" s="28" t="s">
        <v>169</v>
      </c>
      <c r="C3" s="28"/>
      <c r="D3" s="28"/>
      <c r="E3" s="28"/>
      <c r="F3" s="28"/>
      <c r="G3" s="28"/>
      <c r="H3" s="28"/>
      <c r="I3" s="28"/>
    </row>
    <row r="4" spans="1:14" ht="18.75" customHeight="1" x14ac:dyDescent="0.25">
      <c r="B4" s="1" t="s">
        <v>0</v>
      </c>
      <c r="G4" s="3"/>
      <c r="H4" s="5" t="s">
        <v>1</v>
      </c>
      <c r="N4"/>
    </row>
    <row r="5" spans="1:14" ht="18.75" customHeight="1" x14ac:dyDescent="0.25">
      <c r="B5" s="1" t="s">
        <v>2</v>
      </c>
      <c r="G5" s="4" t="s">
        <v>3</v>
      </c>
      <c r="H5" s="5">
        <f>IF(H4="BJ 34",210,IF(H4="BJ 37",240,IF(H4="BJ 41",250,IF(H4="BJ 50",290,IF(H4="BJ 55",410,"[ EROR ]")))))</f>
        <v>240</v>
      </c>
      <c r="I5" s="2" t="s">
        <v>4</v>
      </c>
      <c r="N5"/>
    </row>
    <row r="6" spans="1:14" ht="18.75" customHeight="1" x14ac:dyDescent="0.25">
      <c r="B6" s="1" t="s">
        <v>5</v>
      </c>
      <c r="G6" s="4" t="s">
        <v>6</v>
      </c>
      <c r="H6" s="5">
        <f>IF(H4="BJ 34",340,IF(H4="BJ 37",370,IF(H4="BJ 41",410,IF(H4="BJ 50",500,IF(H4="BJ 55",550,"[ EROR ]")))))</f>
        <v>370</v>
      </c>
      <c r="I6" s="2" t="s">
        <v>4</v>
      </c>
    </row>
    <row r="7" spans="1:14" ht="18.75" customHeight="1" x14ac:dyDescent="0.25">
      <c r="B7" s="1" t="s">
        <v>7</v>
      </c>
      <c r="G7" s="4" t="s">
        <v>8</v>
      </c>
      <c r="H7" s="5">
        <v>200000</v>
      </c>
      <c r="I7" s="2" t="s">
        <v>4</v>
      </c>
    </row>
    <row r="8" spans="1:14" ht="18.75" customHeight="1" x14ac:dyDescent="0.25">
      <c r="G8" s="3"/>
    </row>
    <row r="9" spans="1:14" ht="18.75" customHeight="1" x14ac:dyDescent="0.25">
      <c r="A9" s="60" t="s">
        <v>163</v>
      </c>
      <c r="B9" s="28" t="s">
        <v>168</v>
      </c>
      <c r="C9" s="28"/>
      <c r="D9" s="28"/>
      <c r="E9" s="28"/>
      <c r="F9" s="28"/>
      <c r="G9" s="28"/>
      <c r="H9" s="28"/>
      <c r="I9" s="28"/>
    </row>
    <row r="10" spans="1:14" ht="18.75" customHeight="1" x14ac:dyDescent="0.25">
      <c r="B10" s="1" t="s">
        <v>167</v>
      </c>
      <c r="G10" s="4" t="s">
        <v>9</v>
      </c>
      <c r="H10" s="5">
        <v>4000</v>
      </c>
      <c r="I10" s="2" t="s">
        <v>10</v>
      </c>
    </row>
    <row r="11" spans="1:14" ht="18.75" customHeight="1" x14ac:dyDescent="0.25">
      <c r="B11" s="1" t="s">
        <v>165</v>
      </c>
      <c r="F11" s="6" t="s">
        <v>11</v>
      </c>
      <c r="G11" s="78" t="s">
        <v>189</v>
      </c>
      <c r="H11" s="79"/>
      <c r="I11" s="7"/>
    </row>
    <row r="12" spans="1:14" ht="18.75" customHeight="1" x14ac:dyDescent="0.25">
      <c r="F12" s="8"/>
      <c r="G12" s="9" t="s">
        <v>12</v>
      </c>
      <c r="H12" s="10">
        <v>912</v>
      </c>
      <c r="I12" s="11" t="s">
        <v>10</v>
      </c>
    </row>
    <row r="13" spans="1:14" ht="18.75" customHeight="1" x14ac:dyDescent="0.25">
      <c r="F13" s="8"/>
      <c r="G13" s="12" t="s">
        <v>13</v>
      </c>
      <c r="H13" s="10">
        <v>302</v>
      </c>
      <c r="I13" s="11" t="s">
        <v>10</v>
      </c>
    </row>
    <row r="14" spans="1:14" ht="18.75" customHeight="1" x14ac:dyDescent="0.25">
      <c r="F14" s="8"/>
      <c r="G14" s="12" t="s">
        <v>14</v>
      </c>
      <c r="H14" s="10">
        <v>18</v>
      </c>
      <c r="I14" s="11" t="s">
        <v>10</v>
      </c>
    </row>
    <row r="15" spans="1:14" ht="18.75" customHeight="1" x14ac:dyDescent="0.25">
      <c r="F15" s="8"/>
      <c r="G15" s="12" t="s">
        <v>15</v>
      </c>
      <c r="H15" s="10">
        <v>34</v>
      </c>
      <c r="I15" s="11" t="s">
        <v>10</v>
      </c>
    </row>
    <row r="16" spans="1:14" ht="18.75" customHeight="1" x14ac:dyDescent="0.25">
      <c r="F16" s="8"/>
      <c r="G16" s="12" t="s">
        <v>16</v>
      </c>
      <c r="H16" s="10">
        <v>28</v>
      </c>
      <c r="I16" s="11" t="s">
        <v>10</v>
      </c>
    </row>
    <row r="17" spans="1:9" ht="18.75" customHeight="1" x14ac:dyDescent="0.25">
      <c r="I17" s="13"/>
    </row>
    <row r="18" spans="1:9" ht="18.75" customHeight="1" x14ac:dyDescent="0.25">
      <c r="I18" s="13"/>
    </row>
    <row r="19" spans="1:9" ht="18.75" customHeight="1" x14ac:dyDescent="0.25">
      <c r="I19" s="13"/>
    </row>
    <row r="20" spans="1:9" ht="18.75" customHeight="1" x14ac:dyDescent="0.25">
      <c r="I20" s="13"/>
    </row>
    <row r="21" spans="1:9" ht="18.75" customHeight="1" x14ac:dyDescent="0.25">
      <c r="I21" s="13"/>
    </row>
    <row r="22" spans="1:9" ht="18.75" customHeight="1" x14ac:dyDescent="0.25">
      <c r="I22" s="13"/>
    </row>
    <row r="23" spans="1:9" ht="18.75" customHeight="1" x14ac:dyDescent="0.25">
      <c r="A23" s="60" t="s">
        <v>164</v>
      </c>
      <c r="B23" s="28" t="s">
        <v>166</v>
      </c>
      <c r="C23" s="28"/>
      <c r="D23" s="28"/>
      <c r="E23" s="28"/>
      <c r="F23" s="28"/>
      <c r="G23" s="28"/>
      <c r="H23" s="28"/>
      <c r="I23" s="28"/>
    </row>
    <row r="24" spans="1:9" ht="18.75" customHeight="1" x14ac:dyDescent="0.25">
      <c r="B24" s="1" t="s">
        <v>18</v>
      </c>
      <c r="G24" s="1"/>
      <c r="H24" s="1"/>
      <c r="I24" s="1"/>
    </row>
    <row r="25" spans="1:9" ht="18.75" customHeight="1" x14ac:dyDescent="0.25">
      <c r="B25" s="57" t="s">
        <v>149</v>
      </c>
      <c r="G25" s="4" t="s">
        <v>145</v>
      </c>
      <c r="H25" s="14">
        <f>8*9.81</f>
        <v>78.48</v>
      </c>
      <c r="I25" s="2" t="s">
        <v>19</v>
      </c>
    </row>
    <row r="26" spans="1:9" ht="18.75" customHeight="1" x14ac:dyDescent="0.25">
      <c r="B26" s="57" t="s">
        <v>146</v>
      </c>
      <c r="G26" s="4" t="s">
        <v>58</v>
      </c>
      <c r="H26" s="14">
        <v>28.364999999999998</v>
      </c>
    </row>
    <row r="27" spans="1:9" ht="18.75" customHeight="1" x14ac:dyDescent="0.25">
      <c r="B27" s="57" t="s">
        <v>147</v>
      </c>
      <c r="G27" s="4" t="s">
        <v>59</v>
      </c>
      <c r="H27" s="14">
        <v>78.48</v>
      </c>
    </row>
    <row r="28" spans="1:9" ht="18.75" customHeight="1" x14ac:dyDescent="0.25">
      <c r="B28" s="57" t="s">
        <v>148</v>
      </c>
      <c r="G28" s="4" t="s">
        <v>60</v>
      </c>
      <c r="H28" s="14">
        <v>27.335999999999999</v>
      </c>
    </row>
    <row r="29" spans="1:9" ht="18.75" customHeight="1" x14ac:dyDescent="0.25">
      <c r="B29" s="13" t="s">
        <v>20</v>
      </c>
      <c r="G29" s="4" t="s">
        <v>21</v>
      </c>
      <c r="H29" s="14">
        <v>48.65</v>
      </c>
      <c r="I29" s="2" t="s">
        <v>17</v>
      </c>
    </row>
    <row r="30" spans="1:9" ht="18.75" customHeight="1" x14ac:dyDescent="0.25">
      <c r="H30" s="15"/>
    </row>
    <row r="31" spans="1:9" customFormat="1" ht="18.75" customHeight="1" x14ac:dyDescent="0.25">
      <c r="A31" s="58" t="s">
        <v>155</v>
      </c>
      <c r="B31" s="63" t="s">
        <v>156</v>
      </c>
      <c r="C31" s="63"/>
      <c r="D31" s="63"/>
      <c r="E31" s="63"/>
      <c r="F31" s="63"/>
      <c r="G31" s="58" t="s">
        <v>157</v>
      </c>
      <c r="H31" s="58" t="s">
        <v>158</v>
      </c>
      <c r="I31" s="58" t="s">
        <v>159</v>
      </c>
    </row>
    <row r="32" spans="1:9" ht="18.75" customHeight="1" x14ac:dyDescent="0.25">
      <c r="A32" s="59" t="s">
        <v>170</v>
      </c>
      <c r="B32" s="17" t="s">
        <v>190</v>
      </c>
      <c r="C32" s="17"/>
      <c r="D32" s="17"/>
      <c r="E32" s="17"/>
      <c r="F32" s="17"/>
      <c r="G32" s="17"/>
      <c r="H32" s="17"/>
      <c r="I32" s="17"/>
    </row>
    <row r="33" spans="1:9" ht="18.75" customHeight="1" x14ac:dyDescent="0.25">
      <c r="A33" s="60" t="s">
        <v>172</v>
      </c>
      <c r="B33" s="28" t="s">
        <v>173</v>
      </c>
      <c r="C33" s="27"/>
      <c r="D33" s="27"/>
      <c r="E33" s="27"/>
      <c r="F33" s="27"/>
      <c r="G33" s="29"/>
      <c r="H33" s="61"/>
      <c r="I33" s="31"/>
    </row>
    <row r="34" spans="1:9" ht="18.75" customHeight="1" x14ac:dyDescent="0.25">
      <c r="B34" s="1" t="s">
        <v>22</v>
      </c>
      <c r="G34" s="4" t="s">
        <v>194</v>
      </c>
      <c r="H34" s="20">
        <f>2*H15*H13+(H12-2*H15)*H14+4*H16^2*(1-0.25*PI())</f>
        <v>36400.991359585605</v>
      </c>
      <c r="I34" s="2" t="s">
        <v>23</v>
      </c>
    </row>
    <row r="35" spans="1:9" ht="18.75" customHeight="1" x14ac:dyDescent="0.25">
      <c r="B35" s="1" t="s">
        <v>193</v>
      </c>
    </row>
    <row r="36" spans="1:9" ht="18.75" customHeight="1" x14ac:dyDescent="0.25">
      <c r="B36" s="66"/>
      <c r="C36" s="66" t="s">
        <v>24</v>
      </c>
      <c r="D36" s="66"/>
      <c r="E36" s="66" t="s">
        <v>25</v>
      </c>
      <c r="F36" s="66"/>
      <c r="G36" s="66" t="s">
        <v>26</v>
      </c>
      <c r="H36" s="66"/>
    </row>
    <row r="37" spans="1:9" ht="18.75" customHeight="1" x14ac:dyDescent="0.25">
      <c r="B37" s="66"/>
      <c r="C37" s="22" t="s">
        <v>27</v>
      </c>
      <c r="D37" s="22" t="s">
        <v>28</v>
      </c>
      <c r="E37" s="22" t="s">
        <v>29</v>
      </c>
      <c r="F37" s="22" t="s">
        <v>30</v>
      </c>
      <c r="G37" s="22" t="s">
        <v>31</v>
      </c>
      <c r="H37" s="22" t="s">
        <v>32</v>
      </c>
      <c r="I37" s="1"/>
    </row>
    <row r="38" spans="1:9" ht="18.75" customHeight="1" x14ac:dyDescent="0.25">
      <c r="B38" s="23" t="s">
        <v>33</v>
      </c>
      <c r="C38" s="24">
        <f>1/12*H14*(H12-2*H15)^3+2*1/12*H13*H15^3+2*H13*H15*(0.5*H12-0.5*H15)^2</f>
        <v>4861514133.333333</v>
      </c>
      <c r="D38" s="24">
        <f>1/12*(H12-2*H15)*H14^3+2*1/12*H15*H13^3</f>
        <v>156490629.33333331</v>
      </c>
      <c r="E38" s="24">
        <f>C38/(0.5*H12)</f>
        <v>10661215.204678362</v>
      </c>
      <c r="F38" s="24">
        <f>D38/(0.5*H13)</f>
        <v>1036361.783664459</v>
      </c>
      <c r="G38" s="24">
        <f>H13*H15*(H12-H15)+H14*(0.5*H12-H15)^2</f>
        <v>12220816</v>
      </c>
      <c r="H38" s="24">
        <f>0.5*H15*H13^2+0.25*(H12-2*H15)*H14^2</f>
        <v>1618832</v>
      </c>
    </row>
    <row r="39" spans="1:9" ht="18.75" customHeight="1" x14ac:dyDescent="0.25">
      <c r="B39" s="23" t="s">
        <v>34</v>
      </c>
      <c r="C39" s="25" t="s">
        <v>35</v>
      </c>
      <c r="D39" s="25" t="s">
        <v>35</v>
      </c>
      <c r="E39" s="25" t="s">
        <v>36</v>
      </c>
      <c r="F39" s="25" t="s">
        <v>36</v>
      </c>
      <c r="G39" s="25" t="s">
        <v>36</v>
      </c>
      <c r="H39" s="25" t="s">
        <v>36</v>
      </c>
    </row>
    <row r="42" spans="1:9" ht="18.75" customHeight="1" x14ac:dyDescent="0.25">
      <c r="A42" s="60" t="s">
        <v>171</v>
      </c>
      <c r="B42" s="28" t="s">
        <v>174</v>
      </c>
      <c r="C42" s="27"/>
      <c r="D42" s="27"/>
      <c r="E42" s="27"/>
      <c r="F42" s="27"/>
      <c r="G42" s="29"/>
      <c r="H42" s="30"/>
      <c r="I42" s="31"/>
    </row>
    <row r="43" spans="1:9" ht="18.75" customHeight="1" x14ac:dyDescent="0.25">
      <c r="B43" s="13" t="s">
        <v>188</v>
      </c>
      <c r="E43" s="25" t="str">
        <f>IF((0.5*(H13-H14)/H15)&lt;(0.38*SQRT(H7/H5)),"λ &lt; λp",IF((0.38*SQRT(H7/H5))&lt;(0.5*(H13-H14)/H15),IF((0.5*(H13-H14)/H15)&lt;(1*SQRT(H7/H5)),"λp &lt; λ &lt; λr",IF((0.5*(H13-H14)/H15)&gt;(1*SQRT(H7/H5)),"λr &lt; λ","[ EROR ]"))))</f>
        <v>λ &lt; λp</v>
      </c>
      <c r="F43" s="34" t="s">
        <v>37</v>
      </c>
      <c r="G43" s="71" t="str">
        <f>IF((0.5*(H13-H14)/H15)&lt;(0.38*SQRT(H7/H5)),"[ KOMPAK ]",IF((0.38*SQRT(H7/H5))&lt;(0.5*(H13-H14)/H15),IF((0.5*(H13-H14)/H15)&lt;(1*SQRT(H7/H5)),"[ NON KOMPAK ]",IF((0.5*(H13-H14)/H15)&gt;(1*SQRT(H7/H5)),"[ LANGSING ]","[ EROR ]"))))</f>
        <v>[ KOMPAK ]</v>
      </c>
      <c r="H43" s="72"/>
    </row>
    <row r="44" spans="1:9" ht="18.75" customHeight="1" x14ac:dyDescent="0.25">
      <c r="B44" s="13" t="s">
        <v>38</v>
      </c>
      <c r="E44" s="25" t="str">
        <f>IF(((H12-2*(H15+H16))/H14)&lt;(3.76*SQRT(H7/H5)),"λ &lt; λp",IF((3.76*SQRT(H7/H5))&lt;((H12-2*(H15+H16))/H14),IF(((H12-2*(H15+H16))/H14)&lt;(5.7*SQRT(H7/H5)),"λp &lt; λ &lt; λr",IF(((H12-2*(H15+H16))/H14)&gt;(5.7*SQRT(H7/H5)),"λr &lt; λ","[ EROR ]"))))</f>
        <v>λ &lt; λp</v>
      </c>
      <c r="F44" s="34" t="s">
        <v>37</v>
      </c>
      <c r="G44" s="71" t="str">
        <f>IF(((H12-2*(H15+H16))/H14)&lt;(3.76*SQRT(H7/H5)),"[ KOMPAK ]",IF((3.76*SQRT(H7/H5))&lt;((H12-2*(H15+H16))/H14),IF(((H12-2*(H15+H16))/H14)&lt;(5.7*SQRT(H7/H5)),"[ NON KOMPAK ]",IF(((H12-2*(H15+H16))/H14)&gt;(5.7*SQRT(H7/H5)),"[ LANGSING ]","[ EROR ]"))))</f>
        <v>[ KOMPAK ]</v>
      </c>
      <c r="H44" s="72"/>
    </row>
    <row r="46" spans="1:9" s="35" customFormat="1" ht="18.75" customHeight="1" x14ac:dyDescent="0.25">
      <c r="A46" s="51"/>
      <c r="B46" s="1" t="s">
        <v>186</v>
      </c>
      <c r="C46" s="1"/>
      <c r="D46" s="1"/>
      <c r="E46" s="1"/>
      <c r="F46" s="1"/>
      <c r="G46" s="4"/>
      <c r="H46" s="3"/>
      <c r="I46" s="2"/>
    </row>
    <row r="47" spans="1:9" s="35" customFormat="1" ht="18.75" customHeight="1" x14ac:dyDescent="0.25">
      <c r="A47" s="51"/>
      <c r="B47" s="33" t="s">
        <v>39</v>
      </c>
      <c r="C47" s="1"/>
      <c r="D47" s="1"/>
      <c r="E47" s="1"/>
      <c r="F47" s="1"/>
      <c r="G47" s="4"/>
      <c r="H47" s="3"/>
      <c r="I47" s="2"/>
    </row>
    <row r="48" spans="1:9" ht="18.75" customHeight="1" x14ac:dyDescent="0.25">
      <c r="A48" s="62"/>
      <c r="B48" s="73" t="s">
        <v>40</v>
      </c>
      <c r="C48" s="74"/>
      <c r="D48" s="73" t="s">
        <v>41</v>
      </c>
      <c r="E48" s="74"/>
      <c r="F48" s="77" t="s">
        <v>42</v>
      </c>
      <c r="G48" s="77"/>
      <c r="H48" s="77"/>
      <c r="I48" s="35"/>
    </row>
    <row r="49" spans="1:9" ht="18.75" customHeight="1" x14ac:dyDescent="0.25">
      <c r="A49" s="62"/>
      <c r="B49" s="75"/>
      <c r="C49" s="76"/>
      <c r="D49" s="75"/>
      <c r="E49" s="76"/>
      <c r="F49" s="36" t="s">
        <v>43</v>
      </c>
      <c r="G49" s="36" t="s">
        <v>44</v>
      </c>
      <c r="H49" s="36" t="s">
        <v>45</v>
      </c>
      <c r="I49" s="35"/>
    </row>
    <row r="50" spans="1:9" ht="18.75" customHeight="1" x14ac:dyDescent="0.25">
      <c r="B50" s="37"/>
      <c r="C50" s="38"/>
      <c r="D50" s="37"/>
      <c r="E50" s="38"/>
      <c r="F50" s="39" t="s">
        <v>46</v>
      </c>
      <c r="G50" s="39" t="s">
        <v>47</v>
      </c>
      <c r="H50" s="39" t="str">
        <f>IF(B52="c",IF(D52="c","[ Perlu ]","-"),"-")</f>
        <v>[ Perlu ]</v>
      </c>
    </row>
    <row r="51" spans="1:9" ht="18.75" customHeight="1" x14ac:dyDescent="0.25">
      <c r="B51" s="64" t="str">
        <f>G43</f>
        <v>[ KOMPAK ]</v>
      </c>
      <c r="C51" s="65"/>
      <c r="D51" s="64" t="str">
        <f>G44</f>
        <v>[ KOMPAK ]</v>
      </c>
      <c r="E51" s="65"/>
      <c r="F51" s="39" t="s">
        <v>48</v>
      </c>
      <c r="G51" s="39" t="s">
        <v>49</v>
      </c>
      <c r="H51" s="39" t="str">
        <f>IF(B52="nc",IF(D52="c","[ Perlu ]","-"),IF(B52="s",IF(D52="c","[ Perlu ]","-"),"-"))</f>
        <v>-</v>
      </c>
    </row>
    <row r="52" spans="1:9" ht="18.75" customHeight="1" x14ac:dyDescent="0.25">
      <c r="B52" s="64" t="str">
        <f>IF((0.5*(H13-H14)/H15)&lt;(0.38*SQRT(H7/H5)),"c",IF((0.38*SQRT(H7/H5))&lt;(0.5*(H13-H14)/H15),IF((0.5*(H13-H14)/H15)&lt;(1*SQRT(H7/H5)),"nc",IF((0.5*(H13-H14)/H15)&gt;(1*SQRT(H7/H5)),"s","[ EROR ]"))))</f>
        <v>c</v>
      </c>
      <c r="C52" s="65"/>
      <c r="D52" s="64" t="str">
        <f>IF(((H12-2*(H15+H16))/H14)&lt;(3.76*SQRT(H7/H5)),"c",IF((3.76*SQRT(H7/H5))&lt;((H12-2*(H15+H16))/H14),IF(((H12-2*(H15+H16))/H14)&lt;(5.7*SQRT(H7/H5)),"nc",IF(((H12-2*(H15+H16))/H14)&gt;(5.7*SQRT(H7/H5)),"s","[ EROR ]"))))</f>
        <v>c</v>
      </c>
      <c r="E52" s="65"/>
      <c r="F52" s="39" t="s">
        <v>50</v>
      </c>
      <c r="G52" s="39" t="s">
        <v>51</v>
      </c>
      <c r="H52" s="39" t="str">
        <f>IF(D52="c","[ Perlu ]",IF(D52="nc","[ Perlu ]","-"))</f>
        <v>[ Perlu ]</v>
      </c>
    </row>
    <row r="53" spans="1:9" ht="18.75" customHeight="1" x14ac:dyDescent="0.25">
      <c r="B53" s="40"/>
      <c r="C53" s="41"/>
      <c r="D53" s="40"/>
      <c r="E53" s="41"/>
      <c r="F53" s="39" t="s">
        <v>52</v>
      </c>
      <c r="G53" s="39" t="s">
        <v>51</v>
      </c>
      <c r="H53" s="39" t="str">
        <f>IF(D52="s","[ Perlu ]","-")</f>
        <v>-</v>
      </c>
    </row>
    <row r="54" spans="1:9" ht="18.75" customHeight="1" x14ac:dyDescent="0.25">
      <c r="B54" s="8" t="s">
        <v>53</v>
      </c>
      <c r="C54" s="8"/>
      <c r="D54" s="8"/>
      <c r="E54" s="8"/>
      <c r="F54" s="42"/>
      <c r="G54" s="42"/>
      <c r="H54" s="42"/>
      <c r="I54" s="1"/>
    </row>
    <row r="55" spans="1:9" ht="18.75" customHeight="1" x14ac:dyDescent="0.25">
      <c r="B55" s="8"/>
      <c r="C55" s="8"/>
      <c r="D55" s="8"/>
      <c r="E55" s="8"/>
      <c r="F55" s="8"/>
      <c r="G55" s="6"/>
      <c r="H55" s="42"/>
    </row>
    <row r="56" spans="1:9" ht="18.75" customHeight="1" x14ac:dyDescent="0.25">
      <c r="B56" s="8"/>
      <c r="C56" s="8"/>
      <c r="D56" s="8"/>
      <c r="E56" s="8"/>
      <c r="F56" s="8"/>
      <c r="G56" s="6"/>
      <c r="H56" s="42"/>
    </row>
    <row r="57" spans="1:9" ht="18.75" customHeight="1" x14ac:dyDescent="0.25">
      <c r="B57" s="43" t="s">
        <v>54</v>
      </c>
      <c r="C57" s="8"/>
      <c r="D57" s="8"/>
      <c r="E57" s="8"/>
      <c r="F57" s="8"/>
      <c r="G57" s="6"/>
      <c r="H57" s="11"/>
    </row>
    <row r="58" spans="1:9" ht="18.75" customHeight="1" x14ac:dyDescent="0.25">
      <c r="B58" s="77" t="s">
        <v>40</v>
      </c>
      <c r="C58" s="77"/>
      <c r="D58" s="77" t="s">
        <v>41</v>
      </c>
      <c r="E58" s="77"/>
      <c r="F58" s="77" t="s">
        <v>42</v>
      </c>
      <c r="G58" s="77"/>
      <c r="H58" s="77"/>
    </row>
    <row r="59" spans="1:9" ht="18.75" customHeight="1" x14ac:dyDescent="0.25">
      <c r="B59" s="77"/>
      <c r="C59" s="77"/>
      <c r="D59" s="77"/>
      <c r="E59" s="77"/>
      <c r="F59" s="36" t="s">
        <v>43</v>
      </c>
      <c r="G59" s="36" t="s">
        <v>44</v>
      </c>
      <c r="H59" s="36" t="s">
        <v>45</v>
      </c>
    </row>
    <row r="60" spans="1:9" ht="18.75" customHeight="1" x14ac:dyDescent="0.25">
      <c r="B60" s="64" t="str">
        <f>B51</f>
        <v>[ KOMPAK ]</v>
      </c>
      <c r="C60" s="65"/>
      <c r="D60" s="64" t="str">
        <f>D51</f>
        <v>[ KOMPAK ]</v>
      </c>
      <c r="E60" s="65"/>
      <c r="F60" s="67" t="s">
        <v>55</v>
      </c>
      <c r="G60" s="67" t="s">
        <v>56</v>
      </c>
      <c r="H60" s="67" t="s">
        <v>57</v>
      </c>
    </row>
    <row r="61" spans="1:9" ht="18.75" customHeight="1" x14ac:dyDescent="0.25">
      <c r="B61" s="69" t="str">
        <f>B52</f>
        <v>c</v>
      </c>
      <c r="C61" s="70"/>
      <c r="D61" s="69" t="str">
        <f>D52</f>
        <v>c</v>
      </c>
      <c r="E61" s="70"/>
      <c r="F61" s="68"/>
      <c r="G61" s="68"/>
      <c r="H61" s="68"/>
    </row>
    <row r="62" spans="1:9" ht="18.75" customHeight="1" x14ac:dyDescent="0.25">
      <c r="B62" s="8" t="s">
        <v>53</v>
      </c>
    </row>
    <row r="65" spans="1:12" ht="18.75" customHeight="1" x14ac:dyDescent="0.25">
      <c r="A65" s="60" t="s">
        <v>176</v>
      </c>
      <c r="B65" s="28" t="s">
        <v>175</v>
      </c>
      <c r="C65" s="27"/>
      <c r="D65" s="27"/>
      <c r="E65" s="27"/>
      <c r="F65" s="27"/>
      <c r="G65" s="29"/>
      <c r="H65" s="30"/>
      <c r="I65" s="31"/>
    </row>
    <row r="66" spans="1:12" ht="18.75" customHeight="1" x14ac:dyDescent="0.25">
      <c r="B66" s="1" t="s">
        <v>62</v>
      </c>
      <c r="G66" s="4" t="s">
        <v>61</v>
      </c>
      <c r="H66" s="44">
        <f>MAX((12.5*ABS(ABS(H25))/(2.5*ABS(ABS(H25))+3*ABS(ABS(H26))+4*ABS(ABS(H27))+3*ABS(ABS(H28)))),1)</f>
        <v>1.4485627333980091</v>
      </c>
    </row>
    <row r="68" spans="1:12" ht="18.75" customHeight="1" x14ac:dyDescent="0.25">
      <c r="A68" s="59" t="s">
        <v>177</v>
      </c>
      <c r="B68" s="17" t="s">
        <v>191</v>
      </c>
      <c r="C68" s="16"/>
      <c r="D68" s="16"/>
      <c r="E68" s="16"/>
      <c r="F68" s="16"/>
      <c r="G68" s="18"/>
      <c r="H68" s="26"/>
      <c r="I68" s="19"/>
    </row>
    <row r="69" spans="1:12" ht="18.75" customHeight="1" x14ac:dyDescent="0.25">
      <c r="A69" s="60" t="s">
        <v>178</v>
      </c>
      <c r="B69" s="28" t="s">
        <v>63</v>
      </c>
      <c r="C69" s="27"/>
      <c r="D69" s="27"/>
      <c r="E69" s="27"/>
      <c r="F69" s="27"/>
      <c r="G69" s="29"/>
      <c r="H69" s="30"/>
      <c r="I69" s="31"/>
    </row>
    <row r="70" spans="1:12" ht="18.75" customHeight="1" x14ac:dyDescent="0.25">
      <c r="B70" s="33" t="s">
        <v>64</v>
      </c>
      <c r="E70" s="33" t="str">
        <f>IF(H50="-",": [ TIDAK PERLU ]",": [ PERLU ]")</f>
        <v>: [ PERLU ]</v>
      </c>
    </row>
    <row r="71" spans="1:12" ht="18.75" customHeight="1" x14ac:dyDescent="0.25">
      <c r="B71" s="1" t="s">
        <v>65</v>
      </c>
      <c r="G71" s="4" t="s">
        <v>78</v>
      </c>
      <c r="H71" s="45">
        <f>H5*G38/1000^2</f>
        <v>2932.99584</v>
      </c>
      <c r="I71" s="2" t="s">
        <v>19</v>
      </c>
    </row>
    <row r="73" spans="1:12" ht="18.75" customHeight="1" x14ac:dyDescent="0.25">
      <c r="B73" s="33" t="s">
        <v>66</v>
      </c>
      <c r="E73" s="33" t="str">
        <f>IF(H50="-",": [ TIDAK PERLU ]",": [ PERLU ]")</f>
        <v>: [ PERLU ]</v>
      </c>
    </row>
    <row r="74" spans="1:12" ht="18.75" customHeight="1" x14ac:dyDescent="0.25">
      <c r="B74" s="1" t="s">
        <v>71</v>
      </c>
      <c r="G74" s="4" t="s">
        <v>195</v>
      </c>
      <c r="H74" s="44">
        <f>((1.95*MIN(SQRT(0.5*D38*(H12-H15)/E38),(H13/SQRT(12*(1+1/6*(H12*H14)/(H13*H15)))))*H7/(0.7*H5)*SQRT((1/3*((2*H13*H15^3)+((H12-H15)*H14^3)))*1/(E38*(H12-H15))+SQRT(((1/3*((2*H13*H15^3)+((H12-H15)*H14^3)))*1/(E38*(H12-H15)))^2+6.76*(0.7*H5/H7)^2)))/1000)</f>
        <v>10.549857983244742</v>
      </c>
      <c r="I74" s="2" t="s">
        <v>70</v>
      </c>
    </row>
    <row r="75" spans="1:12" ht="18.75" customHeight="1" x14ac:dyDescent="0.25">
      <c r="B75" s="1" t="s">
        <v>187</v>
      </c>
      <c r="G75" s="4" t="s">
        <v>196</v>
      </c>
      <c r="H75" s="44">
        <f>H10/1000</f>
        <v>4</v>
      </c>
      <c r="I75" s="2" t="s">
        <v>70</v>
      </c>
      <c r="L75" s="21"/>
    </row>
    <row r="76" spans="1:12" ht="18.75" customHeight="1" x14ac:dyDescent="0.25">
      <c r="B76" s="1" t="s">
        <v>72</v>
      </c>
      <c r="G76" s="4" t="s">
        <v>197</v>
      </c>
      <c r="H76" s="20">
        <f>(H66*PI()^2*H7/(H75*1000/MIN(SQRT(0.5*D38*(H12-H15)/E38),(H13/SQRT(12*(1+1/6*(H12*H14)/(H13*H15))))))^2*SQRT(1+0.078*((1/3*((2*H13*H15^3)+((H12-H15)*H14^3)))*1/(E38*(H12-H15)))*(H75*1000/MIN(SQRT(0.5*D38*(H12-H15)/E38),(H13/SQRT(12*(1+1/6*(H12*H14)/(H13*H15))))))^2))</f>
        <v>1181.5392689540167</v>
      </c>
      <c r="I76" s="2" t="s">
        <v>4</v>
      </c>
    </row>
    <row r="79" spans="1:12" ht="18.75" customHeight="1" x14ac:dyDescent="0.25">
      <c r="B79" s="1" t="s">
        <v>73</v>
      </c>
    </row>
    <row r="80" spans="1:12" ht="18.75" customHeight="1" x14ac:dyDescent="0.25">
      <c r="B80" s="46" t="s">
        <v>67</v>
      </c>
      <c r="C80" s="47" t="s">
        <v>74</v>
      </c>
      <c r="D80" s="48"/>
      <c r="E80" s="48"/>
      <c r="F80" s="48"/>
      <c r="G80" s="49" t="s">
        <v>78</v>
      </c>
      <c r="H80" s="20" t="str">
        <f>IF(H75&lt;(1.76*SQRT(D38/H34)*SQRT(H7/H5)/1000),H5*G38/10^6,"-")</f>
        <v>-</v>
      </c>
      <c r="I80" s="2" t="s">
        <v>19</v>
      </c>
    </row>
    <row r="81" spans="1:10" ht="18.75" customHeight="1" x14ac:dyDescent="0.25">
      <c r="B81" s="46" t="s">
        <v>68</v>
      </c>
      <c r="C81" s="47" t="s">
        <v>75</v>
      </c>
      <c r="D81" s="48"/>
      <c r="E81" s="48"/>
      <c r="F81" s="48"/>
      <c r="G81" s="49" t="s">
        <v>78</v>
      </c>
      <c r="H81" s="20">
        <f>IF((1.76*SQRT(D38/H34)*SQRT(H7/H5)/1000)&lt;H75,IF(H75&lt;((1.95*MIN(SQRT(0.5*D38*(H12-H15)/E38),(H13/SQRT(12*(1+1/6*(H12*H14)/(H13*H15)))))*H7/(0.7*H5)*SQRT((1/3*((2*H13*H15^3)+((H12-H15)*H14^3)))*1/(E38*(H12-H15))+SQRT(((1/3*((2*H13*H15^3)+((H12-H15)*H14^3)))*1/(E38*(H12-H15)))^2+6.76*(0.7*H5/H7)^2)))/1000),H66*(H5*G38-(H5*G38-0.7*H5*E38)*(H75-(1.76*SQRT(D38/H34)*SQRT(H7/H5)/1000))/(((1.95*MIN(SQRT(0.5*D38*(H12-H15)/E38),(H13/SQRT(12*(1+1/6*(H12*H14)/(H13*H15)))))*H7/(0.7*H5)*SQRT((1/3*((2*H13*H15^3)+((H12-H15)*H14^3)))*1/(E38*(H12-H15))+SQRT(((1/3*((2*H13*H15^3)+((H12-H15)*H14^3)))*1/(E38*(H12-H15)))^2+6.76*(0.7*H5/H7)^2)))/1000)-(1.76*SQRT(D38/H34)*SQRT(H7/H5)/1000)))/10^6,"-"),"-")</f>
        <v>4095.3894389326319</v>
      </c>
      <c r="I81" s="2" t="s">
        <v>19</v>
      </c>
    </row>
    <row r="82" spans="1:10" ht="18.75" customHeight="1" x14ac:dyDescent="0.25">
      <c r="B82" s="46" t="s">
        <v>76</v>
      </c>
      <c r="C82" s="47" t="s">
        <v>77</v>
      </c>
      <c r="D82" s="48"/>
      <c r="E82" s="48"/>
      <c r="F82" s="48"/>
      <c r="G82" s="49" t="s">
        <v>78</v>
      </c>
      <c r="H82" s="20" t="str">
        <f>IF(H75&gt;((1.95*MIN(SQRT(0.5*D38*(H12-H15)/E38),(H13/SQRT(12*(1+1/6*(H12*H14)/(H13*H15)))))*H7/(0.7*H5)*SQRT((1/3*((2*H13*H15^3)+((H12-H15)*H14^3)))*1/(E38*(H12-H15))+SQRT(((1/3*((2*H13*H15^3)+((H12-H15)*H14^3)))*1/(E38*(H12-H15)))^2+6.76*(0.7*H5/H7)^2)))/1000),H76*E38/10^6,"-")</f>
        <v>-</v>
      </c>
      <c r="I82" s="2" t="s">
        <v>19</v>
      </c>
    </row>
    <row r="83" spans="1:10" ht="18.75" customHeight="1" x14ac:dyDescent="0.25">
      <c r="G83" s="4" t="s">
        <v>78</v>
      </c>
      <c r="H83" s="20">
        <f>MAX(H80:H82)</f>
        <v>4095.3894389326319</v>
      </c>
      <c r="I83" s="2" t="s">
        <v>19</v>
      </c>
    </row>
    <row r="84" spans="1:10" ht="18.75" customHeight="1" x14ac:dyDescent="0.25">
      <c r="B84" s="1" t="s">
        <v>79</v>
      </c>
    </row>
    <row r="85" spans="1:10" ht="18.75" customHeight="1" x14ac:dyDescent="0.25">
      <c r="B85" s="1" t="s">
        <v>80</v>
      </c>
      <c r="D85" s="3" t="s">
        <v>81</v>
      </c>
      <c r="E85" s="50" t="s">
        <v>82</v>
      </c>
      <c r="F85" s="3" t="s">
        <v>83</v>
      </c>
      <c r="G85" s="3"/>
      <c r="H85" s="2"/>
      <c r="I85" s="1"/>
      <c r="J85" s="1" t="s">
        <v>84</v>
      </c>
    </row>
    <row r="86" spans="1:10" ht="18.75" customHeight="1" x14ac:dyDescent="0.25">
      <c r="D86" s="20">
        <f>H83</f>
        <v>4095.3894389326319</v>
      </c>
      <c r="E86" s="3" t="str">
        <f>IF(D86&gt;F86,"&gt;","≤")</f>
        <v>&gt;</v>
      </c>
      <c r="F86" s="20">
        <f>H5*G38/10^6</f>
        <v>2932.99584</v>
      </c>
      <c r="G86" s="34" t="s">
        <v>37</v>
      </c>
      <c r="H86" s="51" t="str">
        <f>IF(D86&gt;F86,"[ Pakai Mp ]","[ OK ]")</f>
        <v>[ Pakai Mp ]</v>
      </c>
      <c r="I86" s="1"/>
    </row>
    <row r="87" spans="1:10" ht="18.75" customHeight="1" x14ac:dyDescent="0.25">
      <c r="D87" s="15"/>
      <c r="E87" s="3"/>
      <c r="F87" s="15"/>
      <c r="G87" s="34"/>
      <c r="H87" s="51"/>
      <c r="I87" s="1"/>
    </row>
    <row r="88" spans="1:10" ht="18.75" customHeight="1" x14ac:dyDescent="0.25">
      <c r="B88" s="1" t="s">
        <v>85</v>
      </c>
      <c r="C88" s="1" t="s">
        <v>86</v>
      </c>
      <c r="G88" s="4" t="s">
        <v>78</v>
      </c>
      <c r="H88" s="45">
        <f>MIN(D86,F86)</f>
        <v>2932.99584</v>
      </c>
      <c r="I88" s="2" t="s">
        <v>19</v>
      </c>
    </row>
    <row r="90" spans="1:10" ht="18.75" customHeight="1" x14ac:dyDescent="0.25">
      <c r="A90" s="60" t="s">
        <v>179</v>
      </c>
      <c r="B90" s="28" t="s">
        <v>87</v>
      </c>
      <c r="C90" s="27"/>
      <c r="D90" s="27"/>
      <c r="E90" s="27"/>
      <c r="F90" s="27"/>
      <c r="G90" s="29"/>
      <c r="H90" s="30"/>
      <c r="I90" s="31"/>
    </row>
    <row r="91" spans="1:10" ht="18.75" customHeight="1" x14ac:dyDescent="0.25">
      <c r="B91" s="33" t="s">
        <v>66</v>
      </c>
      <c r="E91" s="33" t="str">
        <f>IF(H51="-",": [ TIDAK PERLU ]",": [ PERLU ]")</f>
        <v>: [ TIDAK PERLU ]</v>
      </c>
    </row>
    <row r="92" spans="1:10" ht="18.75" customHeight="1" x14ac:dyDescent="0.25">
      <c r="B92" s="1" t="s">
        <v>86</v>
      </c>
      <c r="G92" s="4" t="s">
        <v>78</v>
      </c>
      <c r="H92" s="45">
        <f>H88</f>
        <v>2932.99584</v>
      </c>
      <c r="I92" s="2" t="s">
        <v>19</v>
      </c>
    </row>
    <row r="94" spans="1:10" ht="18.75" customHeight="1" x14ac:dyDescent="0.25">
      <c r="B94" s="33" t="s">
        <v>88</v>
      </c>
      <c r="E94" s="33" t="str">
        <f>IF(H51="-",": [ TIDAK PERLU ]",IF(B52="c",": [ TIDAK PERLU ]",": [ PERLU ]"))</f>
        <v>: [ TIDAK PERLU ]</v>
      </c>
    </row>
    <row r="95" spans="1:10" ht="18.75" customHeight="1" x14ac:dyDescent="0.25">
      <c r="B95" s="1" t="s">
        <v>90</v>
      </c>
      <c r="G95" s="4" t="s">
        <v>89</v>
      </c>
      <c r="H95" s="84">
        <f>IF((4/SQRT(((H12-2*(H15+H16))/H14)))&lt;0.35,0.35,IF((4/SQRT(((H12-2*(H15+H16))/H14)))&gt;0.35,IF((4/SQRT(((H12-2*(H15+H16))/H14)))&lt;0.76,(4/SQRT(((H12-2*(H15+H16))/H14))),IF(0.76&lt;(4/SQRT(((H12-2*(H15+H16))/H14))),0.76,"[ EROR ]"))))</f>
        <v>0.60455126623185407</v>
      </c>
    </row>
    <row r="96" spans="1:10" ht="18.75" customHeight="1" x14ac:dyDescent="0.25">
      <c r="B96" s="1" t="s">
        <v>91</v>
      </c>
      <c r="G96" s="83" t="s">
        <v>198</v>
      </c>
      <c r="H96" s="20">
        <f>H13/(2*H15)</f>
        <v>4.4411764705882355</v>
      </c>
    </row>
    <row r="97" spans="1:9" ht="18.75" customHeight="1" x14ac:dyDescent="0.25">
      <c r="B97" s="1" t="s">
        <v>92</v>
      </c>
      <c r="G97" s="32" t="s">
        <v>93</v>
      </c>
      <c r="H97" s="20">
        <f>(0.38*SQRT(H7/H5))</f>
        <v>10.96965511460289</v>
      </c>
    </row>
    <row r="98" spans="1:9" ht="18.75" customHeight="1" x14ac:dyDescent="0.25">
      <c r="B98" s="1" t="s">
        <v>94</v>
      </c>
      <c r="G98" s="32" t="s">
        <v>95</v>
      </c>
      <c r="H98" s="20">
        <f>(1*SQRT(H7/H5))</f>
        <v>28.867513459481287</v>
      </c>
    </row>
    <row r="99" spans="1:9" ht="18.75" customHeight="1" x14ac:dyDescent="0.25">
      <c r="G99" s="32"/>
      <c r="H99" s="15"/>
    </row>
    <row r="100" spans="1:9" ht="18.75" customHeight="1" x14ac:dyDescent="0.25">
      <c r="B100" s="1" t="s">
        <v>96</v>
      </c>
    </row>
    <row r="101" spans="1:9" ht="18.75" customHeight="1" x14ac:dyDescent="0.25">
      <c r="B101" s="46" t="s">
        <v>67</v>
      </c>
      <c r="C101" s="47" t="s">
        <v>97</v>
      </c>
      <c r="D101" s="52"/>
      <c r="E101" s="48"/>
      <c r="F101" s="48"/>
      <c r="G101" s="49" t="s">
        <v>78</v>
      </c>
      <c r="H101" s="20" t="str">
        <f>IF(B52="nc",(F86*10^6-(F86*10^6-0.7*H5*E38)*(H96-H97)/(H98-H97))/10^6,"-")</f>
        <v>-</v>
      </c>
      <c r="I101" s="2" t="s">
        <v>19</v>
      </c>
    </row>
    <row r="102" spans="1:9" ht="18.75" customHeight="1" x14ac:dyDescent="0.25">
      <c r="B102" s="46" t="s">
        <v>68</v>
      </c>
      <c r="C102" s="47" t="s">
        <v>98</v>
      </c>
      <c r="D102" s="52"/>
      <c r="E102" s="48"/>
      <c r="F102" s="48"/>
      <c r="G102" s="49" t="s">
        <v>78</v>
      </c>
      <c r="H102" s="20" t="str">
        <f>IF(B52="s",0.9*H7*H95*E38/H96^2/10^6,"-")</f>
        <v>-</v>
      </c>
      <c r="I102" s="2" t="s">
        <v>19</v>
      </c>
    </row>
    <row r="104" spans="1:9" ht="18.75" customHeight="1" x14ac:dyDescent="0.25">
      <c r="B104" s="1" t="s">
        <v>85</v>
      </c>
    </row>
    <row r="105" spans="1:9" ht="18.75" customHeight="1" x14ac:dyDescent="0.25">
      <c r="B105" s="1" t="s">
        <v>99</v>
      </c>
      <c r="G105" s="4" t="s">
        <v>78</v>
      </c>
      <c r="H105" s="45" t="str">
        <f>IF(B52="c","-",MIN(H101:H102))</f>
        <v>-</v>
      </c>
      <c r="I105" s="2" t="s">
        <v>19</v>
      </c>
    </row>
    <row r="107" spans="1:9" ht="18.75" customHeight="1" x14ac:dyDescent="0.25">
      <c r="A107" s="60" t="s">
        <v>180</v>
      </c>
      <c r="B107" s="28" t="s">
        <v>100</v>
      </c>
      <c r="C107" s="27"/>
      <c r="D107" s="27"/>
      <c r="E107" s="27"/>
      <c r="F107" s="27"/>
      <c r="G107" s="29"/>
      <c r="H107" s="30"/>
      <c r="I107" s="31"/>
    </row>
    <row r="108" spans="1:9" ht="18.75" customHeight="1" x14ac:dyDescent="0.25">
      <c r="B108" s="33" t="s">
        <v>101</v>
      </c>
      <c r="E108" s="33" t="str">
        <f>IF(H52="-",": [ TIDAK PERLU ]",": [ PERLU ]")</f>
        <v>: [ PERLU ]</v>
      </c>
    </row>
    <row r="109" spans="1:9" ht="18.75" customHeight="1" x14ac:dyDescent="0.25">
      <c r="B109" s="1" t="s">
        <v>102</v>
      </c>
      <c r="G109" s="4" t="s">
        <v>199</v>
      </c>
      <c r="H109" s="84">
        <f>H5*(2/H12*(1/12*H13*H15^3+H13*H15*(0.5*(H12-H15))^2))/10^6</f>
        <v>1042.0254624561403</v>
      </c>
      <c r="I109" s="2" t="s">
        <v>19</v>
      </c>
    </row>
    <row r="110" spans="1:9" ht="18.75" customHeight="1" x14ac:dyDescent="0.25">
      <c r="B110" s="1" t="s">
        <v>103</v>
      </c>
      <c r="G110" s="4" t="s">
        <v>104</v>
      </c>
      <c r="H110" s="84">
        <f>MIN((G38*H5/10^6),(1.6*E38*H5/10^6))</f>
        <v>2932.99584</v>
      </c>
      <c r="I110" s="2" t="s">
        <v>19</v>
      </c>
    </row>
    <row r="111" spans="1:9" ht="18.75" customHeight="1" x14ac:dyDescent="0.25">
      <c r="B111" s="1" t="s">
        <v>105</v>
      </c>
      <c r="H111" s="85"/>
    </row>
    <row r="112" spans="1:9" ht="18.75" customHeight="1" x14ac:dyDescent="0.25">
      <c r="B112" s="2" t="s">
        <v>106</v>
      </c>
      <c r="C112" s="13" t="s">
        <v>107</v>
      </c>
      <c r="H112" s="85"/>
    </row>
    <row r="113" spans="2:9" ht="18.75" customHeight="1" x14ac:dyDescent="0.25">
      <c r="B113" s="2" t="s">
        <v>108</v>
      </c>
      <c r="C113" s="53" t="s">
        <v>109</v>
      </c>
      <c r="G113" s="4" t="s">
        <v>116</v>
      </c>
      <c r="H113" s="86">
        <f>IF((1/12*H15*H13^3)/D38&gt;0.23,IF((H12-2*(H15+H16))/H14&lt;=(3.76*SQRT(H7/H5)),H110/H109,"-"),"-")</f>
        <v>2.814706497753602</v>
      </c>
    </row>
    <row r="114" spans="2:9" ht="18.75" customHeight="1" x14ac:dyDescent="0.25">
      <c r="B114" s="2" t="s">
        <v>110</v>
      </c>
      <c r="C114" s="53" t="s">
        <v>111</v>
      </c>
      <c r="G114" s="4" t="s">
        <v>116</v>
      </c>
      <c r="H114" s="86" t="str">
        <f>IF((1/12*H15*H13^3)/D38&gt;0.23,IF((H12-2*(H15+H16))/H14&gt;(3.76*SQRT(H7/H5)),(F86/H109-(F86/H109)/(((H12-2*(H15+H16))/H14)-(3.76*SQRT(H7/H5)))/((5.7*SQRT(H7/H5))-(3.76*SQRT(H7/H5)))),"-"),"-")</f>
        <v>-</v>
      </c>
    </row>
    <row r="115" spans="2:9" ht="18.75" customHeight="1" x14ac:dyDescent="0.25">
      <c r="B115" s="2" t="s">
        <v>112</v>
      </c>
      <c r="G115" s="4" t="s">
        <v>116</v>
      </c>
      <c r="H115" s="86" t="str">
        <f>IF((1/12*H15*H13^3)/D38&gt;0.23,IF((H12-2*(H15+H16))/H14&gt;(3.76*SQRT(H7/H5)),H110/H109,"-"),"-")</f>
        <v>-</v>
      </c>
    </row>
    <row r="116" spans="2:9" ht="18.75" customHeight="1" x14ac:dyDescent="0.25">
      <c r="B116" s="2" t="s">
        <v>113</v>
      </c>
      <c r="C116" s="13" t="s">
        <v>114</v>
      </c>
      <c r="G116" s="4" t="s">
        <v>116</v>
      </c>
      <c r="H116" s="87" t="str">
        <f>IF((1/12*H15*H13^3)/D38&lt;=0.23,1,"-")</f>
        <v>-</v>
      </c>
    </row>
    <row r="117" spans="2:9" ht="18.75" customHeight="1" x14ac:dyDescent="0.25">
      <c r="B117" s="1" t="s">
        <v>115</v>
      </c>
      <c r="G117" s="4" t="s">
        <v>116</v>
      </c>
      <c r="H117" s="86">
        <f>MIN(H113:H116)</f>
        <v>2.814706497753602</v>
      </c>
    </row>
    <row r="119" spans="2:9" ht="18.75" customHeight="1" x14ac:dyDescent="0.25">
      <c r="B119" s="1" t="s">
        <v>117</v>
      </c>
      <c r="G119" s="4" t="s">
        <v>78</v>
      </c>
      <c r="H119" s="45">
        <f>H117*H109</f>
        <v>2932.99584</v>
      </c>
      <c r="I119" s="2" t="s">
        <v>19</v>
      </c>
    </row>
    <row r="121" spans="2:9" ht="18.75" customHeight="1" x14ac:dyDescent="0.25">
      <c r="B121" s="33" t="s">
        <v>66</v>
      </c>
      <c r="E121" s="33" t="str">
        <f>IF(H52="-",": [ TIDAK PERLU ]",": [ PERLU ]")</f>
        <v>: [ PERLU ]</v>
      </c>
    </row>
    <row r="122" spans="2:9" ht="18.75" customHeight="1" x14ac:dyDescent="0.25">
      <c r="B122" s="1" t="s">
        <v>69</v>
      </c>
      <c r="G122" s="4" t="s">
        <v>201</v>
      </c>
      <c r="H122" s="84">
        <f>1.1*(H13/SQRT(12*(1+1/6*(((H12-2*(H16+H15))*H14)/(H13*H15)))))*SQRT(H7/H5)/1000</f>
        <v>2.4958889227783461</v>
      </c>
      <c r="I122" s="2" t="s">
        <v>70</v>
      </c>
    </row>
    <row r="123" spans="2:9" ht="18.75" customHeight="1" x14ac:dyDescent="0.25">
      <c r="B123" s="1" t="s">
        <v>118</v>
      </c>
      <c r="G123" s="4" t="s">
        <v>195</v>
      </c>
      <c r="H123" s="84">
        <f>1.95*(H13/SQRT(12*(1+1/6*(((H12-2*(H16+H15))*H14)/(H13*H15)))))*H7/H5*SQRT((1/3*((2*H13*H15^3)+((H12-H15)*H14^3)))/((2/H12*(1/12*H13*H15^3+H13*H15*(0.5*(H12-H15))^2))*(H12-H15))+SQRT(((1/3*((2*H13*H15^3)+((H12-H15)*H14^3)))/((2/H12*(1/12*H13*H15^3+H13*H15*(0.5*(H12-H15))^2))*(H12-H15)))^2+6.76*((0.7*H5)/H7)^2))/1000</f>
        <v>9.7782549230277596</v>
      </c>
      <c r="I123" s="2" t="s">
        <v>70</v>
      </c>
    </row>
    <row r="124" spans="2:9" ht="18.75" customHeight="1" x14ac:dyDescent="0.25">
      <c r="B124" s="1" t="s">
        <v>187</v>
      </c>
      <c r="G124" s="4" t="s">
        <v>196</v>
      </c>
      <c r="H124" s="89">
        <f>H10/1000</f>
        <v>4</v>
      </c>
      <c r="I124" s="2" t="s">
        <v>70</v>
      </c>
    </row>
    <row r="126" spans="2:9" ht="18.75" customHeight="1" x14ac:dyDescent="0.25">
      <c r="B126" s="1" t="s">
        <v>73</v>
      </c>
    </row>
    <row r="127" spans="2:9" ht="18.75" customHeight="1" x14ac:dyDescent="0.25">
      <c r="B127" s="46" t="s">
        <v>67</v>
      </c>
      <c r="C127" s="47" t="s">
        <v>74</v>
      </c>
      <c r="D127" s="48"/>
      <c r="E127" s="48"/>
      <c r="F127" s="48"/>
      <c r="G127" s="49" t="s">
        <v>78</v>
      </c>
      <c r="H127" s="20" t="str">
        <f>IF(H124&lt;H122,H117*H109,"-")</f>
        <v>-</v>
      </c>
      <c r="I127" s="2" t="s">
        <v>19</v>
      </c>
    </row>
    <row r="128" spans="2:9" ht="18.75" customHeight="1" x14ac:dyDescent="0.25">
      <c r="B128" s="46" t="s">
        <v>68</v>
      </c>
      <c r="C128" s="47" t="s">
        <v>75</v>
      </c>
      <c r="D128" s="48"/>
      <c r="E128" s="48"/>
      <c r="F128" s="48"/>
      <c r="G128" s="49" t="s">
        <v>78</v>
      </c>
      <c r="H128" s="20">
        <f>IF(H122&lt;H124,IF(H124&lt;H123,H66*(H117*H109-(H117*H109-(0.7*H5)*(2/H12*(1/12*H13*H15^3+H13*H15*(0.5*(H12-H15))^2))/10^6)*(H124-H122)/(H123-H122)),"-"),"-")</f>
        <v>3589.34354407399</v>
      </c>
      <c r="I128" s="2" t="s">
        <v>19</v>
      </c>
    </row>
    <row r="129" spans="2:9" ht="18.75" customHeight="1" x14ac:dyDescent="0.25">
      <c r="B129" s="46" t="s">
        <v>76</v>
      </c>
      <c r="C129" s="47" t="s">
        <v>77</v>
      </c>
      <c r="D129" s="48"/>
      <c r="E129" s="48"/>
      <c r="F129" s="48"/>
      <c r="G129" s="49" t="s">
        <v>78</v>
      </c>
      <c r="H129" s="20" t="str">
        <f>IF(H124&gt;H123,H76*(2/H12*(1/12*H13*H15^3+H13*H15*(0.5*(H12-H15))^2))/10^6,"-")</f>
        <v>-</v>
      </c>
      <c r="I129" s="2" t="s">
        <v>19</v>
      </c>
    </row>
    <row r="130" spans="2:9" ht="18.75" customHeight="1" x14ac:dyDescent="0.25">
      <c r="G130" s="4" t="s">
        <v>78</v>
      </c>
      <c r="H130" s="20">
        <f>MAX(H127:H129)</f>
        <v>3589.34354407399</v>
      </c>
      <c r="I130" s="2" t="s">
        <v>19</v>
      </c>
    </row>
    <row r="131" spans="2:9" ht="18.75" customHeight="1" x14ac:dyDescent="0.25">
      <c r="B131" s="1" t="s">
        <v>79</v>
      </c>
    </row>
    <row r="132" spans="2:9" ht="18.75" customHeight="1" x14ac:dyDescent="0.25">
      <c r="B132" s="1" t="s">
        <v>80</v>
      </c>
      <c r="D132" s="3" t="s">
        <v>81</v>
      </c>
      <c r="E132" s="50" t="s">
        <v>82</v>
      </c>
      <c r="F132" s="3" t="s">
        <v>200</v>
      </c>
      <c r="G132" s="3"/>
      <c r="H132" s="2"/>
      <c r="I132" s="1"/>
    </row>
    <row r="133" spans="2:9" ht="18.75" customHeight="1" x14ac:dyDescent="0.25">
      <c r="D133" s="20">
        <f>H130</f>
        <v>3589.34354407399</v>
      </c>
      <c r="E133" s="3" t="str">
        <f>IF(D133&gt;F133,"&gt;","≤")</f>
        <v>&gt;</v>
      </c>
      <c r="F133" s="20">
        <f>H117*H109</f>
        <v>2932.99584</v>
      </c>
      <c r="G133" s="34" t="s">
        <v>37</v>
      </c>
      <c r="H133" s="51" t="str">
        <f>IF(D133&gt;F133,"[ pakai Rpc*Myc ]","[ OK ]")</f>
        <v>[ pakai Rpc*Myc ]</v>
      </c>
      <c r="I133" s="1"/>
    </row>
    <row r="134" spans="2:9" ht="18.75" customHeight="1" x14ac:dyDescent="0.25">
      <c r="D134" s="15"/>
      <c r="E134" s="3"/>
      <c r="F134" s="15"/>
      <c r="G134" s="34"/>
      <c r="H134" s="51"/>
      <c r="I134" s="1"/>
    </row>
    <row r="135" spans="2:9" ht="18.75" customHeight="1" x14ac:dyDescent="0.25">
      <c r="B135" s="1" t="s">
        <v>85</v>
      </c>
      <c r="C135" s="1" t="s">
        <v>86</v>
      </c>
      <c r="G135" s="4" t="s">
        <v>78</v>
      </c>
      <c r="H135" s="45">
        <f>MIN(D133,F133)</f>
        <v>2932.99584</v>
      </c>
      <c r="I135" s="2" t="s">
        <v>19</v>
      </c>
    </row>
    <row r="137" spans="2:9" ht="18.75" customHeight="1" x14ac:dyDescent="0.25">
      <c r="B137" s="33" t="s">
        <v>88</v>
      </c>
      <c r="E137" s="33" t="str">
        <f>IF(H52="-",": [ TIDAK PERLU ]",IF(B52="c",": [ TIDAK PERLU ]",": [ PERLU ]"))</f>
        <v>: [ TIDAK PERLU ]</v>
      </c>
    </row>
    <row r="138" spans="2:9" ht="18.75" customHeight="1" x14ac:dyDescent="0.25">
      <c r="B138" s="1" t="s">
        <v>96</v>
      </c>
    </row>
    <row r="139" spans="2:9" ht="18.75" customHeight="1" x14ac:dyDescent="0.25">
      <c r="B139" s="46" t="s">
        <v>67</v>
      </c>
      <c r="C139" s="47" t="s">
        <v>97</v>
      </c>
      <c r="D139" s="52"/>
      <c r="E139" s="48"/>
      <c r="F139" s="48"/>
      <c r="G139" s="49" t="s">
        <v>78</v>
      </c>
      <c r="H139" s="20" t="str">
        <f>IF(B52="nc",(IF(H117&lt;0.35,0.35,IF(H117&lt;0.79,H117,IF(H117&gt;0.79,0.79,"[ EROR ]")))*H109*10^6-(IF(H117&lt;0.35,0.35,IF(H117&lt;0.79,H117,IF(H117&gt;0.79,0.79,"[ EROR ]")))*H109*10^6-(0.7*H5)*(2/H12*(1/12*H13*H15^3+H13*H15*(0.5*(H12-H15))^2)))*(H96-H97)/(H98-H97))/10^6,"-")</f>
        <v>-</v>
      </c>
      <c r="I139" s="2" t="s">
        <v>19</v>
      </c>
    </row>
    <row r="140" spans="2:9" ht="18.75" customHeight="1" x14ac:dyDescent="0.25">
      <c r="B140" s="46" t="s">
        <v>68</v>
      </c>
      <c r="C140" s="47" t="s">
        <v>98</v>
      </c>
      <c r="D140" s="52"/>
      <c r="E140" s="48"/>
      <c r="F140" s="48"/>
      <c r="G140" s="49" t="s">
        <v>78</v>
      </c>
      <c r="H140" s="20" t="str">
        <f>IF(B52="s",0.9*H7*(4/SQRT(((H12-2*(H15+H16))/H14)))*(2/H12*(1/12*H13*H15^3+H13*H15*(0.5*(H12-H15))^2))/(0.5*(H13-H14)/H15)^2/10^6,"-")</f>
        <v>-</v>
      </c>
      <c r="I140" s="2" t="s">
        <v>19</v>
      </c>
    </row>
    <row r="142" spans="2:9" ht="18.75" customHeight="1" x14ac:dyDescent="0.25">
      <c r="B142" s="1" t="s">
        <v>85</v>
      </c>
    </row>
    <row r="143" spans="2:9" ht="18.75" customHeight="1" x14ac:dyDescent="0.25">
      <c r="B143" s="1" t="s">
        <v>99</v>
      </c>
      <c r="G143" s="4" t="s">
        <v>78</v>
      </c>
      <c r="H143" s="45" t="str">
        <f>IF(B52="c","-",MIN(H139:H140))</f>
        <v>-</v>
      </c>
      <c r="I143" s="2" t="s">
        <v>19</v>
      </c>
    </row>
    <row r="145" spans="1:9" ht="18.75" customHeight="1" x14ac:dyDescent="0.25">
      <c r="B145" s="33" t="s">
        <v>119</v>
      </c>
      <c r="E145" s="33" t="s">
        <v>120</v>
      </c>
    </row>
    <row r="146" spans="1:9" ht="18.75" customHeight="1" x14ac:dyDescent="0.25">
      <c r="B146" s="1" t="s">
        <v>121</v>
      </c>
    </row>
    <row r="148" spans="1:9" ht="18.75" customHeight="1" x14ac:dyDescent="0.25">
      <c r="A148" s="60" t="s">
        <v>181</v>
      </c>
      <c r="B148" s="28" t="s">
        <v>122</v>
      </c>
      <c r="C148" s="27"/>
      <c r="D148" s="27"/>
      <c r="E148" s="27"/>
      <c r="F148" s="27"/>
      <c r="G148" s="29"/>
      <c r="H148" s="30"/>
      <c r="I148" s="31"/>
    </row>
    <row r="149" spans="1:9" ht="18.75" customHeight="1" x14ac:dyDescent="0.25">
      <c r="B149" s="33" t="s">
        <v>101</v>
      </c>
      <c r="E149" s="33" t="str">
        <f>IF(H53="-",": [ TIDAK PERLU ]",": [ PERLU ]")</f>
        <v>: [ TIDAK PERLU ]</v>
      </c>
    </row>
    <row r="150" spans="1:9" ht="18.75" customHeight="1" x14ac:dyDescent="0.25">
      <c r="B150" s="1" t="s">
        <v>123</v>
      </c>
      <c r="G150" s="4" t="s">
        <v>124</v>
      </c>
      <c r="H150" s="84">
        <f>MIN((1-IF((((H12-2*(H16+H15))*H14)/(H13*H15))&lt;10,(((H12-2*(H16+H15))*H14)/(H13*H15)),10)/(1200+300*IF((((H12-2*(H16+H15))*H14)/(H13*H15))&lt;10,(((H12-2*(H16+H15))*H14)/(H13*H15)),10))*((H12-2*(H16+H15))/H14-5.7*SQRT(H7/H5))),1)</f>
        <v>1</v>
      </c>
    </row>
    <row r="151" spans="1:9" ht="18.75" customHeight="1" x14ac:dyDescent="0.25">
      <c r="B151" s="1" t="s">
        <v>125</v>
      </c>
      <c r="G151" s="4" t="s">
        <v>78</v>
      </c>
      <c r="H151" s="45">
        <f>H150*H5*(2/H12*(1/12*H13*H15^3+H13*H15*(0.5*(H12-H15))^2))/10^6</f>
        <v>1042.0254624561403</v>
      </c>
      <c r="I151" s="2" t="s">
        <v>19</v>
      </c>
    </row>
    <row r="153" spans="1:9" ht="18.75" customHeight="1" x14ac:dyDescent="0.25">
      <c r="B153" s="33" t="s">
        <v>66</v>
      </c>
      <c r="E153" s="33" t="str">
        <f>IF(H53="-",": [ TIDAK PERLU ]",": [ PERLU ]")</f>
        <v>: [ TIDAK PERLU ]</v>
      </c>
    </row>
    <row r="154" spans="1:9" ht="18.75" customHeight="1" x14ac:dyDescent="0.25">
      <c r="B154" s="1" t="s">
        <v>72</v>
      </c>
    </row>
    <row r="155" spans="1:9" ht="18.75" customHeight="1" x14ac:dyDescent="0.25">
      <c r="B155" s="54" t="s">
        <v>67</v>
      </c>
      <c r="C155" s="55" t="s">
        <v>74</v>
      </c>
      <c r="D155" s="48"/>
      <c r="E155" s="48"/>
      <c r="F155" s="48"/>
      <c r="G155" s="49" t="s">
        <v>126</v>
      </c>
      <c r="H155" s="20" t="str">
        <f>IF((H10/1000)&lt;H122,H5,"-")</f>
        <v>-</v>
      </c>
      <c r="I155" s="2" t="s">
        <v>4</v>
      </c>
    </row>
    <row r="156" spans="1:9" ht="18.75" customHeight="1" x14ac:dyDescent="0.25">
      <c r="B156" s="54" t="s">
        <v>68</v>
      </c>
      <c r="C156" s="55" t="s">
        <v>75</v>
      </c>
      <c r="D156" s="48"/>
      <c r="E156" s="48"/>
      <c r="F156" s="48"/>
      <c r="G156" s="49" t="s">
        <v>126</v>
      </c>
      <c r="H156" s="20">
        <f>IF(H122&lt;(H10/1000),IF((H10/1000)&lt;(PI()*(H13/SQRT(12*(1+1/6*(((H12-2*(H16+H15))*H14)/(H13*H15)))))*SQRT(H7/(0.7*H5))/1000),H66*(H5-0.3*H5*((H10/1000)-H122)/((PI()*(H13/SQRT(12*(1+1/6*(((H12-2*(H16+H15))*H14)/(H13*H15)))))*SQRT(H7/(0.7*H5))/1000)-H122)),"-"),"-")</f>
        <v>321.61358728653477</v>
      </c>
      <c r="I156" s="2" t="s">
        <v>4</v>
      </c>
    </row>
    <row r="157" spans="1:9" ht="18.75" customHeight="1" x14ac:dyDescent="0.25">
      <c r="B157" s="54" t="s">
        <v>76</v>
      </c>
      <c r="C157" s="55" t="s">
        <v>77</v>
      </c>
      <c r="D157" s="48"/>
      <c r="E157" s="48"/>
      <c r="F157" s="48"/>
      <c r="G157" s="49" t="s">
        <v>126</v>
      </c>
      <c r="H157" s="20" t="str">
        <f>IF((H10/1000)&gt;(PI()*(H13/SQRT(12*(1+1/6*(((H12-2*(H16+H15))*H14)/(H13*H15)))))*SQRT(H7/(0.7*H5))/1000),H66*PI()^2*H7/((H10/1000)*1000/(H13/SQRT(12*(1+1/6*(((H12-2*(H16+H15))*H14)/(H13*H15))))))^2,"-")</f>
        <v>-</v>
      </c>
      <c r="I157" s="2" t="s">
        <v>4</v>
      </c>
    </row>
    <row r="158" spans="1:9" ht="18.75" customHeight="1" x14ac:dyDescent="0.25">
      <c r="G158" s="4" t="s">
        <v>126</v>
      </c>
      <c r="H158" s="20">
        <f>MAX(H155:H157)</f>
        <v>321.61358728653477</v>
      </c>
      <c r="I158" s="2" t="s">
        <v>4</v>
      </c>
    </row>
    <row r="159" spans="1:9" ht="18.75" customHeight="1" x14ac:dyDescent="0.25">
      <c r="B159" s="1" t="s">
        <v>127</v>
      </c>
    </row>
    <row r="160" spans="1:9" ht="18.75" customHeight="1" x14ac:dyDescent="0.25">
      <c r="B160" s="1" t="s">
        <v>80</v>
      </c>
      <c r="D160" s="3" t="s">
        <v>128</v>
      </c>
      <c r="E160" s="50" t="s">
        <v>82</v>
      </c>
      <c r="F160" s="3" t="s">
        <v>129</v>
      </c>
      <c r="G160" s="3"/>
      <c r="H160" s="2"/>
      <c r="I160" s="1"/>
    </row>
    <row r="161" spans="2:9" ht="18.75" customHeight="1" x14ac:dyDescent="0.25">
      <c r="D161" s="20">
        <f>H158</f>
        <v>321.61358728653477</v>
      </c>
      <c r="E161" s="3" t="str">
        <f>IF(D161&gt;F161,"&gt;","≤")</f>
        <v>&gt;</v>
      </c>
      <c r="F161" s="20">
        <f>H5</f>
        <v>240</v>
      </c>
      <c r="G161" s="34" t="s">
        <v>37</v>
      </c>
      <c r="H161" s="51" t="str">
        <f>IF(D161&gt;F161,"[ pakai fy ]","[ OK ]")</f>
        <v>[ pakai fy ]</v>
      </c>
      <c r="I161" s="1"/>
    </row>
    <row r="162" spans="2:9" ht="18.75" customHeight="1" x14ac:dyDescent="0.25">
      <c r="D162" s="15"/>
      <c r="E162" s="3"/>
      <c r="F162" s="15"/>
      <c r="G162" s="34"/>
      <c r="H162" s="51"/>
      <c r="I162" s="1"/>
    </row>
    <row r="163" spans="2:9" ht="18.75" customHeight="1" x14ac:dyDescent="0.25">
      <c r="B163" s="1" t="s">
        <v>85</v>
      </c>
      <c r="C163" s="1" t="s">
        <v>130</v>
      </c>
      <c r="G163" s="4" t="s">
        <v>126</v>
      </c>
      <c r="H163" s="20">
        <f>MIN(D161,F161)</f>
        <v>240</v>
      </c>
      <c r="I163" s="2" t="s">
        <v>4</v>
      </c>
    </row>
    <row r="164" spans="2:9" ht="18.75" customHeight="1" x14ac:dyDescent="0.25">
      <c r="B164" s="1" t="s">
        <v>73</v>
      </c>
      <c r="G164" s="4" t="s">
        <v>78</v>
      </c>
      <c r="H164" s="45">
        <f>H150*H163*(2/H12*(1/12*H13*H15^3+H13*H15*(0.5*(H12-H15))^2))/10^6</f>
        <v>1042.0254624561403</v>
      </c>
      <c r="I164" s="2" t="s">
        <v>19</v>
      </c>
    </row>
    <row r="166" spans="2:9" ht="18.75" customHeight="1" x14ac:dyDescent="0.25">
      <c r="B166" s="33" t="s">
        <v>88</v>
      </c>
      <c r="E166" s="33" t="str">
        <f>IF(H53="-",": [ TIDAK PERLU ]",IF(B52="c",": [ TIDAK PERLU ]",": [ PERLU ]"))</f>
        <v>: [ TIDAK PERLU ]</v>
      </c>
    </row>
    <row r="167" spans="2:9" ht="18.75" customHeight="1" x14ac:dyDescent="0.25">
      <c r="B167" s="1" t="s">
        <v>131</v>
      </c>
    </row>
    <row r="168" spans="2:9" ht="18.75" customHeight="1" x14ac:dyDescent="0.25">
      <c r="B168" s="46" t="s">
        <v>67</v>
      </c>
      <c r="C168" s="47" t="s">
        <v>97</v>
      </c>
      <c r="D168" s="52"/>
      <c r="E168" s="48"/>
      <c r="F168" s="48"/>
      <c r="G168" s="49" t="s">
        <v>126</v>
      </c>
      <c r="H168" s="20" t="str">
        <f>IF((0.5*(H13-H14)/H15)&gt;H97,IF((0.5*(H13-H14)/H15)&lt;H98,H5-0.3*H5*((0.5*(H13-H14)/H15)-H97)/(H98-H97),"-"),"-")</f>
        <v>-</v>
      </c>
      <c r="I168" s="2" t="s">
        <v>4</v>
      </c>
    </row>
    <row r="169" spans="2:9" ht="18.75" customHeight="1" x14ac:dyDescent="0.25">
      <c r="B169" s="46" t="s">
        <v>68</v>
      </c>
      <c r="C169" s="47" t="s">
        <v>98</v>
      </c>
      <c r="D169" s="52"/>
      <c r="E169" s="48"/>
      <c r="F169" s="48"/>
      <c r="G169" s="49" t="s">
        <v>126</v>
      </c>
      <c r="H169" s="20" t="str">
        <f>IF((0.5*(H13-H14)/H15)&gt;H98,0.9*H7*IF((4/SQRT(((H12-2*(H15+H16))/H14)))&lt;0.35,0.35,IF((4/SQRT(((H12-2*(H15+H16))/H14)))&lt;0.76,(4/SQRT(((H12-2*(H15+H16))/H14))),IF((4/SQRT(((H12-2*(H15+H16))/H14)))&gt;0.76,0.76,"[ EROR ]")))/(H13/(2*H15))^2,"-")</f>
        <v>-</v>
      </c>
      <c r="I169" s="2" t="s">
        <v>4</v>
      </c>
    </row>
    <row r="171" spans="2:9" ht="18.75" customHeight="1" x14ac:dyDescent="0.25">
      <c r="B171" s="1" t="s">
        <v>99</v>
      </c>
      <c r="G171" s="4" t="s">
        <v>78</v>
      </c>
      <c r="H171" s="45" t="str">
        <f>IF(B52="c","-",H150*MIN(H168:H169)*(2/H12*(1/12*H13*H15^3+H13*H15*(0.5*(H12-H15))^2))/10^6)</f>
        <v>-</v>
      </c>
      <c r="I171" s="2" t="s">
        <v>19</v>
      </c>
    </row>
    <row r="173" spans="2:9" ht="18.75" customHeight="1" x14ac:dyDescent="0.25">
      <c r="B173" s="33" t="s">
        <v>119</v>
      </c>
      <c r="E173" s="33" t="s">
        <v>120</v>
      </c>
    </row>
    <row r="174" spans="2:9" ht="18.75" customHeight="1" x14ac:dyDescent="0.25">
      <c r="B174" s="1" t="s">
        <v>121</v>
      </c>
    </row>
    <row r="177" spans="1:9" ht="18.75" customHeight="1" x14ac:dyDescent="0.25">
      <c r="A177" s="60" t="s">
        <v>182</v>
      </c>
      <c r="B177" s="28" t="s">
        <v>132</v>
      </c>
      <c r="C177" s="27"/>
      <c r="D177" s="27"/>
      <c r="E177" s="27"/>
      <c r="F177" s="27"/>
      <c r="G177" s="29"/>
      <c r="H177" s="30"/>
      <c r="I177" s="31"/>
    </row>
    <row r="178" spans="1:9" ht="18.75" customHeight="1" x14ac:dyDescent="0.25">
      <c r="B178" s="33" t="s">
        <v>46</v>
      </c>
    </row>
    <row r="179" spans="1:9" ht="18.75" customHeight="1" x14ac:dyDescent="0.25">
      <c r="B179" s="2" t="s">
        <v>133</v>
      </c>
      <c r="G179" s="4" t="s">
        <v>134</v>
      </c>
      <c r="H179" s="44">
        <f>IF(H50="-","-",H71)</f>
        <v>2932.99584</v>
      </c>
      <c r="I179" s="2" t="s">
        <v>19</v>
      </c>
    </row>
    <row r="180" spans="1:9" ht="18.75" customHeight="1" x14ac:dyDescent="0.25">
      <c r="B180" s="2" t="s">
        <v>135</v>
      </c>
      <c r="G180" s="4" t="s">
        <v>134</v>
      </c>
      <c r="H180" s="44">
        <f>IF(H50="-","-",H88)</f>
        <v>2932.99584</v>
      </c>
      <c r="I180" s="2" t="s">
        <v>19</v>
      </c>
    </row>
    <row r="181" spans="1:9" ht="18.75" customHeight="1" x14ac:dyDescent="0.25">
      <c r="B181" s="33" t="s">
        <v>48</v>
      </c>
      <c r="H181" s="56"/>
    </row>
    <row r="182" spans="1:9" ht="18.75" customHeight="1" x14ac:dyDescent="0.25">
      <c r="B182" s="2" t="s">
        <v>135</v>
      </c>
      <c r="G182" s="4" t="s">
        <v>134</v>
      </c>
      <c r="H182" s="44" t="str">
        <f>IF(H51="-","-",H92)</f>
        <v>-</v>
      </c>
      <c r="I182" s="2" t="s">
        <v>19</v>
      </c>
    </row>
    <row r="183" spans="1:9" ht="18.75" customHeight="1" x14ac:dyDescent="0.25">
      <c r="B183" s="2" t="s">
        <v>136</v>
      </c>
      <c r="G183" s="4" t="s">
        <v>134</v>
      </c>
      <c r="H183" s="44" t="str">
        <f>IF(H51="-","-",H105)</f>
        <v>-</v>
      </c>
      <c r="I183" s="2" t="s">
        <v>19</v>
      </c>
    </row>
    <row r="184" spans="1:9" ht="18.75" customHeight="1" x14ac:dyDescent="0.25">
      <c r="B184" s="33" t="s">
        <v>50</v>
      </c>
      <c r="H184" s="56"/>
    </row>
    <row r="185" spans="1:9" ht="18.75" customHeight="1" x14ac:dyDescent="0.25">
      <c r="B185" s="2" t="s">
        <v>137</v>
      </c>
      <c r="G185" s="4" t="s">
        <v>134</v>
      </c>
      <c r="H185" s="44">
        <f>IF(H52="-","-",H119)</f>
        <v>2932.99584</v>
      </c>
      <c r="I185" s="2" t="s">
        <v>19</v>
      </c>
    </row>
    <row r="186" spans="1:9" ht="18.75" customHeight="1" x14ac:dyDescent="0.25">
      <c r="B186" s="2" t="s">
        <v>135</v>
      </c>
      <c r="G186" s="4" t="s">
        <v>134</v>
      </c>
      <c r="H186" s="44">
        <f>IF(H52="-","-",H135)</f>
        <v>2932.99584</v>
      </c>
      <c r="I186" s="2" t="s">
        <v>19</v>
      </c>
    </row>
    <row r="187" spans="1:9" ht="18.75" customHeight="1" x14ac:dyDescent="0.25">
      <c r="B187" s="2" t="s">
        <v>138</v>
      </c>
      <c r="G187" s="4" t="s">
        <v>134</v>
      </c>
      <c r="H187" s="44" t="str">
        <f>IF(H52="-","-",H143)</f>
        <v>-</v>
      </c>
      <c r="I187" s="2" t="s">
        <v>19</v>
      </c>
    </row>
    <row r="188" spans="1:9" ht="18.75" customHeight="1" x14ac:dyDescent="0.25">
      <c r="B188" s="33" t="s">
        <v>52</v>
      </c>
      <c r="H188" s="56"/>
    </row>
    <row r="189" spans="1:9" ht="18.75" customHeight="1" x14ac:dyDescent="0.25">
      <c r="B189" s="2" t="s">
        <v>137</v>
      </c>
      <c r="G189" s="4" t="s">
        <v>134</v>
      </c>
      <c r="H189" s="44" t="str">
        <f>IF(H53="-","-",H151)</f>
        <v>-</v>
      </c>
      <c r="I189" s="2" t="s">
        <v>19</v>
      </c>
    </row>
    <row r="190" spans="1:9" ht="18.75" customHeight="1" x14ac:dyDescent="0.25">
      <c r="B190" s="2" t="s">
        <v>135</v>
      </c>
      <c r="G190" s="4" t="s">
        <v>134</v>
      </c>
      <c r="H190" s="44" t="str">
        <f>IF(H53="-","-",H164)</f>
        <v>-</v>
      </c>
      <c r="I190" s="2" t="s">
        <v>19</v>
      </c>
    </row>
    <row r="191" spans="1:9" ht="18.75" customHeight="1" x14ac:dyDescent="0.25">
      <c r="B191" s="2" t="s">
        <v>138</v>
      </c>
      <c r="G191" s="4" t="s">
        <v>134</v>
      </c>
      <c r="H191" s="44" t="str">
        <f>IF(H53="-","-",H171)</f>
        <v>-</v>
      </c>
      <c r="I191" s="2" t="s">
        <v>19</v>
      </c>
    </row>
    <row r="192" spans="1:9" ht="18.75" customHeight="1" x14ac:dyDescent="0.25">
      <c r="B192" s="1" t="s">
        <v>139</v>
      </c>
      <c r="G192" s="4" t="s">
        <v>134</v>
      </c>
      <c r="H192" s="88">
        <f>MIN(H179:H191)</f>
        <v>2932.99584</v>
      </c>
      <c r="I192" s="2" t="s">
        <v>19</v>
      </c>
    </row>
    <row r="193" spans="1:9" ht="18.75" customHeight="1" x14ac:dyDescent="0.25">
      <c r="B193" s="1" t="s">
        <v>140</v>
      </c>
      <c r="G193" s="4" t="s">
        <v>150</v>
      </c>
      <c r="H193" s="44">
        <v>0.9</v>
      </c>
    </row>
    <row r="194" spans="1:9" ht="18.75" customHeight="1" x14ac:dyDescent="0.25">
      <c r="B194" s="1" t="s">
        <v>151</v>
      </c>
      <c r="G194" s="4" t="s">
        <v>145</v>
      </c>
      <c r="H194" s="44">
        <f>H25</f>
        <v>78.48</v>
      </c>
      <c r="I194" s="2" t="s">
        <v>17</v>
      </c>
    </row>
    <row r="195" spans="1:9" ht="18.75" customHeight="1" x14ac:dyDescent="0.25">
      <c r="B195" s="1" t="s">
        <v>184</v>
      </c>
      <c r="H195" s="56"/>
    </row>
    <row r="196" spans="1:9" ht="18.75" customHeight="1" x14ac:dyDescent="0.25">
      <c r="B196" s="1" t="s">
        <v>80</v>
      </c>
      <c r="D196" s="3" t="s">
        <v>153</v>
      </c>
      <c r="E196" s="3" t="s">
        <v>82</v>
      </c>
      <c r="F196" s="3" t="s">
        <v>152</v>
      </c>
      <c r="H196" s="56"/>
    </row>
    <row r="197" spans="1:9" ht="18.75" customHeight="1" x14ac:dyDescent="0.25">
      <c r="D197" s="44">
        <f>H194</f>
        <v>78.48</v>
      </c>
      <c r="E197" s="3" t="str">
        <f>IF(D197&lt;H193*H192,"≤","&gt;")</f>
        <v>≤</v>
      </c>
      <c r="F197" s="44">
        <f>H192*H193</f>
        <v>2639.6962560000002</v>
      </c>
      <c r="G197" s="34" t="s">
        <v>37</v>
      </c>
      <c r="H197" s="51" t="str">
        <f>IF(D197&lt;H193*H192,"[ OK ]","[ NOT OK ]")</f>
        <v>[ OK ]</v>
      </c>
    </row>
    <row r="200" spans="1:9" ht="18.75" customHeight="1" x14ac:dyDescent="0.25">
      <c r="A200" s="59" t="s">
        <v>183</v>
      </c>
      <c r="B200" s="17" t="s">
        <v>192</v>
      </c>
      <c r="C200" s="16"/>
      <c r="D200" s="16"/>
      <c r="E200" s="16"/>
      <c r="F200" s="16"/>
      <c r="G200" s="18"/>
      <c r="H200" s="26"/>
      <c r="I200" s="19"/>
    </row>
    <row r="201" spans="1:9" ht="18.75" customHeight="1" x14ac:dyDescent="0.25">
      <c r="B201" s="1" t="s">
        <v>141</v>
      </c>
      <c r="H201" s="56"/>
    </row>
    <row r="202" spans="1:9" ht="18.75" customHeight="1" x14ac:dyDescent="0.25">
      <c r="B202" s="1" t="s">
        <v>80</v>
      </c>
      <c r="D202" s="3" t="s">
        <v>142</v>
      </c>
      <c r="E202" s="3" t="s">
        <v>82</v>
      </c>
      <c r="F202" s="3" t="s">
        <v>143</v>
      </c>
      <c r="H202" s="56"/>
    </row>
    <row r="203" spans="1:9" ht="18.75" customHeight="1" x14ac:dyDescent="0.25">
      <c r="D203" s="20">
        <f>H29</f>
        <v>48.65</v>
      </c>
      <c r="E203" s="3" t="str">
        <f>IF(D203&lt;0.9*(0.6*H5*((H12-H15)*H14)*MAX(IF(((H12-H15)/H14)&lt;=2.24*SQRT(H7/H5),1,"0"),IF(((H12-H15)/H14)&gt;2.24*SQRT(H7/H5),1.1/((H12-H15)/H14)*SQRT(5.34*H7/H5),"0"))/1000),"≤","&gt;")</f>
        <v>≤</v>
      </c>
      <c r="F203" s="25">
        <f>0.9*(0.6*H5*((H12-H15)*H14)*MAX(IF(((H12-H15)/H14)&lt;=2.24*SQRT(H7/H5),1,"0"),IF(((H12-H15)/H14)&gt;2.24*SQRT(H7/H5),1.1/((H12-H15)/H14)*SQRT(5.34*H7/H5),"0"))/1000)</f>
        <v>2048.1983999999998</v>
      </c>
      <c r="G203" s="34" t="s">
        <v>37</v>
      </c>
      <c r="H203" s="51" t="str">
        <f>IF(D203&lt;0.9*(0.6*H5*((H12-H15)*H14)*MAX(IF(((H12-H15)/H14)&lt;=2.24*SQRT(H7/H5),1,"0"),IF(((H12-H15)/H14)&gt;2.24*SQRT(H7/H5),1.1/((H12-H15)/H14)*SQRT(5.34*H7/H5),"0"))/1000),"[ OK ]","[ NOT OK ]")</f>
        <v>[ OK ]</v>
      </c>
    </row>
    <row r="204" spans="1:9" ht="18.75" customHeight="1" x14ac:dyDescent="0.25">
      <c r="D204" s="15"/>
      <c r="E204" s="3"/>
      <c r="F204" s="3"/>
      <c r="G204" s="34"/>
      <c r="H204" s="51"/>
    </row>
    <row r="205" spans="1:9" ht="18.75" customHeight="1" x14ac:dyDescent="0.25">
      <c r="B205" s="1" t="s">
        <v>185</v>
      </c>
      <c r="H205" s="56"/>
    </row>
    <row r="206" spans="1:9" ht="18.75" customHeight="1" x14ac:dyDescent="0.25">
      <c r="B206" s="1" t="s">
        <v>80</v>
      </c>
      <c r="C206" s="80" t="s">
        <v>154</v>
      </c>
      <c r="D206" s="80"/>
      <c r="F206" s="3" t="s">
        <v>144</v>
      </c>
    </row>
    <row r="207" spans="1:9" ht="18.75" customHeight="1" x14ac:dyDescent="0.25">
      <c r="C207" s="81">
        <f>D197/F197+D203/F203</f>
        <v>5.3483275159825414E-2</v>
      </c>
      <c r="D207" s="82"/>
      <c r="F207" s="25" t="str">
        <f>IF(C207&lt;=1,"≤ 1,0","&gt; 1,0")</f>
        <v>≤ 1,0</v>
      </c>
      <c r="G207" s="34" t="s">
        <v>37</v>
      </c>
      <c r="H207" s="51" t="str">
        <f>IF(C207&lt;=1,"[ OK ]","[ NOT OK ]")</f>
        <v>[ OK ]</v>
      </c>
    </row>
    <row r="208" spans="1:9" customFormat="1" ht="18.75" customHeight="1" x14ac:dyDescent="0.25"/>
  </sheetData>
  <mergeCells count="28">
    <mergeCell ref="B1:F1"/>
    <mergeCell ref="G11:H11"/>
    <mergeCell ref="C206:D206"/>
    <mergeCell ref="C207:D207"/>
    <mergeCell ref="B52:C52"/>
    <mergeCell ref="D52:E52"/>
    <mergeCell ref="B58:C59"/>
    <mergeCell ref="D58:E59"/>
    <mergeCell ref="F58:H58"/>
    <mergeCell ref="B60:C60"/>
    <mergeCell ref="D60:E60"/>
    <mergeCell ref="F60:F61"/>
    <mergeCell ref="G60:G61"/>
    <mergeCell ref="H60:H61"/>
    <mergeCell ref="B61:C61"/>
    <mergeCell ref="D61:E61"/>
    <mergeCell ref="G36:H36"/>
    <mergeCell ref="G43:H43"/>
    <mergeCell ref="G44:H44"/>
    <mergeCell ref="B48:C49"/>
    <mergeCell ref="D48:E49"/>
    <mergeCell ref="F48:H48"/>
    <mergeCell ref="B31:F31"/>
    <mergeCell ref="B51:C51"/>
    <mergeCell ref="D51:E51"/>
    <mergeCell ref="B36:B37"/>
    <mergeCell ref="C36:D36"/>
    <mergeCell ref="E36:F36"/>
  </mergeCells>
  <dataValidations disablePrompts="1" count="1">
    <dataValidation type="list" allowBlank="1" showInputMessage="1" showErrorMessage="1" sqref="H4" xr:uid="{21A0A091-35CE-48A0-A37C-37DB2F358631}">
      <formula1>"BJ 34, BJ 37, BJ 41, BJ 50, BJ 55"</formula1>
    </dataValidation>
  </dataValidations>
  <pageMargins left="0.7" right="0.7" top="0.75" bottom="0.75" header="0.3" footer="0.3"/>
  <pageSetup orientation="portrait" r:id="rId1"/>
  <ignoredErrors>
    <ignoredError sqref="A209:XFD1048576 A1:XFD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+ 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2021-09-20T01:37:41Z</cp:lastPrinted>
  <dcterms:created xsi:type="dcterms:W3CDTF">2021-09-17T01:35:22Z</dcterms:created>
  <dcterms:modified xsi:type="dcterms:W3CDTF">2024-08-13T04:03:24Z</dcterms:modified>
</cp:coreProperties>
</file>