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NPETRA.ID\Lite\"/>
    </mc:Choice>
  </mc:AlternateContent>
  <xr:revisionPtr revIDLastSave="0" documentId="13_ncr:1_{B7C73490-ECD3-45EF-85F6-A30952EC6FBD}" xr6:coauthVersionLast="47" xr6:coauthVersionMax="47" xr10:uidLastSave="{00000000-0000-0000-0000-000000000000}"/>
  <bookViews>
    <workbookView xWindow="12710" yWindow="0" windowWidth="12980" windowHeight="13770" xr2:uid="{256F34B1-1608-418F-A65A-CD49556DDF45}"/>
  </bookViews>
  <sheets>
    <sheet name="Input + Proces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2" l="1"/>
  <c r="H195" i="2"/>
  <c r="F195" i="2"/>
  <c r="H190" i="2"/>
  <c r="C177" i="2" l="1"/>
  <c r="C179" i="2"/>
  <c r="C161" i="2"/>
  <c r="H82" i="2" l="1"/>
  <c r="H113" i="2"/>
  <c r="D79" i="2"/>
  <c r="H72" i="2"/>
  <c r="C153" i="2"/>
  <c r="H143" i="2"/>
  <c r="H64" i="2"/>
  <c r="H53" i="2"/>
  <c r="G53" i="2"/>
  <c r="D53" i="2"/>
  <c r="C53" i="2"/>
  <c r="E53" i="2" s="1"/>
  <c r="H49" i="2"/>
  <c r="G20" i="2"/>
  <c r="H6" i="2"/>
  <c r="H5" i="2"/>
  <c r="H156" i="2" l="1"/>
  <c r="H157" i="2" s="1"/>
  <c r="D195" i="2"/>
  <c r="C163" i="2"/>
  <c r="E161" i="2"/>
  <c r="E163" i="2"/>
  <c r="E153" i="2"/>
  <c r="H114" i="2"/>
  <c r="H115" i="2"/>
  <c r="H120" i="2" s="1"/>
  <c r="F53" i="2"/>
  <c r="G59" i="2"/>
  <c r="H107" i="2"/>
  <c r="H92" i="2"/>
  <c r="H91" i="2"/>
  <c r="H97" i="2" s="1"/>
  <c r="H90" i="2"/>
  <c r="F79" i="2"/>
  <c r="H66" i="2"/>
  <c r="F70" i="2"/>
  <c r="F101" i="2"/>
  <c r="E59" i="2"/>
  <c r="H87" i="2"/>
  <c r="H96" i="2" l="1"/>
  <c r="H95" i="2"/>
  <c r="D146" i="2" l="1"/>
  <c r="H67" i="2" l="1"/>
  <c r="D70" i="2" s="1"/>
  <c r="D179" i="2"/>
  <c r="H136" i="2"/>
  <c r="E79" i="2" l="1"/>
  <c r="H79" i="2"/>
  <c r="D177" i="2"/>
  <c r="D161" i="2"/>
  <c r="H161" i="2"/>
  <c r="G179" i="2"/>
  <c r="H70" i="2" l="1"/>
  <c r="E70" i="2"/>
  <c r="G74" i="2" l="1"/>
  <c r="E74" i="2"/>
  <c r="H73" i="2"/>
  <c r="H108" i="2" s="1"/>
  <c r="H119" i="2" s="1"/>
  <c r="H98" i="2"/>
  <c r="H118" i="2" l="1"/>
  <c r="D101" i="2"/>
  <c r="D153" i="2" l="1"/>
  <c r="H153" i="2"/>
  <c r="E101" i="2"/>
  <c r="H110" i="2"/>
  <c r="F124" i="2"/>
  <c r="H101" i="2"/>
  <c r="H103" i="2"/>
  <c r="H163" i="2" l="1"/>
  <c r="D163" i="2"/>
  <c r="G165" i="2"/>
  <c r="H137" i="2"/>
  <c r="H139" i="2"/>
  <c r="H121" i="2"/>
  <c r="F185" i="2" l="1"/>
  <c r="D185" i="2"/>
  <c r="H168" i="2"/>
  <c r="H169" i="2"/>
  <c r="C173" i="2"/>
  <c r="F183" i="2"/>
  <c r="D183" i="2"/>
  <c r="H183" i="2"/>
  <c r="D124" i="2"/>
  <c r="G173" i="2" l="1"/>
  <c r="D173" i="2"/>
  <c r="H124" i="2"/>
  <c r="H126" i="2"/>
  <c r="E124" i="2"/>
  <c r="E183" i="2" l="1"/>
  <c r="H140" i="2"/>
  <c r="H185" i="2"/>
  <c r="H141" i="2"/>
  <c r="E185" i="2" l="1"/>
  <c r="E146" i="2"/>
  <c r="F146" i="2"/>
  <c r="H146" i="2"/>
  <c r="C200" i="2" l="1"/>
  <c r="F200" i="2" l="1"/>
  <c r="H200" i="2"/>
</calcChain>
</file>

<file path=xl/sharedStrings.xml><?xml version="1.0" encoding="utf-8"?>
<sst xmlns="http://schemas.openxmlformats.org/spreadsheetml/2006/main" count="346" uniqueCount="227">
  <si>
    <t>Mutu struktur baja,</t>
  </si>
  <si>
    <t>BJ 37</t>
  </si>
  <si>
    <t>Tegangan leleh struktur baja,</t>
  </si>
  <si>
    <r>
      <t>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</si>
  <si>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t>MPa</t>
  </si>
  <si>
    <t>Tegangan putus struktur baja,</t>
  </si>
  <si>
    <r>
      <t>f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</si>
  <si>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t>Nilai modulus elastisitas struktur baja,</t>
  </si>
  <si>
    <t>E =</t>
  </si>
  <si>
    <t>L =</t>
  </si>
  <si>
    <t>mm</t>
  </si>
  <si>
    <t>Profil :</t>
  </si>
  <si>
    <r>
      <t>h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</si>
  <si>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</si>
  <si>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</si>
  <si>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=</t>
    </r>
  </si>
  <si>
    <t>r =</t>
  </si>
  <si>
    <t>kN</t>
  </si>
  <si>
    <t>Nilai momen sumbu X akibat kombinasi beban terfaktor,</t>
  </si>
  <si>
    <t>kN.m</t>
  </si>
  <si>
    <t>Nilai gaya geser tegak lurus sumbu X akibat kombinasi beban terfaktor,</t>
  </si>
  <si>
    <r>
      <t>V</t>
    </r>
    <r>
      <rPr>
        <vertAlign val="subscript"/>
        <sz val="11"/>
        <color theme="1"/>
        <rFont val="Calibri"/>
        <family val="2"/>
        <scheme val="minor"/>
      </rPr>
      <t>UX</t>
    </r>
    <r>
      <rPr>
        <sz val="11"/>
        <color theme="1"/>
        <rFont val="Calibri"/>
        <family val="2"/>
        <scheme val="minor"/>
      </rPr>
      <t xml:space="preserve"> =</t>
    </r>
  </si>
  <si>
    <t>Luas penampang profil baja,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</si>
  <si>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</si>
  <si>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Momen Inersia</t>
  </si>
  <si>
    <t>Mod. Penampang Elastis</t>
  </si>
  <si>
    <t>Mod. Penampang Plastis</t>
  </si>
  <si>
    <r>
      <t>I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</si>
  <si>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</si>
  <si>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</si>
  <si>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</si>
  <si>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</si>
  <si>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Y</t>
    </r>
  </si>
  <si>
    <t>Value</t>
  </si>
  <si>
    <t>Satuan</t>
  </si>
  <si>
    <r>
      <t>mm</t>
    </r>
    <r>
      <rPr>
        <vertAlign val="superscript"/>
        <sz val="11"/>
        <color theme="1"/>
        <rFont val="Calibri"/>
        <family val="2"/>
        <scheme val="minor"/>
      </rPr>
      <t>4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</si>
  <si>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</si>
  <si>
    <t>Rasio lebar terhadap tebal,</t>
  </si>
  <si>
    <t>→</t>
  </si>
  <si>
    <r>
      <t>λ = (h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- 2 * (t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+ r)) /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</t>
    </r>
  </si>
  <si>
    <t>Pasal F2</t>
  </si>
  <si>
    <t>Pasal F4</t>
  </si>
  <si>
    <r>
      <t>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</si>
  <si>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</si>
  <si>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</si>
  <si>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</si>
  <si>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t>Faktor modifikasi tekuk torsi lateral pakai,</t>
  </si>
  <si>
    <t>Berdasarkan SNI 1729 2020 Pasal F2</t>
  </si>
  <si>
    <t>Keadaan batas leleh (Y)</t>
  </si>
  <si>
    <t>Kekuatan lentur nominal berdasarkan batas leleh,</t>
  </si>
  <si>
    <t>Keadaan batas tekuk torsi-lateral (LTB)</t>
  </si>
  <si>
    <t>Kondisi 1 :</t>
  </si>
  <si>
    <t>Kondisi 2 :</t>
  </si>
  <si>
    <t>Batas panjang tak terbreis secara lateral untuk keadaan batas leleh,</t>
  </si>
  <si>
    <t>m</t>
  </si>
  <si>
    <t>Batas panjang tak terbreis untuk keadaan batas pada tekuk torsi-lateral inelastik,</t>
  </si>
  <si>
    <t>Tegangan tekuk torsi-lateral penampang,</t>
  </si>
  <si>
    <t>Kekuatan lentur nominal berdasarkan batas tekuk torsi-lateral,</t>
  </si>
  <si>
    <r>
      <t>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&lt; L</t>
    </r>
    <r>
      <rPr>
        <vertAlign val="subscript"/>
        <sz val="11"/>
        <color theme="1"/>
        <rFont val="Calibri"/>
        <family val="2"/>
        <scheme val="minor"/>
      </rPr>
      <t>p</t>
    </r>
  </si>
  <si>
    <r>
      <t>L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&lt; 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&lt; L</t>
    </r>
    <r>
      <rPr>
        <vertAlign val="subscript"/>
        <sz val="11"/>
        <color theme="1"/>
        <rFont val="Calibri"/>
        <family val="2"/>
        <scheme val="minor"/>
      </rPr>
      <t>r</t>
    </r>
  </si>
  <si>
    <t>Kondisi 3 :</t>
  </si>
  <si>
    <r>
      <t>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&gt; L</t>
    </r>
    <r>
      <rPr>
        <vertAlign val="subscript"/>
        <sz val="11"/>
        <color theme="1"/>
        <rFont val="Calibri"/>
        <family val="2"/>
        <scheme val="minor"/>
      </rPr>
      <t>r</t>
    </r>
  </si>
  <si>
    <r>
      <t>M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</si>
  <si>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t>Kontrol nilai lentur nominal berdasarkan batas tekuk torsi-lateral,</t>
  </si>
  <si>
    <t>Syarat :</t>
  </si>
  <si>
    <r>
      <t>M</t>
    </r>
    <r>
      <rPr>
        <vertAlign val="subscript"/>
        <sz val="11"/>
        <color theme="1"/>
        <rFont val="Calibri"/>
        <family val="2"/>
        <scheme val="minor"/>
      </rPr>
      <t>n</t>
    </r>
  </si>
  <si>
    <t>≤</t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</si>
  <si>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</si>
  <si>
    <t xml:space="preserve"> </t>
  </si>
  <si>
    <t>Kesimpulan :</t>
  </si>
  <si>
    <t>Nilai lentur nominal berdasarkan batas tekuk torsi-lateral,</t>
  </si>
  <si>
    <t>Keadaan batas tekuk lokal sayap tekan (FLB)</t>
  </si>
  <si>
    <t>Berdasarkan SNI 1729 2020 Pasal F4</t>
  </si>
  <si>
    <t>Keadaan batas leleh sayap tekan (CFY)</t>
  </si>
  <si>
    <t>Momen leleh pada sayap tekan,</t>
  </si>
  <si>
    <t>Kesimpulan nilai faktor plastifikasi badan,</t>
  </si>
  <si>
    <r>
      <t>R</t>
    </r>
    <r>
      <rPr>
        <vertAlign val="subscript"/>
        <sz val="11"/>
        <color theme="1"/>
        <rFont val="Calibri"/>
        <family val="2"/>
        <scheme val="minor"/>
      </rPr>
      <t>pc</t>
    </r>
    <r>
      <rPr>
        <sz val="11"/>
        <color theme="1"/>
        <rFont val="Calibri"/>
        <family val="2"/>
        <scheme val="minor"/>
      </rPr>
      <t xml:space="preserve"> =</t>
    </r>
  </si>
  <si>
    <t>Kekuatan lentur nominal berdasarkan kekuatan leleh sayap tekan,</t>
  </si>
  <si>
    <t>Batas panjang tak terbreis untuk keadaan batas tekuk torsilateral inelastis</t>
  </si>
  <si>
    <r>
      <t>M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 R</t>
    </r>
    <r>
      <rPr>
        <vertAlign val="subscript"/>
        <sz val="11"/>
        <color theme="1"/>
        <rFont val="Calibri"/>
        <family val="2"/>
        <scheme val="minor"/>
      </rPr>
      <t>pc</t>
    </r>
    <r>
      <rPr>
        <sz val="11"/>
        <color theme="1"/>
        <rFont val="Calibri"/>
        <family val="2"/>
        <scheme val="minor"/>
      </rPr>
      <t xml:space="preserve"> * M</t>
    </r>
    <r>
      <rPr>
        <vertAlign val="subscript"/>
        <sz val="11"/>
        <color theme="1"/>
        <rFont val="Calibri"/>
        <family val="2"/>
        <scheme val="minor"/>
      </rPr>
      <t>yc</t>
    </r>
  </si>
  <si>
    <t>Keadaan batas leleh sayap tarik (TFY)</t>
  </si>
  <si>
    <t>: [ TIDAK PERLU ]</t>
  </si>
  <si>
    <r>
      <t>Apabila S</t>
    </r>
    <r>
      <rPr>
        <vertAlign val="subscript"/>
        <sz val="11"/>
        <color theme="1"/>
        <rFont val="Calibri"/>
        <family val="2"/>
        <scheme val="minor"/>
      </rPr>
      <t>xt</t>
    </r>
    <r>
      <rPr>
        <sz val="11"/>
        <color theme="1"/>
        <rFont val="Calibri"/>
        <family val="2"/>
        <scheme val="minor"/>
      </rPr>
      <t xml:space="preserve"> ≥ S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scheme val="minor"/>
      </rPr>
      <t>, keadaan batas leleh sayap tarik tidak berlaku.</t>
    </r>
  </si>
  <si>
    <t>Rekapitulasi kekuatan lentur nominal arah X :</t>
  </si>
  <si>
    <t>Kekuatan lentur nominal berdasarkan batas leleh (Y),</t>
  </si>
  <si>
    <r>
      <t>M</t>
    </r>
    <r>
      <rPr>
        <vertAlign val="subscript"/>
        <sz val="11"/>
        <color theme="1"/>
        <rFont val="Calibri"/>
        <family val="2"/>
        <scheme val="minor"/>
      </rPr>
      <t>nX</t>
    </r>
    <r>
      <rPr>
        <sz val="11"/>
        <color theme="1"/>
        <rFont val="Calibri"/>
        <family val="2"/>
        <scheme val="minor"/>
      </rPr>
      <t xml:space="preserve"> =</t>
    </r>
  </si>
  <si>
    <t>Kekuatan lentur nominal berdasarkan batas tekuk torsi-lateral (LTB),</t>
  </si>
  <si>
    <t>Kekuatan lentur nominal berdasarkan batas leleh sayap tekan (CFY),</t>
  </si>
  <si>
    <t>Kuat lentur nominal arah X yang berpengaruh,</t>
  </si>
  <si>
    <r>
      <t>C</t>
    </r>
    <r>
      <rPr>
        <vertAlign val="subscript"/>
        <sz val="11"/>
        <color theme="1"/>
        <rFont val="Calibri"/>
        <family val="2"/>
        <scheme val="minor"/>
      </rPr>
      <t>v1</t>
    </r>
    <r>
      <rPr>
        <sz val="11"/>
        <color theme="1"/>
        <rFont val="Calibri"/>
        <family val="2"/>
        <scheme val="minor"/>
      </rPr>
      <t xml:space="preserve"> =</t>
    </r>
  </si>
  <si>
    <t>Koefisien kekuatan geser badan pakai,</t>
  </si>
  <si>
    <t>Kekuatan geser nominal,</t>
  </si>
  <si>
    <t>Nilai faktor ketahanan untuk kuat geser,</t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</si>
  <si>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</si>
  <si>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t>Kontrol gaya geser terhadap kekuatan geser nominal,</t>
  </si>
  <si>
    <r>
      <t>V</t>
    </r>
    <r>
      <rPr>
        <vertAlign val="subscript"/>
        <sz val="11"/>
        <color theme="1"/>
        <rFont val="Calibri"/>
        <family val="2"/>
        <scheme val="minor"/>
      </rPr>
      <t>UX</t>
    </r>
  </si>
  <si>
    <t>≤ 1,0</t>
  </si>
  <si>
    <r>
      <t>M</t>
    </r>
    <r>
      <rPr>
        <vertAlign val="subscript"/>
        <sz val="11"/>
        <color theme="1"/>
        <rFont val="Calibri"/>
        <family val="2"/>
        <scheme val="minor"/>
      </rPr>
      <t>UX</t>
    </r>
    <r>
      <rPr>
        <sz val="11"/>
        <color theme="1"/>
        <rFont val="Calibri"/>
        <family val="2"/>
        <scheme val="minor"/>
      </rPr>
      <t xml:space="preserve"> =</t>
    </r>
  </si>
  <si>
    <t>Momen pada 1/4 bentang,</t>
  </si>
  <si>
    <t>Momen di tengah bentang,</t>
  </si>
  <si>
    <t>Momen pada 3/4 bentang,</t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</si>
  <si>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</si>
  <si>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t>Gaya lentur akibat kombinasi beban terfaktor,</t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</si>
  <si>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* M</t>
    </r>
    <r>
      <rPr>
        <vertAlign val="subscript"/>
        <sz val="11"/>
        <color theme="1"/>
        <rFont val="Calibri"/>
        <family val="2"/>
        <scheme val="minor"/>
      </rPr>
      <t>nX</t>
    </r>
  </si>
  <si>
    <r>
      <t>M</t>
    </r>
    <r>
      <rPr>
        <vertAlign val="subscript"/>
        <sz val="11"/>
        <color theme="1"/>
        <rFont val="Calibri"/>
        <family val="2"/>
        <scheme val="minor"/>
      </rPr>
      <t>UX</t>
    </r>
  </si>
  <si>
    <r>
      <t>M</t>
    </r>
    <r>
      <rPr>
        <vertAlign val="subscript"/>
        <sz val="11"/>
        <color theme="1"/>
        <rFont val="Calibri"/>
        <family val="2"/>
        <scheme val="minor"/>
      </rPr>
      <t>UX</t>
    </r>
    <r>
      <rPr>
        <sz val="11"/>
        <color theme="1"/>
        <rFont val="Calibri"/>
        <family val="2"/>
        <scheme val="minor"/>
      </rPr>
      <t>/(φ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*M</t>
    </r>
    <r>
      <rPr>
        <vertAlign val="subscript"/>
        <sz val="11"/>
        <color theme="1"/>
        <rFont val="Calibri"/>
        <family val="2"/>
        <scheme val="minor"/>
      </rPr>
      <t>nX</t>
    </r>
    <r>
      <rPr>
        <sz val="11"/>
        <color theme="1"/>
        <rFont val="Calibri"/>
        <family val="2"/>
        <scheme val="minor"/>
      </rPr>
      <t>) + V</t>
    </r>
    <r>
      <rPr>
        <vertAlign val="subscript"/>
        <sz val="11"/>
        <color theme="1"/>
        <rFont val="Calibri"/>
        <family val="2"/>
        <scheme val="minor"/>
      </rPr>
      <t>UX</t>
    </r>
    <r>
      <rPr>
        <sz val="11"/>
        <color theme="1"/>
        <rFont val="Calibri"/>
        <family val="2"/>
        <scheme val="minor"/>
      </rPr>
      <t>/(φ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*V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</si>
  <si>
    <t>NO.</t>
  </si>
  <si>
    <t>EXPLANATORY</t>
  </si>
  <si>
    <t>FORMULA</t>
  </si>
  <si>
    <t>VALUE</t>
  </si>
  <si>
    <t>UNIT</t>
  </si>
  <si>
    <t>A.</t>
  </si>
  <si>
    <t>INPUT DATA PERENCANAAN</t>
  </si>
  <si>
    <t>A.1.</t>
  </si>
  <si>
    <t>A.2.</t>
  </si>
  <si>
    <t>A.3.</t>
  </si>
  <si>
    <t>Dimensi dari penampang profil WF,</t>
  </si>
  <si>
    <t>Input data beban</t>
  </si>
  <si>
    <t>Panjang struktur baja,</t>
  </si>
  <si>
    <t>Input data dimensi struktur balok</t>
  </si>
  <si>
    <t>Input data material</t>
  </si>
  <si>
    <t>B.</t>
  </si>
  <si>
    <t>B.2.</t>
  </si>
  <si>
    <t>B.1.</t>
  </si>
  <si>
    <t>Sifat - sifat material penampang WF</t>
  </si>
  <si>
    <t>Nilai faktor modifikasi tekuk torsi lateral pakai</t>
  </si>
  <si>
    <t>B.3.</t>
  </si>
  <si>
    <t>C.</t>
  </si>
  <si>
    <t>C.1.</t>
  </si>
  <si>
    <t>C.2.</t>
  </si>
  <si>
    <t>C.3.</t>
  </si>
  <si>
    <t>D.</t>
  </si>
  <si>
    <t>Kontrol gaya lentur terhadap kekuatan geser nominal,</t>
  </si>
  <si>
    <t>Kontrol interaksi kombinasi lentur dan geser untuk sumbu X,</t>
  </si>
  <si>
    <t>D.1.</t>
  </si>
  <si>
    <t>Tahanan geser pada struktur balok</t>
  </si>
  <si>
    <t>D.2.</t>
  </si>
  <si>
    <t>Interaksi lentur dan geser pada struktur balok</t>
  </si>
  <si>
    <t>D.3.</t>
  </si>
  <si>
    <t>D.4.</t>
  </si>
  <si>
    <t>D.5.</t>
  </si>
  <si>
    <t>ANALISA SIFAT DAN KLASIFIKASI PENAMPANG PROFIL WF</t>
  </si>
  <si>
    <t>ANALISA TAHANAN LENTUR PADA STRUKTUR BALOK</t>
  </si>
  <si>
    <t>ANALISA TAHANAN GESER PADA STRUKTUR BALOK</t>
  </si>
  <si>
    <t xml:space="preserve">            </t>
  </si>
  <si>
    <t>Panjang balok tak terbreis atau jarak antara pengekang pada balok,</t>
  </si>
  <si>
    <r>
      <t>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</si>
  <si>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t>Cek Perlu Pengaku Transversal</t>
  </si>
  <si>
    <t>Tebal pelat pengaku,</t>
  </si>
  <si>
    <t>Lebar pelat pengaku,</t>
  </si>
  <si>
    <t>b =</t>
  </si>
  <si>
    <t>t =</t>
  </si>
  <si>
    <r>
      <t>(b/t)</t>
    </r>
    <r>
      <rPr>
        <vertAlign val="sub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</t>
    </r>
  </si>
  <si>
    <r>
      <t>0,56 * √(E/F</t>
    </r>
    <r>
      <rPr>
        <vertAlign val="subscript"/>
        <sz val="11"/>
        <color theme="1"/>
        <rFont val="Calibri"/>
        <family val="2"/>
        <scheme val="minor"/>
      </rPr>
      <t>yst</t>
    </r>
    <r>
      <rPr>
        <sz val="11"/>
        <color theme="1"/>
        <rFont val="Calibri"/>
        <family val="2"/>
        <scheme val="minor"/>
      </rPr>
      <t xml:space="preserve">) </t>
    </r>
  </si>
  <si>
    <t xml:space="preserve">≤ </t>
  </si>
  <si>
    <t>a =</t>
  </si>
  <si>
    <t>≥</t>
  </si>
  <si>
    <r>
      <t>I</t>
    </r>
    <r>
      <rPr>
        <vertAlign val="subscript"/>
        <sz val="11"/>
        <color theme="1"/>
        <rFont val="Calibri"/>
        <family val="2"/>
        <scheme val="minor"/>
      </rPr>
      <t>st2</t>
    </r>
    <r>
      <rPr>
        <sz val="11"/>
        <color theme="1"/>
        <rFont val="Calibri"/>
        <family val="2"/>
        <scheme val="minor"/>
      </rPr>
      <t xml:space="preserve"> + (I</t>
    </r>
    <r>
      <rPr>
        <vertAlign val="subscript"/>
        <sz val="11"/>
        <color theme="1"/>
        <rFont val="Calibri"/>
        <family val="2"/>
        <scheme val="minor"/>
      </rPr>
      <t>st1</t>
    </r>
    <r>
      <rPr>
        <sz val="11"/>
        <color theme="1"/>
        <rFont val="Calibri"/>
        <family val="2"/>
        <scheme val="minor"/>
      </rPr>
      <t xml:space="preserve"> - I</t>
    </r>
    <r>
      <rPr>
        <vertAlign val="subscript"/>
        <sz val="11"/>
        <color theme="1"/>
        <rFont val="Calibri"/>
        <family val="2"/>
        <scheme val="minor"/>
      </rPr>
      <t>st2</t>
    </r>
    <r>
      <rPr>
        <sz val="11"/>
        <color theme="1"/>
        <rFont val="Calibri"/>
        <family val="2"/>
        <scheme val="minor"/>
      </rPr>
      <t>) * ρ</t>
    </r>
    <r>
      <rPr>
        <vertAlign val="subscript"/>
        <sz val="11"/>
        <color theme="1"/>
        <rFont val="Calibri"/>
        <family val="2"/>
        <scheme val="minor"/>
      </rPr>
      <t>w</t>
    </r>
  </si>
  <si>
    <r>
      <t>I</t>
    </r>
    <r>
      <rPr>
        <vertAlign val="subscript"/>
        <sz val="11"/>
        <color theme="1"/>
        <rFont val="Calibri"/>
        <family val="2"/>
        <scheme val="minor"/>
      </rPr>
      <t>st</t>
    </r>
  </si>
  <si>
    <t>Perencanaan Pengaku Transversal (Stiffener)</t>
  </si>
  <si>
    <t>Momen maksimum,</t>
  </si>
  <si>
    <t>Kontrol kebutuhan pengaku transversal,</t>
  </si>
  <si>
    <t>Syarat 1 :</t>
  </si>
  <si>
    <r>
      <t>h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/ t</t>
    </r>
    <r>
      <rPr>
        <vertAlign val="subscript"/>
        <sz val="11"/>
        <color theme="1"/>
        <rFont val="Calibri"/>
        <family val="2"/>
        <scheme val="minor"/>
      </rPr>
      <t>w</t>
    </r>
  </si>
  <si>
    <r>
      <t>2,46 * √(E / 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)</t>
    </r>
  </si>
  <si>
    <t>Syarat 2 :</t>
  </si>
  <si>
    <t>∴</t>
  </si>
  <si>
    <t>∴ Kesimpulan kebutuhan pengaku transversal:</t>
  </si>
  <si>
    <t>Jarak antar pengaku transversal,</t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</si>
  <si>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* 0,6 * 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* C</t>
    </r>
    <r>
      <rPr>
        <vertAlign val="subscript"/>
        <sz val="11"/>
        <color theme="1"/>
        <rFont val="Calibri"/>
        <family val="2"/>
        <scheme val="minor"/>
      </rPr>
      <t>v1</t>
    </r>
  </si>
  <si>
    <r>
      <t>C</t>
    </r>
    <r>
      <rPr>
        <vertAlign val="subscript"/>
        <sz val="11"/>
        <color theme="1"/>
        <rFont val="Calibri"/>
        <family val="2"/>
        <scheme val="minor"/>
      </rPr>
      <t>v2</t>
    </r>
    <r>
      <rPr>
        <sz val="11"/>
        <color theme="1"/>
        <rFont val="Calibri"/>
        <family val="2"/>
        <scheme val="minor"/>
      </rPr>
      <t xml:space="preserve"> =</t>
    </r>
  </si>
  <si>
    <t>Koefisien tekuk geser badan pakai,</t>
  </si>
  <si>
    <t>Kontrol kondisi kekuatan geser badan terhadap aksi medan tarik,</t>
  </si>
  <si>
    <t>Syarat:</t>
  </si>
  <si>
    <t>&gt;</t>
  </si>
  <si>
    <r>
      <t>a/h</t>
    </r>
    <r>
      <rPr>
        <vertAlign val="subscript"/>
        <sz val="11"/>
        <color theme="1"/>
        <rFont val="Calibri"/>
        <family val="2"/>
        <scheme val="minor"/>
      </rPr>
      <t>0</t>
    </r>
  </si>
  <si>
    <r>
      <t>A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/ A</t>
    </r>
    <r>
      <rPr>
        <vertAlign val="subscript"/>
        <sz val="11"/>
        <color theme="1"/>
        <rFont val="Calibri"/>
        <family val="2"/>
        <scheme val="minor"/>
      </rPr>
      <t>f</t>
    </r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</si>
  <si>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/ b</t>
    </r>
    <r>
      <rPr>
        <vertAlign val="subscript"/>
        <sz val="11"/>
        <color theme="1"/>
        <rFont val="Calibri"/>
        <family val="2"/>
        <scheme val="minor"/>
      </rPr>
      <t>f</t>
    </r>
  </si>
  <si>
    <t>Kontrol kondisi dimensi penampang,</t>
  </si>
  <si>
    <t>Cek syarat 1:</t>
  </si>
  <si>
    <t>Cek syarat 2:</t>
  </si>
  <si>
    <t>Kontrol batas dimensi pengaku,</t>
  </si>
  <si>
    <t>Kekuatan geser nominal kondisi tanpa stiffener</t>
  </si>
  <si>
    <t>Kekuatan geser nominal kondisi dengan stiffener</t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</si>
  <si>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</si>
  <si>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t xml:space="preserve">Rasio tegangan leleh terekspektasi terhadap tegangan leleh minimum terspesifikasi, </t>
  </si>
  <si>
    <t>(berdasarkan ASTM A36/A36M)</t>
  </si>
  <si>
    <r>
      <t>R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</si>
  <si>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gravitasi</t>
    </r>
    <r>
      <rPr>
        <sz val="11"/>
        <color theme="1"/>
        <rFont val="Calibri"/>
        <family val="2"/>
        <scheme val="minor"/>
      </rPr>
      <t xml:space="preserve"> =</t>
    </r>
  </si>
  <si>
    <t>Batas rasio lebar terhadap tebal,</t>
  </si>
  <si>
    <t>Pembatasan Lebar terhadap Tebal Profil Daktail Tinggi</t>
  </si>
  <si>
    <t>Kontrol rasio penampang bagian sayap :</t>
  </si>
  <si>
    <t>Kontrol rasio penampang bagian badan :</t>
  </si>
  <si>
    <r>
      <t>C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</si>
  <si>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r>
      <t>ϕ</t>
    </r>
    <r>
      <rPr>
        <i/>
        <vertAlign val="subscript"/>
        <sz val="11"/>
        <color theme="1"/>
        <rFont val="Calibri"/>
        <family val="2"/>
      </rPr>
      <t>c</t>
    </r>
    <r>
      <rPr>
        <i/>
        <sz val="11"/>
        <color theme="1"/>
        <rFont val="Calibri"/>
        <family val="2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</si>
  <si>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</si>
  <si>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t>Gaya Aksial perlu,</t>
  </si>
  <si>
    <r>
      <t>P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</si>
  <si>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</si>
  <si>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t>Syarat,</t>
  </si>
  <si>
    <r>
      <t>λ</t>
    </r>
    <r>
      <rPr>
        <vertAlign val="subscript"/>
        <sz val="11"/>
        <color theme="1"/>
        <rFont val="Calibri"/>
        <family val="2"/>
        <scheme val="minor"/>
      </rPr>
      <t>hd</t>
    </r>
  </si>
  <si>
    <r>
      <t>λ</t>
    </r>
    <r>
      <rPr>
        <vertAlign val="subscript"/>
        <sz val="11"/>
        <color theme="1"/>
        <rFont val="Calibri"/>
        <family val="2"/>
        <scheme val="minor"/>
      </rPr>
      <t>hd</t>
    </r>
    <r>
      <rPr>
        <sz val="11"/>
        <color theme="1"/>
        <rFont val="Calibri"/>
        <family val="2"/>
        <scheme val="minor"/>
      </rPr>
      <t xml:space="preserve"> =</t>
    </r>
  </si>
  <si>
    <t>Pembreisan Struktur Daktail Tinggi</t>
  </si>
  <si>
    <t>Klasifikasi penampang balok bagian sayap,</t>
  </si>
  <si>
    <t>Klasifikasi penampang balok bagian badan,</t>
  </si>
  <si>
    <t>Untuk penampang dengan sayap kompak, keadaan batas tekuk lokal tidak berlaku.</t>
  </si>
  <si>
    <r>
      <t>r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=</t>
    </r>
  </si>
  <si>
    <r>
      <t>r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</si>
  <si>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B.4.</t>
  </si>
  <si>
    <r>
      <t>V</t>
    </r>
    <r>
      <rPr>
        <vertAlign val="subscript"/>
        <sz val="11"/>
        <color theme="1"/>
        <rFont val="Calibri"/>
        <family val="2"/>
        <scheme val="minor"/>
      </rPr>
      <t>u</t>
    </r>
  </si>
  <si>
    <r>
      <t>V</t>
    </r>
    <r>
      <rPr>
        <vertAlign val="subscript"/>
        <sz val="11"/>
        <color theme="1"/>
        <rFont val="Calibri"/>
        <family val="2"/>
        <scheme val="minor"/>
      </rPr>
      <t>u maks</t>
    </r>
  </si>
  <si>
    <t>Nilai gaya geser tegak lurus sumbu X akibat kombinasi beban gravitasi terfaktor,</t>
  </si>
  <si>
    <t>Faktor ketahanan untuk tekan (DFBT),</t>
  </si>
  <si>
    <t>Kekuatan aksial perlu menggunakan kombinasi beban DFBT,</t>
  </si>
  <si>
    <t>Rasio dari kekuatan perlu terhadap kekuatan leleh aksial tersedia,</t>
  </si>
  <si>
    <t>Kekuatan leleh aksial,</t>
  </si>
  <si>
    <t>Panjang struktur baja tak terbreis,</t>
  </si>
  <si>
    <t>Kontrol panjang struktur baja tak terbreis terhadap syarat panjang maksimum,</t>
  </si>
  <si>
    <t>Lb</t>
  </si>
  <si>
    <t>Lb(maks)</t>
  </si>
  <si>
    <r>
      <t>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=</t>
    </r>
  </si>
  <si>
    <r>
      <t>batas λ</t>
    </r>
    <r>
      <rPr>
        <vertAlign val="subscript"/>
        <sz val="11"/>
        <color theme="1"/>
        <rFont val="Calibri"/>
        <family val="2"/>
        <scheme val="minor"/>
      </rPr>
      <t>hd</t>
    </r>
  </si>
  <si>
    <r>
      <t>L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</si>
  <si>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</si>
  <si>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</si>
  <si>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yc</t>
    </r>
    <r>
      <rPr>
        <sz val="11"/>
        <color theme="1"/>
        <rFont val="Calibri"/>
        <family val="2"/>
        <scheme val="minor"/>
      </rPr>
      <t xml:space="preserve"> =</t>
    </r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</si>
  <si>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* V</t>
    </r>
    <r>
      <rPr>
        <vertAlign val="subscript"/>
        <sz val="11"/>
        <color theme="1"/>
        <rFont val="Calibri"/>
        <family val="2"/>
        <scheme val="minor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</si>
</sst>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.E+00"/>
    <numFmt numFmtId="167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sz val="11"/>
      <name val="Calibri"/>
      <family val="2"/>
      <charset val="1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 Light"/>
      <family val="2"/>
      <scheme val="maj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1F1F1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vertAlign val="subscript"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6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indent="1"/>
    </xf>
    <xf numFmtId="0" fontId="7" fillId="0" borderId="5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 indent="1"/>
    </xf>
    <xf numFmtId="164" fontId="0" fillId="0" borderId="3" xfId="0" applyNumberForma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center" indent="1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3" xfId="0" applyNumberFormat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0" xfId="0" applyFont="1"/>
    <xf numFmtId="0" fontId="17" fillId="7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7" xfId="0" applyNumberForma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7" fontId="0" fillId="0" borderId="3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5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7" fillId="7" borderId="0" xfId="1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7" borderId="0" xfId="1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" fontId="21" fillId="0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B1F9EC8-B1F9-4EAB-AF60-873B948BF70D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20</xdr:row>
      <xdr:rowOff>219075</xdr:rowOff>
    </xdr:from>
    <xdr:to>
      <xdr:col>4</xdr:col>
      <xdr:colOff>419100</xdr:colOff>
      <xdr:row>30</xdr:row>
      <xdr:rowOff>158336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83F454-3723-4D1A-9FC6-663ADA41D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0475" y="4918075"/>
          <a:ext cx="2466975" cy="228876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</xdr:row>
      <xdr:rowOff>38100</xdr:rowOff>
    </xdr:from>
    <xdr:to>
      <xdr:col>8</xdr:col>
      <xdr:colOff>295275</xdr:colOff>
      <xdr:row>16</xdr:row>
      <xdr:rowOff>210718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D95B24-5AF5-4DFF-97F0-0BE69D1B8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625" y="2152650"/>
          <a:ext cx="6832600" cy="1817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9</xdr:col>
      <xdr:colOff>21064</xdr:colOff>
      <xdr:row>213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E4525B-1969-471D-B7ED-DEECF2A35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224950"/>
          <a:ext cx="7996664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CCED-D2FC-43AC-AA8D-AF8751748909}">
  <sheetPr codeName="Sheet3">
    <tabColor theme="5"/>
  </sheetPr>
  <dimension ref="A1:N200"/>
  <sheetViews>
    <sheetView showGridLines="0" tabSelected="1" zoomScale="85" zoomScaleNormal="85" workbookViewId="0">
      <selection activeCell="E6" sqref="E6"/>
    </sheetView>
  </sheetViews>
  <sheetFormatPr defaultColWidth="9.1796875" defaultRowHeight="18.75" customHeight="1" x14ac:dyDescent="0.35"/>
  <cols>
    <col min="1" max="1" width="5.81640625" style="1" customWidth="1"/>
    <col min="2" max="8" width="13.54296875" style="1" customWidth="1"/>
    <col min="9" max="9" width="13.54296875" style="2" customWidth="1"/>
    <col min="10" max="10" width="14.7265625" style="1" bestFit="1" customWidth="1"/>
    <col min="11" max="16384" width="9.1796875" style="1"/>
  </cols>
  <sheetData>
    <row r="1" spans="1:14" ht="18.75" customHeight="1" x14ac:dyDescent="0.35">
      <c r="A1" s="43" t="s">
        <v>106</v>
      </c>
      <c r="B1" s="71" t="s">
        <v>107</v>
      </c>
      <c r="C1" s="71"/>
      <c r="D1" s="71"/>
      <c r="E1" s="71"/>
      <c r="F1" s="71"/>
      <c r="G1" s="43" t="s">
        <v>108</v>
      </c>
      <c r="H1" s="43" t="s">
        <v>109</v>
      </c>
      <c r="I1" s="67" t="s">
        <v>110</v>
      </c>
    </row>
    <row r="2" spans="1:14" ht="18.75" customHeight="1" x14ac:dyDescent="0.35">
      <c r="A2" s="44" t="s">
        <v>111</v>
      </c>
      <c r="B2" s="17" t="s">
        <v>112</v>
      </c>
      <c r="C2" s="17"/>
      <c r="D2" s="17"/>
      <c r="E2" s="17"/>
      <c r="F2" s="17"/>
      <c r="G2" s="17"/>
      <c r="H2" s="17"/>
      <c r="I2" s="17"/>
    </row>
    <row r="3" spans="1:14" ht="18.75" customHeight="1" x14ac:dyDescent="0.35">
      <c r="A3" s="45" t="s">
        <v>113</v>
      </c>
      <c r="B3" s="27" t="s">
        <v>120</v>
      </c>
      <c r="C3" s="27"/>
      <c r="D3" s="27"/>
      <c r="E3" s="27"/>
      <c r="F3" s="27"/>
      <c r="G3" s="27"/>
      <c r="H3" s="27"/>
      <c r="I3" s="27"/>
    </row>
    <row r="4" spans="1:14" ht="18.75" customHeight="1" x14ac:dyDescent="0.35">
      <c r="A4" s="40"/>
      <c r="B4" s="1" t="s">
        <v>0</v>
      </c>
      <c r="G4" s="3"/>
      <c r="H4" s="5" t="s">
        <v>1</v>
      </c>
      <c r="N4"/>
    </row>
    <row r="5" spans="1:14" ht="18.75" customHeight="1" x14ac:dyDescent="0.35">
      <c r="A5" s="40"/>
      <c r="B5" s="1" t="s">
        <v>2</v>
      </c>
      <c r="G5" s="4" t="s">
        <v>3</v>
      </c>
      <c r="H5" s="5">
        <f>IF(H4="BJ 34",210,IF(H4="BJ 37",240,IF(H4="BJ 41",250,IF(H4="BJ 50",290,IF(H4="BJ 55",410,"[ EROR ]")))))</f>
        <v>240</v>
      </c>
      <c r="I5" s="2" t="s">
        <v>4</v>
      </c>
      <c r="N5"/>
    </row>
    <row r="6" spans="1:14" ht="18.75" customHeight="1" x14ac:dyDescent="0.35">
      <c r="A6" s="40"/>
      <c r="B6" s="1" t="s">
        <v>5</v>
      </c>
      <c r="G6" s="4" t="s">
        <v>6</v>
      </c>
      <c r="H6" s="5">
        <f>IF(H4="BJ 34",340,IF(H4="BJ 37",370,IF(H4="BJ 41",410,IF(H4="BJ 50",500,IF(H4="BJ 55",550,"[ EROR ]")))))</f>
        <v>370</v>
      </c>
      <c r="I6" s="2" t="s">
        <v>4</v>
      </c>
    </row>
    <row r="7" spans="1:14" ht="18.75" customHeight="1" x14ac:dyDescent="0.35">
      <c r="A7" s="40"/>
      <c r="B7" s="1" t="s">
        <v>7</v>
      </c>
      <c r="G7" s="4" t="s">
        <v>8</v>
      </c>
      <c r="H7" s="5">
        <v>200000</v>
      </c>
      <c r="I7" s="2" t="s">
        <v>4</v>
      </c>
    </row>
    <row r="8" spans="1:14" ht="18.75" customHeight="1" x14ac:dyDescent="0.35">
      <c r="A8" s="40"/>
      <c r="G8" s="3"/>
      <c r="H8" s="3"/>
    </row>
    <row r="9" spans="1:14" ht="18.75" customHeight="1" x14ac:dyDescent="0.35">
      <c r="A9" s="45" t="s">
        <v>114</v>
      </c>
      <c r="B9" s="27" t="s">
        <v>119</v>
      </c>
      <c r="C9" s="27"/>
      <c r="D9" s="27"/>
      <c r="E9" s="27"/>
      <c r="F9" s="27"/>
      <c r="G9" s="27"/>
      <c r="H9" s="27"/>
      <c r="I9" s="27"/>
    </row>
    <row r="10" spans="1:14" ht="18.75" customHeight="1" x14ac:dyDescent="0.35">
      <c r="A10" s="3"/>
      <c r="I10" s="1"/>
    </row>
    <row r="11" spans="1:14" ht="18.75" customHeight="1" x14ac:dyDescent="0.35">
      <c r="A11" s="3"/>
      <c r="I11" s="1"/>
    </row>
    <row r="12" spans="1:14" ht="18.75" customHeight="1" x14ac:dyDescent="0.35">
      <c r="A12" s="3"/>
      <c r="I12" s="1"/>
    </row>
    <row r="13" spans="1:14" ht="18.75" customHeight="1" x14ac:dyDescent="0.35">
      <c r="A13" s="3"/>
      <c r="I13" s="1"/>
    </row>
    <row r="14" spans="1:14" ht="18.75" customHeight="1" x14ac:dyDescent="0.35">
      <c r="A14" s="3"/>
      <c r="I14" s="1"/>
    </row>
    <row r="15" spans="1:14" ht="18.75" customHeight="1" x14ac:dyDescent="0.35">
      <c r="A15" s="3"/>
      <c r="I15" s="1"/>
    </row>
    <row r="16" spans="1:14" ht="18.75" customHeight="1" x14ac:dyDescent="0.35">
      <c r="A16" s="3"/>
      <c r="I16" s="1"/>
    </row>
    <row r="17" spans="1:9" ht="18.75" customHeight="1" x14ac:dyDescent="0.35">
      <c r="A17" s="3"/>
      <c r="I17" s="1"/>
    </row>
    <row r="18" spans="1:9" ht="18.75" customHeight="1" x14ac:dyDescent="0.35">
      <c r="A18" s="40"/>
      <c r="B18" s="1" t="s">
        <v>118</v>
      </c>
      <c r="G18" s="4" t="s">
        <v>9</v>
      </c>
      <c r="H18" s="5">
        <v>6000</v>
      </c>
      <c r="I18" s="2" t="s">
        <v>10</v>
      </c>
    </row>
    <row r="19" spans="1:9" ht="18.75" customHeight="1" x14ac:dyDescent="0.35">
      <c r="A19" s="40"/>
      <c r="B19" s="1" t="s">
        <v>216</v>
      </c>
      <c r="G19" s="4" t="s">
        <v>146</v>
      </c>
      <c r="H19" s="5">
        <v>2000</v>
      </c>
      <c r="I19" s="2" t="s">
        <v>10</v>
      </c>
    </row>
    <row r="20" spans="1:9" ht="18.75" customHeight="1" x14ac:dyDescent="0.35">
      <c r="A20"/>
      <c r="B20" s="1" t="s">
        <v>116</v>
      </c>
      <c r="F20" s="6" t="s">
        <v>11</v>
      </c>
      <c r="G20" s="72" t="str">
        <f>H21&amp;" x "&amp;H22&amp;" x "&amp;H23&amp;" x "&amp;H24</f>
        <v>600 x 175 x 10 x 11</v>
      </c>
      <c r="H20" s="73"/>
      <c r="I20" s="7"/>
    </row>
    <row r="21" spans="1:9" ht="18.75" customHeight="1" x14ac:dyDescent="0.35">
      <c r="A21"/>
      <c r="F21" s="8"/>
      <c r="G21" s="9" t="s">
        <v>12</v>
      </c>
      <c r="H21" s="10">
        <v>600</v>
      </c>
      <c r="I21" s="11" t="s">
        <v>10</v>
      </c>
    </row>
    <row r="22" spans="1:9" ht="18.75" customHeight="1" x14ac:dyDescent="0.35">
      <c r="A22"/>
      <c r="F22" s="8"/>
      <c r="G22" s="12" t="s">
        <v>13</v>
      </c>
      <c r="H22" s="10">
        <v>175</v>
      </c>
      <c r="I22" s="11" t="s">
        <v>10</v>
      </c>
    </row>
    <row r="23" spans="1:9" ht="18.75" customHeight="1" x14ac:dyDescent="0.35">
      <c r="A23"/>
      <c r="F23" s="8"/>
      <c r="G23" s="12" t="s">
        <v>14</v>
      </c>
      <c r="H23" s="10">
        <v>10</v>
      </c>
      <c r="I23" s="11" t="s">
        <v>10</v>
      </c>
    </row>
    <row r="24" spans="1:9" ht="18.75" customHeight="1" x14ac:dyDescent="0.35">
      <c r="A24"/>
      <c r="F24" s="8"/>
      <c r="G24" s="12" t="s">
        <v>15</v>
      </c>
      <c r="H24" s="10">
        <v>11</v>
      </c>
      <c r="I24" s="11" t="s">
        <v>10</v>
      </c>
    </row>
    <row r="25" spans="1:9" ht="18.75" customHeight="1" x14ac:dyDescent="0.35">
      <c r="A25"/>
      <c r="F25" s="8"/>
      <c r="G25" s="12" t="s">
        <v>16</v>
      </c>
      <c r="H25" s="10">
        <v>14</v>
      </c>
      <c r="I25" s="11" t="s">
        <v>10</v>
      </c>
    </row>
    <row r="26" spans="1:9" ht="18.75" customHeight="1" x14ac:dyDescent="0.35">
      <c r="A26" s="40"/>
      <c r="G26" s="12" t="s">
        <v>206</v>
      </c>
      <c r="H26" s="10">
        <v>144</v>
      </c>
      <c r="I26" s="11" t="s">
        <v>10</v>
      </c>
    </row>
    <row r="27" spans="1:9" ht="18.75" customHeight="1" x14ac:dyDescent="0.35">
      <c r="A27" s="40"/>
      <c r="G27" s="12" t="s">
        <v>207</v>
      </c>
      <c r="H27" s="10">
        <v>39</v>
      </c>
      <c r="I27" s="11" t="s">
        <v>10</v>
      </c>
    </row>
    <row r="28" spans="1:9" ht="18.75" customHeight="1" x14ac:dyDescent="0.35">
      <c r="A28" s="40"/>
      <c r="G28" s="4"/>
      <c r="H28" s="3"/>
    </row>
    <row r="29" spans="1:9" ht="18.75" customHeight="1" x14ac:dyDescent="0.35">
      <c r="A29" s="40"/>
      <c r="G29" s="4"/>
      <c r="H29" s="3"/>
    </row>
    <row r="30" spans="1:9" ht="18.75" customHeight="1" x14ac:dyDescent="0.35">
      <c r="A30" s="40"/>
      <c r="G30" s="4"/>
      <c r="H30" s="3"/>
    </row>
    <row r="31" spans="1:9" ht="18.75" customHeight="1" x14ac:dyDescent="0.35">
      <c r="A31" s="40"/>
      <c r="G31" s="4"/>
      <c r="H31" s="3"/>
    </row>
    <row r="32" spans="1:9" ht="18.75" customHeight="1" x14ac:dyDescent="0.35">
      <c r="A32" s="40"/>
      <c r="G32" s="4"/>
      <c r="H32" s="3"/>
      <c r="I32" s="13"/>
    </row>
    <row r="33" spans="1:9" ht="18.75" customHeight="1" x14ac:dyDescent="0.35">
      <c r="A33" s="40"/>
      <c r="B33" s="1" t="s">
        <v>149</v>
      </c>
      <c r="G33" s="4" t="s">
        <v>150</v>
      </c>
      <c r="H33" s="10">
        <v>120</v>
      </c>
      <c r="I33" s="11" t="s">
        <v>10</v>
      </c>
    </row>
    <row r="34" spans="1:9" ht="18.75" customHeight="1" x14ac:dyDescent="0.35">
      <c r="A34" s="40"/>
      <c r="B34" s="1" t="s">
        <v>148</v>
      </c>
      <c r="G34" s="4" t="s">
        <v>151</v>
      </c>
      <c r="H34" s="10">
        <v>12</v>
      </c>
      <c r="I34" s="11" t="s">
        <v>10</v>
      </c>
    </row>
    <row r="35" spans="1:9" ht="18.75" customHeight="1" x14ac:dyDescent="0.35">
      <c r="A35"/>
      <c r="B35" s="1" t="s">
        <v>168</v>
      </c>
      <c r="G35" s="4" t="s">
        <v>155</v>
      </c>
      <c r="H35" s="10">
        <v>1900</v>
      </c>
      <c r="I35" s="11" t="s">
        <v>10</v>
      </c>
    </row>
    <row r="36" spans="1:9" ht="18.75" customHeight="1" x14ac:dyDescent="0.35">
      <c r="A36" s="40"/>
      <c r="G36" s="4"/>
      <c r="H36" s="3"/>
      <c r="I36" s="13"/>
    </row>
    <row r="37" spans="1:9" ht="18.75" customHeight="1" x14ac:dyDescent="0.35">
      <c r="A37" s="45" t="s">
        <v>115</v>
      </c>
      <c r="B37" s="27" t="s">
        <v>117</v>
      </c>
      <c r="C37" s="27"/>
      <c r="D37" s="27"/>
      <c r="E37" s="27"/>
      <c r="F37" s="27"/>
      <c r="G37" s="27"/>
      <c r="H37" s="27"/>
      <c r="I37" s="27"/>
    </row>
    <row r="38" spans="1:9" ht="18.75" customHeight="1" x14ac:dyDescent="0.35">
      <c r="A38" s="40"/>
      <c r="B38" t="s">
        <v>18</v>
      </c>
      <c r="I38" s="1"/>
    </row>
    <row r="39" spans="1:9" ht="18.75" customHeight="1" x14ac:dyDescent="0.35">
      <c r="A39" s="40"/>
      <c r="B39" s="42" t="s">
        <v>160</v>
      </c>
      <c r="G39" s="4" t="s">
        <v>97</v>
      </c>
      <c r="H39" s="14">
        <v>109.18600000000001</v>
      </c>
      <c r="I39" s="2" t="s">
        <v>19</v>
      </c>
    </row>
    <row r="40" spans="1:9" ht="18.75" customHeight="1" x14ac:dyDescent="0.35">
      <c r="A40" s="40"/>
      <c r="B40" s="42" t="s">
        <v>98</v>
      </c>
      <c r="G40" s="4" t="s">
        <v>42</v>
      </c>
      <c r="H40" s="14">
        <v>28.364999999999998</v>
      </c>
    </row>
    <row r="41" spans="1:9" ht="18.75" customHeight="1" x14ac:dyDescent="0.35">
      <c r="A41" s="40"/>
      <c r="B41" s="42" t="s">
        <v>99</v>
      </c>
      <c r="G41" s="4" t="s">
        <v>43</v>
      </c>
      <c r="H41" s="14">
        <v>46</v>
      </c>
    </row>
    <row r="42" spans="1:9" ht="18.75" customHeight="1" x14ac:dyDescent="0.35">
      <c r="A42" s="40"/>
      <c r="B42" s="42" t="s">
        <v>100</v>
      </c>
      <c r="G42" s="4" t="s">
        <v>44</v>
      </c>
      <c r="H42" s="14">
        <v>27.335999999999999</v>
      </c>
    </row>
    <row r="43" spans="1:9" ht="18.75" customHeight="1" x14ac:dyDescent="0.35">
      <c r="A43" s="40"/>
      <c r="B43" s="49" t="s">
        <v>20</v>
      </c>
      <c r="G43" s="4" t="s">
        <v>21</v>
      </c>
      <c r="H43" s="14">
        <v>250</v>
      </c>
      <c r="I43" s="2" t="s">
        <v>17</v>
      </c>
    </row>
    <row r="44" spans="1:9" ht="18.75" customHeight="1" x14ac:dyDescent="0.35">
      <c r="A44" s="40"/>
      <c r="B44" s="49" t="s">
        <v>211</v>
      </c>
      <c r="G44" s="4" t="s">
        <v>188</v>
      </c>
      <c r="H44" s="14">
        <v>300</v>
      </c>
      <c r="I44" s="2" t="s">
        <v>17</v>
      </c>
    </row>
    <row r="45" spans="1:9" ht="18.75" customHeight="1" x14ac:dyDescent="0.35">
      <c r="A45" s="40"/>
      <c r="B45" s="42" t="s">
        <v>196</v>
      </c>
      <c r="G45" s="4" t="s">
        <v>197</v>
      </c>
      <c r="H45" s="14">
        <v>100</v>
      </c>
      <c r="I45" s="2" t="s">
        <v>17</v>
      </c>
    </row>
    <row r="46" spans="1:9" ht="18.75" customHeight="1" x14ac:dyDescent="0.35">
      <c r="A46" s="40"/>
      <c r="B46" s="42"/>
      <c r="G46" s="4"/>
      <c r="H46" s="4"/>
    </row>
    <row r="47" spans="1:9" ht="18.75" customHeight="1" x14ac:dyDescent="0.35">
      <c r="A47" s="44" t="s">
        <v>121</v>
      </c>
      <c r="B47" s="17" t="s">
        <v>141</v>
      </c>
      <c r="C47" s="17"/>
      <c r="D47" s="17"/>
      <c r="E47" s="17"/>
      <c r="F47" s="17"/>
      <c r="G47" s="17"/>
      <c r="H47" s="17"/>
      <c r="I47" s="68"/>
    </row>
    <row r="48" spans="1:9" ht="18.75" customHeight="1" x14ac:dyDescent="0.35">
      <c r="A48" s="45" t="s">
        <v>123</v>
      </c>
      <c r="B48" s="27" t="s">
        <v>124</v>
      </c>
      <c r="C48" s="26"/>
      <c r="D48" s="26"/>
      <c r="E48" s="26"/>
      <c r="F48" s="26"/>
      <c r="G48" s="28"/>
      <c r="H48" s="46"/>
      <c r="I48" s="30"/>
    </row>
    <row r="49" spans="1:9" ht="18.75" customHeight="1" x14ac:dyDescent="0.35">
      <c r="A49" s="40"/>
      <c r="B49" s="1" t="s">
        <v>22</v>
      </c>
      <c r="G49" s="4" t="s">
        <v>220</v>
      </c>
      <c r="H49" s="20">
        <f>2*H24*H22+(H21-2*H24)*H23+4*H25^2*(1-0.25*PI())</f>
        <v>9798.2478398964013</v>
      </c>
      <c r="I49" s="2" t="s">
        <v>23</v>
      </c>
    </row>
    <row r="50" spans="1:9" ht="18.75" customHeight="1" x14ac:dyDescent="0.35">
      <c r="A50" s="40"/>
      <c r="B50" s="1" t="s">
        <v>144</v>
      </c>
      <c r="G50" s="4"/>
      <c r="H50" s="3"/>
    </row>
    <row r="51" spans="1:9" ht="18.75" customHeight="1" x14ac:dyDescent="0.35">
      <c r="A51" s="40"/>
      <c r="B51" s="85"/>
      <c r="C51" s="85" t="s">
        <v>24</v>
      </c>
      <c r="D51" s="85"/>
      <c r="E51" s="85" t="s">
        <v>25</v>
      </c>
      <c r="F51" s="85"/>
      <c r="G51" s="85" t="s">
        <v>26</v>
      </c>
      <c r="H51" s="85"/>
    </row>
    <row r="52" spans="1:9" ht="18.75" customHeight="1" x14ac:dyDescent="0.35">
      <c r="A52" s="40"/>
      <c r="B52" s="85"/>
      <c r="C52" s="21" t="s">
        <v>27</v>
      </c>
      <c r="D52" s="21" t="s">
        <v>28</v>
      </c>
      <c r="E52" s="21" t="s">
        <v>29</v>
      </c>
      <c r="F52" s="21" t="s">
        <v>30</v>
      </c>
      <c r="G52" s="21" t="s">
        <v>31</v>
      </c>
      <c r="H52" s="21" t="s">
        <v>32</v>
      </c>
    </row>
    <row r="53" spans="1:9" ht="18.75" customHeight="1" x14ac:dyDescent="0.35">
      <c r="A53" s="40"/>
      <c r="B53" s="22" t="s">
        <v>33</v>
      </c>
      <c r="C53" s="23">
        <f>1/12*H23*(H21-2*H24)^3+2*1/12*H22*H24^3+2*H22*H24*(0.5*H21-0.5*H24)^2</f>
        <v>494867410</v>
      </c>
      <c r="D53" s="23">
        <f>1/12*(H21-2*H24)*H23^3+2*1/12*H24*H22^3</f>
        <v>9873687.4999999981</v>
      </c>
      <c r="E53" s="23">
        <f>C53/(0.5*H21)</f>
        <v>1649558.0333333334</v>
      </c>
      <c r="F53" s="23">
        <f>D53/(0.5*H22)</f>
        <v>112842.14285714284</v>
      </c>
      <c r="G53" s="23">
        <f>H22*H24*(H21-H24)+H23*(0.5*H21-H24)^2</f>
        <v>1969035</v>
      </c>
      <c r="H53" s="23">
        <f>0.5*H24*H22^2+0.25*(H21-2*H24)*H23^2</f>
        <v>182887.5</v>
      </c>
    </row>
    <row r="54" spans="1:9" ht="18.75" customHeight="1" x14ac:dyDescent="0.35">
      <c r="A54" s="40"/>
      <c r="B54" s="22" t="s">
        <v>34</v>
      </c>
      <c r="C54" s="24" t="s">
        <v>35</v>
      </c>
      <c r="D54" s="24" t="s">
        <v>35</v>
      </c>
      <c r="E54" s="24" t="s">
        <v>36</v>
      </c>
      <c r="F54" s="24" t="s">
        <v>36</v>
      </c>
      <c r="G54" s="24" t="s">
        <v>36</v>
      </c>
      <c r="H54" s="24" t="s">
        <v>36</v>
      </c>
    </row>
    <row r="55" spans="1:9" ht="18.75" customHeight="1" x14ac:dyDescent="0.35">
      <c r="A55" s="40"/>
      <c r="G55" s="4"/>
      <c r="H55" s="3"/>
    </row>
    <row r="56" spans="1:9" ht="18.75" customHeight="1" x14ac:dyDescent="0.35">
      <c r="A56" s="40"/>
      <c r="G56" s="4"/>
      <c r="H56" s="3"/>
    </row>
    <row r="57" spans="1:9" ht="18.75" customHeight="1" x14ac:dyDescent="0.35">
      <c r="A57" s="45" t="s">
        <v>122</v>
      </c>
      <c r="B57" s="27" t="s">
        <v>190</v>
      </c>
      <c r="C57" s="26"/>
      <c r="D57" s="26"/>
      <c r="E57" s="26"/>
      <c r="F57" s="26"/>
      <c r="G57" s="28"/>
      <c r="H57" s="29"/>
      <c r="I57" s="30"/>
    </row>
    <row r="58" spans="1:9" ht="18.75" customHeight="1" x14ac:dyDescent="0.35">
      <c r="A58" s="40"/>
      <c r="B58" s="70" t="s">
        <v>203</v>
      </c>
      <c r="G58" s="4"/>
      <c r="H58" s="3"/>
    </row>
    <row r="59" spans="1:9" ht="18.75" customHeight="1" x14ac:dyDescent="0.35">
      <c r="A59" s="40"/>
      <c r="B59" s="13" t="s">
        <v>191</v>
      </c>
      <c r="E59" s="24" t="str">
        <f>IF((0.5*(H22-H23)/H24)&lt;(0.32*SQRT(H7/H5)),"λ &lt; λhd","λ &gt; λhd")</f>
        <v>λ &lt; λhd</v>
      </c>
      <c r="F59" s="32" t="s">
        <v>38</v>
      </c>
      <c r="G59" s="83" t="str">
        <f>IF((0.5*(H22-H23)/H24)&lt;(0.32*SQRT(H7/H5)),"[ MEMENUHI ] - [ KOMPAK ]","[ TIDAK MEMENUHI, ganti profil ]")</f>
        <v>[ MEMENUHI ] - [ KOMPAK ]</v>
      </c>
      <c r="H59" s="84"/>
    </row>
    <row r="60" spans="1:9" ht="18.75" customHeight="1" x14ac:dyDescent="0.35">
      <c r="A60" s="40"/>
      <c r="B60" s="13"/>
      <c r="E60" s="3"/>
      <c r="F60" s="32"/>
      <c r="G60" s="40"/>
      <c r="H60" s="40"/>
    </row>
    <row r="61" spans="1:9" ht="18.75" customHeight="1" x14ac:dyDescent="0.35">
      <c r="A61" s="40"/>
      <c r="B61" s="70" t="s">
        <v>204</v>
      </c>
      <c r="G61" s="4"/>
      <c r="H61" s="3"/>
    </row>
    <row r="62" spans="1:9" ht="18.75" customHeight="1" x14ac:dyDescent="0.35">
      <c r="A62" s="40"/>
      <c r="B62" s="1" t="s">
        <v>185</v>
      </c>
      <c r="G62" s="4"/>
      <c r="H62" s="3"/>
    </row>
    <row r="63" spans="1:9" ht="18.75" customHeight="1" x14ac:dyDescent="0.35">
      <c r="A63" s="40"/>
      <c r="B63" s="13" t="s">
        <v>186</v>
      </c>
      <c r="G63" s="4" t="s">
        <v>187</v>
      </c>
      <c r="H63" s="56">
        <v>1.5</v>
      </c>
    </row>
    <row r="64" spans="1:9" ht="18.75" customHeight="1" x14ac:dyDescent="0.35">
      <c r="A64" s="40"/>
      <c r="B64" s="13" t="s">
        <v>213</v>
      </c>
      <c r="E64" s="3"/>
      <c r="F64" s="32"/>
      <c r="G64" s="4" t="s">
        <v>195</v>
      </c>
      <c r="H64" s="20">
        <f>H45</f>
        <v>100</v>
      </c>
      <c r="I64" s="2" t="s">
        <v>17</v>
      </c>
    </row>
    <row r="65" spans="1:9" ht="18.75" customHeight="1" x14ac:dyDescent="0.35">
      <c r="A65" s="40"/>
      <c r="B65" s="13" t="s">
        <v>212</v>
      </c>
      <c r="G65" s="58" t="s">
        <v>194</v>
      </c>
      <c r="H65" s="34">
        <v>0.9</v>
      </c>
    </row>
    <row r="66" spans="1:9" ht="18.75" customHeight="1" x14ac:dyDescent="0.35">
      <c r="A66" s="40"/>
      <c r="B66" s="1" t="s">
        <v>215</v>
      </c>
      <c r="G66" s="4" t="s">
        <v>198</v>
      </c>
      <c r="H66" s="20">
        <f>H63*H5*'Input + Process'!H49/1000</f>
        <v>3527.3692223627045</v>
      </c>
      <c r="I66" s="2" t="s">
        <v>17</v>
      </c>
    </row>
    <row r="67" spans="1:9" ht="18.75" customHeight="1" x14ac:dyDescent="0.35">
      <c r="A67" s="40"/>
      <c r="B67" s="1" t="s">
        <v>214</v>
      </c>
      <c r="G67" s="57" t="s">
        <v>193</v>
      </c>
      <c r="H67" s="20">
        <f>H64/(H65*H66)</f>
        <v>3.1499711004646859E-2</v>
      </c>
    </row>
    <row r="68" spans="1:9" ht="18.75" customHeight="1" x14ac:dyDescent="0.35">
      <c r="A68" s="40"/>
      <c r="G68" s="4"/>
      <c r="H68" s="15"/>
    </row>
    <row r="69" spans="1:9" ht="18.75" customHeight="1" x14ac:dyDescent="0.35">
      <c r="A69" s="40"/>
      <c r="B69" s="1" t="s">
        <v>199</v>
      </c>
      <c r="D69" s="3" t="s">
        <v>200</v>
      </c>
      <c r="E69" s="59" t="s">
        <v>156</v>
      </c>
      <c r="F69" s="3" t="s">
        <v>221</v>
      </c>
      <c r="G69" s="4"/>
      <c r="H69" s="3"/>
    </row>
    <row r="70" spans="1:9" ht="18.75" customHeight="1" x14ac:dyDescent="0.35">
      <c r="A70" s="40"/>
      <c r="D70" s="60">
        <f>MAX(IF(H67&lt;=0.114,(2.57*SQRT(H7/('Input + Process'!H63*H5))*(1-1.04*H67)),0),IF(H67&gt;0.114,0.88*SQRT(H7/('Input + Process'!H63*H5))*(2.68-H67),0))</f>
        <v>58.591046372928197</v>
      </c>
      <c r="E70" s="3" t="str">
        <f>IF(D70&gt;=F70,"≥","&lt;")</f>
        <v>≥</v>
      </c>
      <c r="F70" s="60">
        <f>1.57*SQRT(H7/('Input + Process'!H63*H5))</f>
        <v>37.00525488209599</v>
      </c>
      <c r="G70" s="32" t="s">
        <v>38</v>
      </c>
      <c r="H70" s="40" t="str">
        <f>IF(D70&gt;=F70,"[ pakai λhd ]","[ pakai batas ]")</f>
        <v>[ pakai λhd ]</v>
      </c>
    </row>
    <row r="71" spans="1:9" ht="18.75" customHeight="1" x14ac:dyDescent="0.35">
      <c r="A71" s="40"/>
      <c r="G71" s="4"/>
      <c r="H71" s="15"/>
    </row>
    <row r="72" spans="1:9" ht="18.75" customHeight="1" x14ac:dyDescent="0.35">
      <c r="A72" s="40"/>
      <c r="B72" s="1" t="s">
        <v>37</v>
      </c>
      <c r="G72" s="57" t="s">
        <v>39</v>
      </c>
      <c r="H72" s="20">
        <f>((H21-2*(H24+H25))/H23)</f>
        <v>55</v>
      </c>
    </row>
    <row r="73" spans="1:9" ht="18.75" customHeight="1" x14ac:dyDescent="0.35">
      <c r="A73" s="40"/>
      <c r="B73" s="1" t="s">
        <v>189</v>
      </c>
      <c r="G73" s="4" t="s">
        <v>201</v>
      </c>
      <c r="H73" s="20">
        <f>(IF(H70="[ pakai λhd ]",D70,F70))</f>
        <v>58.591046372928197</v>
      </c>
    </row>
    <row r="74" spans="1:9" ht="18.75" customHeight="1" x14ac:dyDescent="0.35">
      <c r="A74" s="40"/>
      <c r="B74" s="13" t="s">
        <v>192</v>
      </c>
      <c r="E74" s="24" t="str">
        <f>IF(((H21-2*(H24+H25))/H23)&lt;(IF(H70="[ pakai λhd ]",D70,F70)),"λ &lt; λhd","λ &gt; λhd")</f>
        <v>λ &lt; λhd</v>
      </c>
      <c r="F74" s="32" t="s">
        <v>38</v>
      </c>
      <c r="G74" s="83" t="str">
        <f>IF(((H21-2*(H24+H25))/H23)&lt;(IF(H70="[ pakai λhd ]",D70,F70)),"[ MEMENUHI ] - [ KOMPAK ]","[ TIDAK MEMENUHI, ganti profil ]")</f>
        <v>[ MEMENUHI ] - [ KOMPAK ]</v>
      </c>
      <c r="H74" s="84"/>
    </row>
    <row r="75" spans="1:9" s="33" customFormat="1" ht="18.75" customHeight="1" x14ac:dyDescent="0.35">
      <c r="A75" s="40"/>
      <c r="B75" s="31"/>
      <c r="C75" s="1"/>
      <c r="D75" s="1"/>
      <c r="E75" s="1"/>
      <c r="F75" s="1"/>
      <c r="G75" s="4"/>
      <c r="H75" s="3"/>
      <c r="I75" s="2"/>
    </row>
    <row r="76" spans="1:9" ht="18.75" customHeight="1" x14ac:dyDescent="0.35">
      <c r="A76" s="45" t="s">
        <v>126</v>
      </c>
      <c r="B76" s="27" t="s">
        <v>202</v>
      </c>
      <c r="C76" s="26"/>
      <c r="D76" s="26"/>
      <c r="E76" s="26"/>
      <c r="F76" s="26"/>
      <c r="G76" s="28"/>
      <c r="H76" s="29"/>
      <c r="I76" s="30"/>
    </row>
    <row r="77" spans="1:9" ht="18.75" customHeight="1" x14ac:dyDescent="0.35">
      <c r="A77" s="40"/>
      <c r="B77" s="1" t="s">
        <v>217</v>
      </c>
      <c r="G77" s="57"/>
      <c r="H77" s="15"/>
    </row>
    <row r="78" spans="1:9" ht="18.75" customHeight="1" x14ac:dyDescent="0.35">
      <c r="A78" s="40"/>
      <c r="B78" s="1" t="s">
        <v>64</v>
      </c>
      <c r="D78" s="3" t="s">
        <v>218</v>
      </c>
      <c r="E78" s="39" t="s">
        <v>66</v>
      </c>
      <c r="F78" s="3" t="s">
        <v>219</v>
      </c>
      <c r="G78" s="3"/>
      <c r="H78" s="13"/>
    </row>
    <row r="79" spans="1:9" ht="18.75" customHeight="1" x14ac:dyDescent="0.35">
      <c r="A79" s="40"/>
      <c r="D79" s="20">
        <f>H19/1000</f>
        <v>2</v>
      </c>
      <c r="E79" s="3" t="str">
        <f>IF(D79&gt;F79,"&gt;","≤")</f>
        <v>≤</v>
      </c>
      <c r="F79" s="20">
        <f>0.095*H27*H7/(H63*H5)/1000</f>
        <v>2.0583333333333336</v>
      </c>
      <c r="G79" s="32" t="s">
        <v>38</v>
      </c>
      <c r="H79" s="40" t="str">
        <f>IF(D79&gt;F79,"[ Perpendek Panjang Tak Terbreis ]","[ OK ]")</f>
        <v>[ OK ]</v>
      </c>
    </row>
    <row r="80" spans="1:9" ht="18.75" customHeight="1" x14ac:dyDescent="0.35">
      <c r="A80" s="40"/>
      <c r="G80" s="57"/>
      <c r="H80" s="15"/>
    </row>
    <row r="81" spans="1:9" ht="18.75" customHeight="1" x14ac:dyDescent="0.35">
      <c r="A81" s="45" t="s">
        <v>208</v>
      </c>
      <c r="B81" s="27" t="s">
        <v>125</v>
      </c>
      <c r="C81" s="26"/>
      <c r="D81" s="26"/>
      <c r="E81" s="26"/>
      <c r="F81" s="26"/>
      <c r="G81" s="28"/>
      <c r="H81" s="29"/>
      <c r="I81" s="30"/>
    </row>
    <row r="82" spans="1:9" ht="18.75" customHeight="1" x14ac:dyDescent="0.35">
      <c r="A82" s="40"/>
      <c r="B82" s="1" t="s">
        <v>46</v>
      </c>
      <c r="G82" s="4" t="s">
        <v>45</v>
      </c>
      <c r="H82" s="34">
        <f>MAX(12.5*ABS(H39)/(2.5*ABS(H39)+3*ABS(H40)+4*ABS(H41)+3*ABS(H42)),1)</f>
        <v>2.1869812264048147</v>
      </c>
    </row>
    <row r="83" spans="1:9" ht="18.75" customHeight="1" x14ac:dyDescent="0.35">
      <c r="A83" s="40"/>
      <c r="G83" s="4"/>
      <c r="H83" s="3"/>
    </row>
    <row r="84" spans="1:9" ht="18.75" customHeight="1" x14ac:dyDescent="0.35">
      <c r="A84" s="44" t="s">
        <v>127</v>
      </c>
      <c r="B84" s="17" t="s">
        <v>142</v>
      </c>
      <c r="C84" s="16"/>
      <c r="D84" s="16"/>
      <c r="E84" s="16"/>
      <c r="F84" s="16"/>
      <c r="G84" s="18"/>
      <c r="H84" s="25"/>
      <c r="I84" s="19"/>
    </row>
    <row r="85" spans="1:9" ht="18.75" customHeight="1" x14ac:dyDescent="0.35">
      <c r="A85" s="45" t="s">
        <v>128</v>
      </c>
      <c r="B85" s="27" t="s">
        <v>47</v>
      </c>
      <c r="C85" s="26"/>
      <c r="D85" s="26"/>
      <c r="E85" s="26"/>
      <c r="F85" s="26"/>
      <c r="G85" s="28"/>
      <c r="H85" s="29"/>
      <c r="I85" s="30"/>
    </row>
    <row r="86" spans="1:9" ht="18.75" customHeight="1" x14ac:dyDescent="0.35">
      <c r="A86" s="40"/>
      <c r="B86" s="31" t="s">
        <v>48</v>
      </c>
      <c r="E86" s="31"/>
      <c r="G86" s="4"/>
      <c r="H86" s="3"/>
    </row>
    <row r="87" spans="1:9" ht="18.75" customHeight="1" x14ac:dyDescent="0.35">
      <c r="A87" s="40"/>
      <c r="B87" s="1" t="s">
        <v>49</v>
      </c>
      <c r="G87" s="4" t="s">
        <v>62</v>
      </c>
      <c r="H87" s="35">
        <f>H5*G53/1000^2</f>
        <v>472.5684</v>
      </c>
      <c r="I87" s="2" t="s">
        <v>19</v>
      </c>
    </row>
    <row r="88" spans="1:9" ht="18.75" customHeight="1" x14ac:dyDescent="0.35">
      <c r="A88" s="40"/>
      <c r="G88" s="4"/>
      <c r="H88" s="3"/>
    </row>
    <row r="89" spans="1:9" ht="18.75" customHeight="1" x14ac:dyDescent="0.35">
      <c r="A89" s="40"/>
      <c r="B89" s="31" t="s">
        <v>50</v>
      </c>
      <c r="E89" s="31"/>
      <c r="G89" s="4"/>
      <c r="H89" s="3"/>
    </row>
    <row r="90" spans="1:9" ht="18.75" customHeight="1" x14ac:dyDescent="0.35">
      <c r="A90" s="40"/>
      <c r="B90" s="1" t="s">
        <v>53</v>
      </c>
      <c r="G90" s="4" t="s">
        <v>222</v>
      </c>
      <c r="H90" s="34">
        <f>1.76*(SQRT(D53/H49))*SQRT(H7/H5)/1000</f>
        <v>1.6128260277647675</v>
      </c>
      <c r="I90" s="2" t="s">
        <v>54</v>
      </c>
    </row>
    <row r="91" spans="1:9" ht="18.75" customHeight="1" x14ac:dyDescent="0.35">
      <c r="A91" s="40"/>
      <c r="B91" s="1" t="s">
        <v>55</v>
      </c>
      <c r="G91" s="4" t="s">
        <v>223</v>
      </c>
      <c r="H91" s="34">
        <f>(1.95*(MIN(SQRT(0.5*D53*(H21-H24)/E53),H22/SQRT(12*(1+1/6*(H21*H23)/(H22*H24)))))*H7/(0.7*H5)*SQRT((1/3*((2*H22*H24^3)+((H21-H24)*H23^3)))*1/(E53*(H21-H24))+SQRT(((1/3*((2*H22*H24^3)+((H21-H24)*H23^3)))*1/(E53*(H21-H24)))^2+6.76*(0.7*H5/H7)^2)))/1000</f>
        <v>4.8283759605698684</v>
      </c>
      <c r="I91" s="2" t="s">
        <v>54</v>
      </c>
    </row>
    <row r="92" spans="1:9" ht="18.75" customHeight="1" x14ac:dyDescent="0.35">
      <c r="A92" s="40"/>
      <c r="B92" s="1" t="s">
        <v>56</v>
      </c>
      <c r="G92" s="4" t="s">
        <v>224</v>
      </c>
      <c r="H92" s="20">
        <f>H82*PI()^2*H7/(H19/(MIN(SQRT(0.5*D53*(H21-H24)/E53),H22/SQRT(12*(1+1/6*(H21*H23)/(H22*H24))))))^2*SQRT(1+0.078*((1/3*((2*H22*H24^3)+((H21-H24)*H23^3)))*1/(E53*(H21-H24)))*(H19/(MIN(SQRT(0.5*D53*(H21-H24)/E53),H22/SQRT(12*(1+1/6*(H21*H23)/(H22*H24))))))^2)</f>
        <v>1872.5906440680244</v>
      </c>
      <c r="I92" s="2" t="s">
        <v>4</v>
      </c>
    </row>
    <row r="93" spans="1:9" ht="18.75" customHeight="1" x14ac:dyDescent="0.35">
      <c r="A93" s="40"/>
      <c r="G93" s="4"/>
      <c r="H93" s="3"/>
    </row>
    <row r="94" spans="1:9" ht="18.75" customHeight="1" x14ac:dyDescent="0.35">
      <c r="A94" s="40"/>
      <c r="B94" s="1" t="s">
        <v>57</v>
      </c>
      <c r="G94" s="4"/>
      <c r="H94" s="3"/>
    </row>
    <row r="95" spans="1:9" ht="18.75" customHeight="1" x14ac:dyDescent="0.35">
      <c r="A95" s="40"/>
      <c r="B95" s="64" t="s">
        <v>51</v>
      </c>
      <c r="C95" s="36" t="s">
        <v>58</v>
      </c>
      <c r="D95" s="37"/>
      <c r="E95" s="37"/>
      <c r="F95" s="37"/>
      <c r="G95" s="38" t="s">
        <v>62</v>
      </c>
      <c r="H95" s="20" t="str">
        <f>IF((H19/1000)&lt;H90,H5*G53/10^6,"-")</f>
        <v>-</v>
      </c>
      <c r="I95" s="2" t="s">
        <v>19</v>
      </c>
    </row>
    <row r="96" spans="1:9" ht="18.75" customHeight="1" x14ac:dyDescent="0.35">
      <c r="A96" s="40"/>
      <c r="B96" s="64" t="s">
        <v>52</v>
      </c>
      <c r="C96" s="36" t="s">
        <v>59</v>
      </c>
      <c r="D96" s="37"/>
      <c r="E96" s="37"/>
      <c r="F96" s="37"/>
      <c r="G96" s="38" t="s">
        <v>62</v>
      </c>
      <c r="H96" s="20">
        <f>IF(H90&lt;(H19/1000),IF((H19/1000)&lt;H91,H82*(H5*G53-(H5*G53-0.7*H5*E53)*((H19/1000)-H90)/(H91-H90))/10^6,"-"),"-")</f>
        <v>982.03282584989597</v>
      </c>
      <c r="I96" s="2" t="s">
        <v>19</v>
      </c>
    </row>
    <row r="97" spans="1:10" ht="18.75" customHeight="1" x14ac:dyDescent="0.35">
      <c r="A97" s="40"/>
      <c r="B97" s="64" t="s">
        <v>60</v>
      </c>
      <c r="C97" s="36" t="s">
        <v>61</v>
      </c>
      <c r="D97" s="37"/>
      <c r="E97" s="37"/>
      <c r="F97" s="37"/>
      <c r="G97" s="38" t="s">
        <v>62</v>
      </c>
      <c r="H97" s="20" t="str">
        <f>IF((H19/1000)&gt;H91,H92*E53/10^6,"-")</f>
        <v>-</v>
      </c>
      <c r="I97" s="2" t="s">
        <v>19</v>
      </c>
    </row>
    <row r="98" spans="1:10" ht="18.75" customHeight="1" x14ac:dyDescent="0.35">
      <c r="A98" s="40"/>
      <c r="G98" s="4" t="s">
        <v>62</v>
      </c>
      <c r="H98" s="20">
        <f>MAX(H95:H97)</f>
        <v>982.03282584989597</v>
      </c>
      <c r="I98" s="2" t="s">
        <v>19</v>
      </c>
    </row>
    <row r="99" spans="1:10" ht="18.75" customHeight="1" x14ac:dyDescent="0.35">
      <c r="A99" s="40"/>
      <c r="B99" s="1" t="s">
        <v>63</v>
      </c>
      <c r="G99" s="4"/>
      <c r="H99" s="3"/>
    </row>
    <row r="100" spans="1:10" ht="18.75" customHeight="1" x14ac:dyDescent="0.35">
      <c r="A100" s="40"/>
      <c r="B100" s="1" t="s">
        <v>64</v>
      </c>
      <c r="D100" s="3" t="s">
        <v>65</v>
      </c>
      <c r="E100" s="39" t="s">
        <v>66</v>
      </c>
      <c r="F100" s="3" t="s">
        <v>67</v>
      </c>
      <c r="G100" s="3"/>
      <c r="H100" s="13"/>
      <c r="J100" s="1" t="s">
        <v>68</v>
      </c>
    </row>
    <row r="101" spans="1:10" ht="18.75" customHeight="1" x14ac:dyDescent="0.35">
      <c r="A101" s="40"/>
      <c r="D101" s="20">
        <f>H98</f>
        <v>982.03282584989597</v>
      </c>
      <c r="E101" s="3" t="str">
        <f>IF(D101&gt;F101,"&gt;","≤")</f>
        <v>&gt;</v>
      </c>
      <c r="F101" s="20">
        <f>H5*G53/10^6</f>
        <v>472.5684</v>
      </c>
      <c r="G101" s="32" t="s">
        <v>38</v>
      </c>
      <c r="H101" s="40" t="str">
        <f>IF(D101&gt;F101,"[ Pakai Mp ]","[ OK ]")</f>
        <v>[ Pakai Mp ]</v>
      </c>
    </row>
    <row r="102" spans="1:10" ht="18.75" customHeight="1" x14ac:dyDescent="0.35">
      <c r="A102" s="40"/>
      <c r="D102" s="15"/>
      <c r="E102" s="3"/>
      <c r="F102" s="15"/>
      <c r="G102" s="32"/>
      <c r="H102" s="40"/>
    </row>
    <row r="103" spans="1:10" ht="18.75" customHeight="1" x14ac:dyDescent="0.35">
      <c r="A103" s="40"/>
      <c r="B103" s="1" t="s">
        <v>69</v>
      </c>
      <c r="C103" s="1" t="s">
        <v>70</v>
      </c>
      <c r="G103" s="4" t="s">
        <v>62</v>
      </c>
      <c r="H103" s="35">
        <f>MIN(D101,F101)</f>
        <v>472.5684</v>
      </c>
      <c r="I103" s="2" t="s">
        <v>19</v>
      </c>
    </row>
    <row r="104" spans="1:10" ht="18.75" customHeight="1" x14ac:dyDescent="0.35">
      <c r="A104" s="40"/>
      <c r="G104" s="4"/>
      <c r="H104" s="3"/>
    </row>
    <row r="105" spans="1:10" ht="18.75" customHeight="1" x14ac:dyDescent="0.35">
      <c r="A105" s="45" t="s">
        <v>129</v>
      </c>
      <c r="B105" s="27" t="s">
        <v>72</v>
      </c>
      <c r="C105" s="26"/>
      <c r="D105" s="26"/>
      <c r="E105" s="26"/>
      <c r="F105" s="26"/>
      <c r="G105" s="28"/>
      <c r="H105" s="29"/>
      <c r="I105" s="30"/>
    </row>
    <row r="106" spans="1:10" ht="18.75" customHeight="1" x14ac:dyDescent="0.35">
      <c r="A106" s="40"/>
      <c r="B106" s="31" t="s">
        <v>73</v>
      </c>
      <c r="E106" s="31"/>
      <c r="G106" s="4"/>
      <c r="H106" s="3"/>
    </row>
    <row r="107" spans="1:10" ht="18.75" customHeight="1" x14ac:dyDescent="0.35">
      <c r="A107" s="40"/>
      <c r="B107" s="1" t="s">
        <v>74</v>
      </c>
      <c r="G107" s="4" t="s">
        <v>225</v>
      </c>
      <c r="H107" s="20">
        <f>H5*(2/H21*(1/12*H22*H24^3+H22*H24*(0.5*(H21-H24))^2))/10^6</f>
        <v>133.58011333333332</v>
      </c>
      <c r="I107" s="2" t="s">
        <v>19</v>
      </c>
    </row>
    <row r="108" spans="1:10" ht="18.75" customHeight="1" x14ac:dyDescent="0.35">
      <c r="A108" s="40"/>
      <c r="B108" s="1" t="s">
        <v>75</v>
      </c>
      <c r="G108" s="4" t="s">
        <v>76</v>
      </c>
      <c r="H108" s="20">
        <f>MAX(IF((1/12*H24*H22^3)/D53&gt;0.23,IF((H21-2*(H24+H25))/H23&lt;=H73,(MIN(G53*H5/10^6,1.6*E53*H5/10^6))/H107,0),0),IF((1/12*H24*H22^3)/D53&gt;0.23,IF((H21-2*(H24+H25))/H23&gt;H73,(F101/H107-(F101/H107)/(H72-H73)/(F70-H73)),0),0),IF((1/12*H24*H22^3)/D53&gt;0.23,IF((H21-2*(H24+H25))/H23&gt;H73,(MIN(G53*H5/10^6,1.6*E53*H5/10^6))/H107,0),0),IF((1/12*H24*H22^3)/D53&lt;=0.23,1,0))</f>
        <v>3.5377152197854604</v>
      </c>
    </row>
    <row r="109" spans="1:10" ht="18.75" customHeight="1" x14ac:dyDescent="0.35">
      <c r="A109" s="40"/>
      <c r="G109" s="4"/>
      <c r="H109" s="3"/>
    </row>
    <row r="110" spans="1:10" ht="18.75" customHeight="1" x14ac:dyDescent="0.35">
      <c r="A110" s="40"/>
      <c r="B110" s="1" t="s">
        <v>77</v>
      </c>
      <c r="G110" s="4" t="s">
        <v>62</v>
      </c>
      <c r="H110" s="35">
        <f>H108*H107</f>
        <v>472.5684</v>
      </c>
      <c r="I110" s="2" t="s">
        <v>19</v>
      </c>
    </row>
    <row r="111" spans="1:10" ht="18.75" customHeight="1" x14ac:dyDescent="0.35">
      <c r="A111" s="40"/>
      <c r="G111" s="4"/>
      <c r="H111" s="3"/>
    </row>
    <row r="112" spans="1:10" ht="18.75" customHeight="1" x14ac:dyDescent="0.35">
      <c r="A112" s="40"/>
      <c r="B112" s="31" t="s">
        <v>50</v>
      </c>
      <c r="E112" s="31"/>
      <c r="G112" s="4"/>
      <c r="H112" s="3"/>
    </row>
    <row r="113" spans="1:9" ht="18.75" customHeight="1" x14ac:dyDescent="0.35">
      <c r="A113" s="40"/>
      <c r="B113" s="1" t="s">
        <v>145</v>
      </c>
      <c r="G113" s="4" t="s">
        <v>146</v>
      </c>
      <c r="H113" s="34">
        <f>H19/1000</f>
        <v>2</v>
      </c>
      <c r="I113" s="2" t="s">
        <v>54</v>
      </c>
    </row>
    <row r="114" spans="1:9" ht="18.75" customHeight="1" x14ac:dyDescent="0.35">
      <c r="A114" s="40"/>
      <c r="B114" s="1" t="s">
        <v>53</v>
      </c>
      <c r="G114" s="4" t="s">
        <v>222</v>
      </c>
      <c r="H114" s="20">
        <f>1.1*((H22/SQRT(12*(1+1/6*((H21-2*(H25+H24))*H23)/(H22*H24))))*SQRT(H7/H5)/1000)</f>
        <v>1.320317222187267</v>
      </c>
      <c r="I114" s="2" t="s">
        <v>54</v>
      </c>
    </row>
    <row r="115" spans="1:9" ht="18.75" customHeight="1" x14ac:dyDescent="0.35">
      <c r="A115" s="40"/>
      <c r="B115" s="1" t="s">
        <v>78</v>
      </c>
      <c r="G115" s="4" t="s">
        <v>223</v>
      </c>
      <c r="H115" s="20">
        <f>1.95*(H22/SQRT(12*(1+1/6*((H21-2*(H25+H24))*H23)/(H22*H24))))*H7/H5*SQRT((1/3*(2*H22*H24^3)+((H21-H24)*H23^3))/((2/H21*(1/12*H22*H24^3+H22*H24*(0.5*(H21-H24))^2))*(H21-H24))+SQRT(((1/3*(2*H22*H24^3)+((H21-H24)*H23^3))/((2/H21*(1/12*H22*H24^3+H22*H24*(0.5*(H21-H24))^2))*(H21-H24)))^2+6.76*((0.7*H5)/H7)^2))/1000</f>
        <v>4.9745620431550828</v>
      </c>
      <c r="I115" s="2" t="s">
        <v>54</v>
      </c>
    </row>
    <row r="116" spans="1:9" ht="18.75" customHeight="1" x14ac:dyDescent="0.35">
      <c r="A116" s="40"/>
      <c r="G116" s="4"/>
      <c r="H116" s="3"/>
    </row>
    <row r="117" spans="1:9" ht="18.75" customHeight="1" x14ac:dyDescent="0.35">
      <c r="A117" s="40"/>
      <c r="B117" s="1" t="s">
        <v>57</v>
      </c>
      <c r="G117" s="4"/>
      <c r="H117" s="3"/>
    </row>
    <row r="118" spans="1:9" ht="18.75" customHeight="1" x14ac:dyDescent="0.35">
      <c r="A118" s="40"/>
      <c r="B118" s="64" t="s">
        <v>51</v>
      </c>
      <c r="C118" s="65" t="s">
        <v>58</v>
      </c>
      <c r="D118" s="37"/>
      <c r="E118" s="37"/>
      <c r="F118" s="37"/>
      <c r="G118" s="38" t="s">
        <v>62</v>
      </c>
      <c r="H118" s="20" t="str">
        <f>IF(H113&lt;H114,H108*H107,"-")</f>
        <v>-</v>
      </c>
      <c r="I118" s="2" t="s">
        <v>19</v>
      </c>
    </row>
    <row r="119" spans="1:9" ht="18.75" customHeight="1" x14ac:dyDescent="0.35">
      <c r="A119" s="40"/>
      <c r="B119" s="64" t="s">
        <v>52</v>
      </c>
      <c r="C119" s="65" t="s">
        <v>59</v>
      </c>
      <c r="D119" s="37"/>
      <c r="E119" s="37"/>
      <c r="F119" s="37"/>
      <c r="G119" s="38" t="s">
        <v>62</v>
      </c>
      <c r="H119" s="20">
        <f>IF(AND(H114&lt;H113, H113&lt;H115), H82*(H108*H107-(H108*H107-(0.7*H5)*(2/H21*(1/12*H22*H24^3+H22*H24*(0.5*(H21-H24))^2))/10^6)*(H113-H114)/(H115-H114)), "-")</f>
        <v>879.30534703170508</v>
      </c>
      <c r="I119" s="2" t="s">
        <v>19</v>
      </c>
    </row>
    <row r="120" spans="1:9" ht="18.75" customHeight="1" x14ac:dyDescent="0.35">
      <c r="A120" s="40"/>
      <c r="B120" s="64" t="s">
        <v>60</v>
      </c>
      <c r="C120" s="65" t="s">
        <v>61</v>
      </c>
      <c r="D120" s="37"/>
      <c r="E120" s="37"/>
      <c r="F120" s="37"/>
      <c r="G120" s="38" t="s">
        <v>62</v>
      </c>
      <c r="H120" s="20" t="str">
        <f>IF(H113&gt;H115,H92*(2/H21*(1/12*H22*H24^3+H22*H24*(0.5*(H21-H24))^2))/10^6,"-")</f>
        <v>-</v>
      </c>
      <c r="I120" s="2" t="s">
        <v>19</v>
      </c>
    </row>
    <row r="121" spans="1:9" ht="18.75" customHeight="1" x14ac:dyDescent="0.35">
      <c r="A121" s="40"/>
      <c r="G121" s="4" t="s">
        <v>62</v>
      </c>
      <c r="H121" s="20">
        <f>MAX(H118:H120)</f>
        <v>879.30534703170508</v>
      </c>
      <c r="I121" s="2" t="s">
        <v>19</v>
      </c>
    </row>
    <row r="122" spans="1:9" ht="18.75" customHeight="1" x14ac:dyDescent="0.35">
      <c r="A122" s="40"/>
      <c r="B122" s="1" t="s">
        <v>63</v>
      </c>
      <c r="G122" s="4"/>
      <c r="H122" s="3"/>
    </row>
    <row r="123" spans="1:9" ht="18.75" customHeight="1" x14ac:dyDescent="0.35">
      <c r="A123" s="40"/>
      <c r="B123" s="1" t="s">
        <v>64</v>
      </c>
      <c r="D123" s="3" t="s">
        <v>65</v>
      </c>
      <c r="E123" s="39" t="s">
        <v>66</v>
      </c>
      <c r="F123" s="4" t="s">
        <v>79</v>
      </c>
      <c r="G123" s="3"/>
      <c r="H123" s="13"/>
    </row>
    <row r="124" spans="1:9" ht="18.75" customHeight="1" x14ac:dyDescent="0.35">
      <c r="A124" s="40"/>
      <c r="D124" s="20">
        <f>H121</f>
        <v>879.30534703170508</v>
      </c>
      <c r="E124" s="3" t="str">
        <f>IF(D124&gt;F124,"&gt;","≤")</f>
        <v>&gt;</v>
      </c>
      <c r="F124" s="20">
        <f>H108*H107</f>
        <v>472.5684</v>
      </c>
      <c r="G124" s="32" t="s">
        <v>38</v>
      </c>
      <c r="H124" s="61" t="str">
        <f>IF(D124&gt;F124,"[ pakai R_pc * M_yc ]","[ OK ]")</f>
        <v>[ pakai R_pc * M_yc ]</v>
      </c>
    </row>
    <row r="125" spans="1:9" ht="18.75" customHeight="1" x14ac:dyDescent="0.35">
      <c r="A125" s="40"/>
      <c r="D125" s="15"/>
      <c r="E125" s="3"/>
      <c r="F125" s="15"/>
      <c r="G125" s="32"/>
      <c r="H125" s="40"/>
    </row>
    <row r="126" spans="1:9" ht="18.75" customHeight="1" x14ac:dyDescent="0.35">
      <c r="A126" s="40"/>
      <c r="B126" s="1" t="s">
        <v>69</v>
      </c>
      <c r="C126" s="1" t="s">
        <v>70</v>
      </c>
      <c r="G126" s="4" t="s">
        <v>62</v>
      </c>
      <c r="H126" s="35">
        <f>MIN(D124,F124)</f>
        <v>472.5684</v>
      </c>
      <c r="I126" s="2" t="s">
        <v>19</v>
      </c>
    </row>
    <row r="127" spans="1:9" ht="18.75" customHeight="1" x14ac:dyDescent="0.35">
      <c r="A127" s="40"/>
      <c r="G127" s="4"/>
      <c r="H127" s="3"/>
    </row>
    <row r="128" spans="1:9" ht="18.75" customHeight="1" x14ac:dyDescent="0.35">
      <c r="A128" s="40"/>
      <c r="B128" s="31" t="s">
        <v>71</v>
      </c>
      <c r="E128" s="31" t="s">
        <v>81</v>
      </c>
      <c r="G128" s="4"/>
      <c r="H128" s="3"/>
    </row>
    <row r="129" spans="1:9" ht="18.75" customHeight="1" x14ac:dyDescent="0.35">
      <c r="A129" s="40"/>
      <c r="B129" s="1" t="s">
        <v>205</v>
      </c>
      <c r="G129" s="4"/>
      <c r="H129" s="3"/>
    </row>
    <row r="130" spans="1:9" ht="18.75" customHeight="1" x14ac:dyDescent="0.35">
      <c r="A130" s="40"/>
      <c r="G130" s="4"/>
      <c r="H130" s="3"/>
    </row>
    <row r="131" spans="1:9" ht="18.75" customHeight="1" x14ac:dyDescent="0.35">
      <c r="A131" s="40"/>
      <c r="B131" s="31" t="s">
        <v>80</v>
      </c>
      <c r="E131" s="31" t="s">
        <v>81</v>
      </c>
      <c r="G131" s="4"/>
      <c r="H131" s="3"/>
    </row>
    <row r="132" spans="1:9" ht="18.75" customHeight="1" x14ac:dyDescent="0.35">
      <c r="A132" s="40"/>
      <c r="B132" s="1" t="s">
        <v>82</v>
      </c>
      <c r="G132" s="4"/>
      <c r="H132" s="3"/>
    </row>
    <row r="133" spans="1:9" ht="18.75" customHeight="1" x14ac:dyDescent="0.35">
      <c r="A133" s="40"/>
      <c r="G133" s="4"/>
      <c r="H133" s="3"/>
    </row>
    <row r="134" spans="1:9" ht="18.75" customHeight="1" x14ac:dyDescent="0.35">
      <c r="A134" s="45" t="s">
        <v>130</v>
      </c>
      <c r="B134" s="27" t="s">
        <v>83</v>
      </c>
      <c r="C134" s="26"/>
      <c r="D134" s="26"/>
      <c r="E134" s="26"/>
      <c r="F134" s="26"/>
      <c r="G134" s="28"/>
      <c r="H134" s="29"/>
      <c r="I134" s="30"/>
    </row>
    <row r="135" spans="1:9" ht="18.75" customHeight="1" x14ac:dyDescent="0.35">
      <c r="A135" s="40"/>
      <c r="B135" s="31" t="s">
        <v>40</v>
      </c>
      <c r="G135" s="4"/>
      <c r="H135" s="3"/>
    </row>
    <row r="136" spans="1:9" ht="18.75" customHeight="1" x14ac:dyDescent="0.35">
      <c r="A136" s="40"/>
      <c r="B136" s="13" t="s">
        <v>84</v>
      </c>
      <c r="G136" s="4" t="s">
        <v>85</v>
      </c>
      <c r="H136" s="20">
        <f>H87</f>
        <v>472.5684</v>
      </c>
      <c r="I136" s="2" t="s">
        <v>19</v>
      </c>
    </row>
    <row r="137" spans="1:9" ht="18.75" customHeight="1" x14ac:dyDescent="0.35">
      <c r="A137" s="40"/>
      <c r="B137" s="13" t="s">
        <v>86</v>
      </c>
      <c r="G137" s="4" t="s">
        <v>85</v>
      </c>
      <c r="H137" s="20">
        <f>H103</f>
        <v>472.5684</v>
      </c>
      <c r="I137" s="2" t="s">
        <v>19</v>
      </c>
    </row>
    <row r="138" spans="1:9" ht="18.75" customHeight="1" x14ac:dyDescent="0.35">
      <c r="A138" s="40"/>
      <c r="B138" s="31" t="s">
        <v>41</v>
      </c>
      <c r="G138" s="4"/>
      <c r="H138" s="15"/>
    </row>
    <row r="139" spans="1:9" ht="18.75" customHeight="1" x14ac:dyDescent="0.35">
      <c r="A139" s="40"/>
      <c r="B139" s="13" t="s">
        <v>87</v>
      </c>
      <c r="G139" s="4" t="s">
        <v>85</v>
      </c>
      <c r="H139" s="20">
        <f>H110</f>
        <v>472.5684</v>
      </c>
      <c r="I139" s="2" t="s">
        <v>19</v>
      </c>
    </row>
    <row r="140" spans="1:9" ht="18.75" customHeight="1" x14ac:dyDescent="0.35">
      <c r="A140" s="40"/>
      <c r="B140" s="13" t="s">
        <v>86</v>
      </c>
      <c r="G140" s="4" t="s">
        <v>85</v>
      </c>
      <c r="H140" s="20">
        <f>H126</f>
        <v>472.5684</v>
      </c>
      <c r="I140" s="2" t="s">
        <v>19</v>
      </c>
    </row>
    <row r="141" spans="1:9" ht="18.75" customHeight="1" x14ac:dyDescent="0.35">
      <c r="A141" s="40"/>
      <c r="B141" s="1" t="s">
        <v>88</v>
      </c>
      <c r="G141" s="4" t="s">
        <v>85</v>
      </c>
      <c r="H141" s="35">
        <f>MIN(H136:H140)</f>
        <v>472.5684</v>
      </c>
      <c r="I141" s="2" t="s">
        <v>19</v>
      </c>
    </row>
    <row r="142" spans="1:9" ht="18.75" customHeight="1" x14ac:dyDescent="0.35">
      <c r="A142" s="40"/>
      <c r="B142" s="1" t="s">
        <v>92</v>
      </c>
      <c r="G142" s="4" t="s">
        <v>101</v>
      </c>
      <c r="H142" s="34">
        <v>0.9</v>
      </c>
    </row>
    <row r="143" spans="1:9" ht="18.75" customHeight="1" x14ac:dyDescent="0.35">
      <c r="A143" s="40"/>
      <c r="B143" s="1" t="s">
        <v>102</v>
      </c>
      <c r="G143" s="4" t="s">
        <v>97</v>
      </c>
      <c r="H143" s="34">
        <f>H39</f>
        <v>109.18600000000001</v>
      </c>
      <c r="I143" s="2" t="s">
        <v>17</v>
      </c>
    </row>
    <row r="144" spans="1:9" ht="18.75" customHeight="1" x14ac:dyDescent="0.35">
      <c r="A144" s="40"/>
      <c r="B144" s="1" t="s">
        <v>132</v>
      </c>
      <c r="G144" s="4"/>
      <c r="H144" s="41"/>
    </row>
    <row r="145" spans="1:9" ht="18.75" customHeight="1" x14ac:dyDescent="0.35">
      <c r="A145" s="40"/>
      <c r="B145" s="1" t="s">
        <v>64</v>
      </c>
      <c r="D145" s="3" t="s">
        <v>104</v>
      </c>
      <c r="E145" s="3" t="s">
        <v>66</v>
      </c>
      <c r="F145" s="3" t="s">
        <v>103</v>
      </c>
      <c r="G145" s="4"/>
      <c r="H145" s="41"/>
    </row>
    <row r="146" spans="1:9" ht="18.75" customHeight="1" x14ac:dyDescent="0.35">
      <c r="A146" s="40"/>
      <c r="D146" s="20">
        <f>H143</f>
        <v>109.18600000000001</v>
      </c>
      <c r="E146" s="3" t="str">
        <f>IF(D146&lt;H142*H141,"≤","&gt;")</f>
        <v>≤</v>
      </c>
      <c r="F146" s="20">
        <f>H141*H142</f>
        <v>425.31155999999999</v>
      </c>
      <c r="G146" s="32" t="s">
        <v>38</v>
      </c>
      <c r="H146" s="40" t="str">
        <f>IF(D146&lt;H142*H141,"[ OK ]","[ NOT OK ]")</f>
        <v>[ OK ]</v>
      </c>
    </row>
    <row r="147" spans="1:9" ht="18.75" customHeight="1" x14ac:dyDescent="0.35">
      <c r="A147" s="40"/>
      <c r="G147" s="4"/>
      <c r="H147" s="3"/>
    </row>
    <row r="148" spans="1:9" ht="18.75" customHeight="1" x14ac:dyDescent="0.35">
      <c r="A148" s="44" t="s">
        <v>131</v>
      </c>
      <c r="B148" s="17" t="s">
        <v>143</v>
      </c>
      <c r="C148" s="16"/>
      <c r="D148" s="16"/>
      <c r="E148" s="16"/>
      <c r="F148" s="16"/>
      <c r="G148" s="18"/>
      <c r="H148" s="25"/>
      <c r="I148" s="19"/>
    </row>
    <row r="149" spans="1:9" ht="18.75" customHeight="1" x14ac:dyDescent="0.35">
      <c r="A149" s="45" t="s">
        <v>134</v>
      </c>
      <c r="B149" s="27" t="s">
        <v>135</v>
      </c>
      <c r="C149" s="26"/>
      <c r="D149" s="26"/>
      <c r="E149" s="26"/>
      <c r="F149" s="26"/>
      <c r="G149" s="28"/>
      <c r="H149" s="29"/>
      <c r="I149" s="30"/>
    </row>
    <row r="150" spans="1:9" ht="18.75" customHeight="1" x14ac:dyDescent="0.35">
      <c r="A150" s="40"/>
      <c r="B150" s="1" t="s">
        <v>185</v>
      </c>
    </row>
    <row r="151" spans="1:9" ht="18.75" customHeight="1" x14ac:dyDescent="0.35">
      <c r="A151" s="40"/>
      <c r="B151" s="13" t="s">
        <v>186</v>
      </c>
      <c r="G151" s="4" t="s">
        <v>187</v>
      </c>
      <c r="H151" s="56">
        <v>1.5</v>
      </c>
    </row>
    <row r="152" spans="1:9" ht="18.75" customHeight="1" x14ac:dyDescent="0.35">
      <c r="A152" s="40"/>
      <c r="B152" s="13" t="s">
        <v>64</v>
      </c>
      <c r="C152" s="3" t="s">
        <v>209</v>
      </c>
      <c r="D152" s="3" t="s">
        <v>66</v>
      </c>
      <c r="E152" s="3" t="s">
        <v>210</v>
      </c>
      <c r="F152" s="4"/>
      <c r="H152" s="41"/>
    </row>
    <row r="153" spans="1:9" ht="18.75" customHeight="1" x14ac:dyDescent="0.35">
      <c r="A153" s="40"/>
      <c r="C153" s="20">
        <f>H44</f>
        <v>300</v>
      </c>
      <c r="D153" s="3" t="str">
        <f>IF(C153&lt;=E153,"≤","&gt;")</f>
        <v>≤</v>
      </c>
      <c r="E153" s="34">
        <f>2*((MIN((H5+H6)/(2*H5),1.2))*H151*H5*(H22*H24*(H21-H24)+H23*(0.5*H21-H24)^2)/10^6)/((H18-(2*(MIN(0.5*H21,3*H22))))/10^3)+H43</f>
        <v>565.04559999999992</v>
      </c>
      <c r="F153" s="4"/>
      <c r="G153" s="32" t="s">
        <v>38</v>
      </c>
      <c r="H153" s="51" t="str">
        <f>IF(C153&lt;=E153,"[ OK ]","[ NOT OK ]")</f>
        <v>[ OK ]</v>
      </c>
    </row>
    <row r="154" spans="1:9" ht="18.649999999999999" customHeight="1" x14ac:dyDescent="0.35">
      <c r="A154" s="40"/>
      <c r="B154" s="31"/>
      <c r="G154" s="4"/>
      <c r="H154" s="3"/>
    </row>
    <row r="155" spans="1:9" ht="18.75" customHeight="1" x14ac:dyDescent="0.35">
      <c r="A155" s="45" t="s">
        <v>136</v>
      </c>
      <c r="B155" s="27" t="s">
        <v>147</v>
      </c>
      <c r="C155" s="26"/>
      <c r="D155" s="26"/>
      <c r="E155" s="26"/>
      <c r="F155" s="26"/>
      <c r="G155" s="28"/>
      <c r="H155" s="29"/>
      <c r="I155" s="30"/>
    </row>
    <row r="156" spans="1:9" ht="18.75" customHeight="1" x14ac:dyDescent="0.35">
      <c r="B156" s="1" t="s">
        <v>90</v>
      </c>
      <c r="G156" s="4" t="s">
        <v>89</v>
      </c>
      <c r="H156" s="34">
        <f>MAX(IF((((H21-2*(H24+H25)))/H23)&lt;=2.24*SQRT(H7/H5),1,0),IF((((H21-2*(H24+H25)))/H23)&gt;2.24*SQRT(H7/H5),IF((((H21-2*(H24+H25)))/H23)&lt;=1.1*SQRT(5.34*H7/H5),1,0),0),IF((((H21-2*(H24+H25)))/H23)&gt;2.24*SQRT(H7/H5),IF((((H21-2*(H24+H25)))/H23)&gt;1.1*SQRT(5.34*H7/H5),1.1/(((H21-2*(H24+H25)))/H23)*SQRT(5.34*H7/H5),0),0))</f>
        <v>1</v>
      </c>
    </row>
    <row r="157" spans="1:9" ht="18.75" customHeight="1" x14ac:dyDescent="0.35">
      <c r="A157" s="40"/>
      <c r="B157" s="1" t="s">
        <v>92</v>
      </c>
      <c r="G157" s="4" t="s">
        <v>93</v>
      </c>
      <c r="H157" s="34">
        <f>IF(H156=1,1,0.9)</f>
        <v>1</v>
      </c>
    </row>
    <row r="158" spans="1:9" ht="18.75" customHeight="1" x14ac:dyDescent="0.35">
      <c r="A158" s="40"/>
      <c r="G158" s="4"/>
      <c r="H158" s="50"/>
    </row>
    <row r="159" spans="1:9" ht="18.75" customHeight="1" x14ac:dyDescent="0.35">
      <c r="A159" s="40"/>
      <c r="B159" s="1" t="s">
        <v>161</v>
      </c>
      <c r="G159" s="4"/>
      <c r="H159" s="41"/>
    </row>
    <row r="160" spans="1:9" ht="18.75" customHeight="1" x14ac:dyDescent="0.35">
      <c r="A160" s="40"/>
      <c r="B160" s="13" t="s">
        <v>162</v>
      </c>
      <c r="C160" s="3" t="s">
        <v>163</v>
      </c>
      <c r="D160" s="3" t="s">
        <v>66</v>
      </c>
      <c r="E160" s="3" t="s">
        <v>164</v>
      </c>
      <c r="F160" s="4"/>
      <c r="H160" s="41"/>
    </row>
    <row r="161" spans="1:9" ht="18.75" customHeight="1" x14ac:dyDescent="0.35">
      <c r="A161" s="40"/>
      <c r="C161" s="20">
        <f>(H21-2*(H24+H25))/H23</f>
        <v>55</v>
      </c>
      <c r="D161" s="3" t="str">
        <f>IF(C161&lt;=E161,"≤","&gt;")</f>
        <v>≤</v>
      </c>
      <c r="E161" s="34">
        <f>2.46*SQRT(H7/H5)</f>
        <v>71.014083110323966</v>
      </c>
      <c r="F161" s="4"/>
      <c r="G161" s="32" t="s">
        <v>38</v>
      </c>
      <c r="H161" s="51" t="str">
        <f>IF(C161&lt;=E161,"[ OK ]","[ NOT OK ]")</f>
        <v>[ OK ]</v>
      </c>
    </row>
    <row r="162" spans="1:9" ht="18.75" customHeight="1" x14ac:dyDescent="0.35">
      <c r="A162" s="40"/>
      <c r="B162" s="13" t="s">
        <v>165</v>
      </c>
      <c r="C162" s="3" t="s">
        <v>95</v>
      </c>
      <c r="D162" s="3" t="s">
        <v>66</v>
      </c>
      <c r="E162" s="74" t="s">
        <v>169</v>
      </c>
      <c r="F162" s="74"/>
      <c r="H162" s="51"/>
    </row>
    <row r="163" spans="1:9" ht="18.75" customHeight="1" x14ac:dyDescent="0.35">
      <c r="A163" s="40"/>
      <c r="C163" s="34">
        <f>2*((MIN((H5+H6)/(2*H5),1.2))*H151*H5*(H22*H24*(H21-H24)+H23*(0.5*H21-H24)^2)/10^6)/((H18-(2*(MIN(0.5*H21,3*H22))))/10^3)+H43</f>
        <v>565.04559999999992</v>
      </c>
      <c r="D163" s="3" t="str">
        <f>IF(C163&lt;=E163,"≤","&gt;")</f>
        <v>≤</v>
      </c>
      <c r="E163" s="77">
        <f>(((H21-2*(H24+H25)))*H23)*0.6*H5*(((H21-2*(H24+H25)))*H23)*(((H21-2*(H24+H25)))*H23)/1000</f>
        <v>23958000000</v>
      </c>
      <c r="F163" s="78"/>
      <c r="G163" s="32" t="s">
        <v>38</v>
      </c>
      <c r="H163" s="51" t="str">
        <f>IF(C163&lt;=E163,"[ OK ]","[ NOT OK ]")</f>
        <v>[ OK ]</v>
      </c>
    </row>
    <row r="164" spans="1:9" ht="18.75" customHeight="1" x14ac:dyDescent="0.35">
      <c r="A164" s="40"/>
      <c r="G164" s="4"/>
      <c r="H164" s="41"/>
    </row>
    <row r="165" spans="1:9" ht="18.75" customHeight="1" x14ac:dyDescent="0.35">
      <c r="A165" s="40"/>
      <c r="B165" s="66" t="s">
        <v>167</v>
      </c>
      <c r="E165" s="4"/>
      <c r="F165" s="32"/>
      <c r="G165" s="81" t="str">
        <f>IF(AND(C161&lt;=E161,C163&lt;=E163),"[ Tidak Dibutuhkan ]","[ Dibutuhkan ]")</f>
        <v>[ Tidak Dibutuhkan ]</v>
      </c>
      <c r="H165" s="82"/>
    </row>
    <row r="167" spans="1:9" ht="18.75" customHeight="1" x14ac:dyDescent="0.35">
      <c r="A167" s="45" t="s">
        <v>138</v>
      </c>
      <c r="B167" s="27" t="s">
        <v>159</v>
      </c>
      <c r="C167" s="26"/>
      <c r="D167" s="26"/>
      <c r="E167" s="26"/>
      <c r="F167" s="26"/>
      <c r="G167" s="28"/>
      <c r="H167" s="29"/>
      <c r="I167" s="30"/>
    </row>
    <row r="168" spans="1:9" ht="18.75" customHeight="1" x14ac:dyDescent="0.35">
      <c r="B168" s="1" t="s">
        <v>90</v>
      </c>
      <c r="G168" s="4" t="s">
        <v>89</v>
      </c>
      <c r="H168" s="86" t="str">
        <f>IF(G165="[ Tidak dibutuhkan ]","-",MAX(IF(G165="[ Tidak dibutuhkan ]","-",IF((((H21-2*(H24+H25)))/H23)&lt;=2.24*SQRT(H7/H5),1,"-")),IF((((H21-2*(H24+H25)))/H23)&gt;2.24*SQRT(H7/H5),IF((((H21-2*(H24+H25)))/H23)&lt;=1.1*SQRT((IF(G165="[ Tidak dibutuhkan ]","-",5+5/((IF(G165="[ Tidak dibutuhkan ]","-",H35))/((H21-2*(H24+H25))))^2))*H7/H5),1,"-"),"-"),IF((((H21-2*(H24+H25)))/H23)&gt;2.24*SQRT(H7/H5),IF((((H21-2*(H24+H25)))/H23)&gt;1.1*SQRT((IF(G165="[ Tidak dibutuhkan ]","-",5+5/((IF(G165="[ Tidak dibutuhkan ]","-",H35))/((H21-2*(H24+H25))))^2))*H7/H5),1.1/(((H21-2*(H24+H25)))/H23)*SQRT((IF(G165="[ Tidak dibutuhkan ]","-",5+5/((IF(G165="[ Tidak dibutuhkan ]","-",H35))/((H21-2*(H24+H25))))^2))*H7/H5),"-"),"-")))</f>
        <v>-</v>
      </c>
    </row>
    <row r="169" spans="1:9" ht="18.75" customHeight="1" x14ac:dyDescent="0.35">
      <c r="B169" s="1" t="s">
        <v>171</v>
      </c>
      <c r="G169" s="4" t="s">
        <v>170</v>
      </c>
      <c r="H169" s="86" t="str">
        <f>IF(G165="[ Tidak dibutuhkan ]","-",MAX((IF(G165="[ Tidak dibutuhkan ]","-",IF((((H21-2*(H24+H25)))/H23)&lt;=(IF(G165="[ Tidak dibutuhkan ]","-",1.1*SQRT((IF(G165="[ Tidak dibutuhkan ]","-",5+5/((IF(G165="[ Tidak dibutuhkan ]","-",H35))/((H21-2*(H24+H25))))^2))*H7/H5))),1,"-"))),IF(AND((IF(G165="[ Tidak dibutuhkan ]","-",1.1*SQRT((IF(G165="[ Tidak dibutuhkan ]","-",5+5/((IF(G165="[ Tidak dibutuhkan ]","-",H35))/((H21-2*(H24+H25))))^2))*H7/H5)))&lt;(((H21-2*(H24+H25)))/H23),(((H21-2*(H24+H25)))/H23)&lt;=(IF(G165="[ Tidak dibutuhkan ]","-",1.37*SQRT((IF(G165="[ Tidak dibutuhkan ]","-",5+5/((IF(G165="[ Tidak dibutuhkan ]","-",H35))/((H21-2*(H24+H25))))^2))*H7/H5)))),1.1/(((H21-2*(H24+H25)))/H23)*SQRT((IF(G165="[ Tidak dibutuhkan ]","-",5+5/((IF(G165="[ Tidak dibutuhkan ]","-",H35))/((H21-2*(H24+H25))))^2))*H7/H5),"-"),IF((((H21-2*(H24+H25)))/H23)&gt;(IF(G165="[ Tidak dibutuhkan ]","-",1.37*SQRT((IF(G165="[ Tidak dibutuhkan ]","-",5+5/((IF(G165="[ Tidak dibutuhkan ]","-",H35))/((H21-2*(H24+H25))))^2))*H7/H5))),(1.51*(IF(G165="[ Tidak dibutuhkan ]","-",5+5/((IF(G165="[ Tidak dibutuhkan ]","-",H35))/((H21-2*(H24+H25))))^2))*H7/((((H21-2*(H24+H25)))/H23)^2*(IF(G165="[ Tidak dibutuhkan ]","-",H5)))),"-")))</f>
        <v>-</v>
      </c>
    </row>
    <row r="170" spans="1:9" ht="18.75" customHeight="1" x14ac:dyDescent="0.35">
      <c r="G170" s="47"/>
      <c r="H170" s="15"/>
    </row>
    <row r="171" spans="1:9" ht="18.75" customHeight="1" x14ac:dyDescent="0.35">
      <c r="B171" s="13" t="s">
        <v>172</v>
      </c>
      <c r="G171" s="47"/>
      <c r="H171" s="15"/>
    </row>
    <row r="172" spans="1:9" ht="18.75" customHeight="1" x14ac:dyDescent="0.35">
      <c r="B172" s="1" t="s">
        <v>173</v>
      </c>
      <c r="C172" s="3" t="s">
        <v>175</v>
      </c>
      <c r="D172" s="3" t="s">
        <v>174</v>
      </c>
      <c r="E172" s="63">
        <v>3</v>
      </c>
      <c r="G172" s="47"/>
      <c r="H172" s="15"/>
    </row>
    <row r="173" spans="1:9" ht="18.75" customHeight="1" x14ac:dyDescent="0.35">
      <c r="C173" s="34" t="str">
        <f>IF(G165="[ Tidak dibutuhkan ]","-",(IF(G165="[ Tidak dibutuhkan ]","-",H35))/((H21-2*(H24+H25))))</f>
        <v>-</v>
      </c>
      <c r="D173" s="3" t="str">
        <f>IF(C173&lt;=E173,"≤","&gt;")</f>
        <v>&gt;</v>
      </c>
      <c r="E173" s="62">
        <v>3</v>
      </c>
      <c r="F173" s="32" t="s">
        <v>38</v>
      </c>
      <c r="G173" s="79" t="str">
        <f>IF(C173&gt;E173,"[ Aksi Medan Tarik Dapat Diabaikan ]","[ Terdapat Aksi Medan Tarik ]")</f>
        <v>[ Aksi Medan Tarik Dapat Diabaikan ]</v>
      </c>
      <c r="H173" s="80"/>
    </row>
    <row r="174" spans="1:9" ht="18.75" customHeight="1" x14ac:dyDescent="0.35">
      <c r="C174" s="41"/>
      <c r="D174" s="3"/>
      <c r="E174" s="63"/>
      <c r="F174" s="32"/>
      <c r="G174" s="52"/>
      <c r="H174" s="53"/>
    </row>
    <row r="175" spans="1:9" ht="18.75" customHeight="1" x14ac:dyDescent="0.35">
      <c r="B175" s="1" t="s">
        <v>178</v>
      </c>
      <c r="C175" s="41"/>
      <c r="D175" s="3"/>
      <c r="E175" s="63"/>
      <c r="F175" s="32"/>
      <c r="G175" s="52"/>
      <c r="H175" s="52"/>
    </row>
    <row r="176" spans="1:9" ht="18.75" customHeight="1" x14ac:dyDescent="0.35">
      <c r="B176" s="1" t="s">
        <v>173</v>
      </c>
      <c r="C176" s="41" t="s">
        <v>176</v>
      </c>
      <c r="D176" s="3" t="s">
        <v>66</v>
      </c>
      <c r="E176" s="63">
        <v>2.5</v>
      </c>
      <c r="F176" s="32"/>
      <c r="G176" s="52"/>
      <c r="H176" s="52"/>
    </row>
    <row r="177" spans="1:9" ht="18.75" customHeight="1" x14ac:dyDescent="0.35">
      <c r="C177" s="34">
        <f>(((H21-2*(H24+H25)))*H23)/(H22*H24)</f>
        <v>2.8571428571428572</v>
      </c>
      <c r="D177" s="3" t="str">
        <f>IF(C177&lt;=E177,"≤","&gt;")</f>
        <v>&gt;</v>
      </c>
      <c r="E177" s="62">
        <v>2.5</v>
      </c>
      <c r="F177" s="32"/>
      <c r="G177" s="52"/>
      <c r="H177" s="52"/>
    </row>
    <row r="178" spans="1:9" ht="18.75" customHeight="1" x14ac:dyDescent="0.35">
      <c r="C178" s="41" t="s">
        <v>177</v>
      </c>
      <c r="D178" s="3" t="s">
        <v>66</v>
      </c>
      <c r="E178" s="63">
        <v>6</v>
      </c>
      <c r="F178" s="32"/>
      <c r="G178" s="52"/>
      <c r="H178" s="54"/>
    </row>
    <row r="179" spans="1:9" ht="18.75" customHeight="1" x14ac:dyDescent="0.35">
      <c r="C179" s="34">
        <f>((H21-2*(H24+H25)))/H22</f>
        <v>3.1428571428571428</v>
      </c>
      <c r="D179" s="3" t="str">
        <f>IF(C179&lt;=E179,"≤","&gt;")</f>
        <v>≤</v>
      </c>
      <c r="E179" s="62">
        <v>6</v>
      </c>
      <c r="F179" s="32" t="s">
        <v>166</v>
      </c>
      <c r="G179" s="81" t="str">
        <f>IF(AND(C177&lt;=E177,C179&lt;=E179),"[ TRUE ]","[ FALSE ]")</f>
        <v>[ FALSE ]</v>
      </c>
      <c r="H179" s="82"/>
    </row>
    <row r="180" spans="1:9" ht="18.75" customHeight="1" x14ac:dyDescent="0.35">
      <c r="C180" s="41"/>
      <c r="D180" s="3"/>
      <c r="E180" s="63"/>
      <c r="F180" s="32"/>
      <c r="G180" s="40"/>
      <c r="H180" s="69"/>
    </row>
    <row r="181" spans="1:9" ht="18.75" customHeight="1" x14ac:dyDescent="0.35">
      <c r="B181" s="1" t="s">
        <v>181</v>
      </c>
    </row>
    <row r="182" spans="1:9" ht="18.75" customHeight="1" x14ac:dyDescent="0.35">
      <c r="B182" s="1" t="s">
        <v>179</v>
      </c>
      <c r="D182" s="3" t="s">
        <v>152</v>
      </c>
      <c r="E182" s="3" t="s">
        <v>154</v>
      </c>
      <c r="F182" s="3" t="s">
        <v>153</v>
      </c>
    </row>
    <row r="183" spans="1:9" ht="18.75" customHeight="1" x14ac:dyDescent="0.35">
      <c r="D183" s="20" t="str">
        <f>IF(G165="[ Tidak dibutuhkan ]","-",(IF(G165="[ Tidak dibutuhkan ]","-",H33))/(IF(G165="[ Tidak dibutuhkan ]","-",H34)))</f>
        <v>-</v>
      </c>
      <c r="E183" s="3" t="str">
        <f>IF(D183&lt;=F183,"≤","&gt;")</f>
        <v>≤</v>
      </c>
      <c r="F183" s="20" t="str">
        <f>IF(G165="[ Tidak dibutuhkan ]","-",0.56*SQRT(H7/(IF(G165="[ Tidak dibutuhkan ]","-",H5))))</f>
        <v>-</v>
      </c>
      <c r="G183" s="32" t="s">
        <v>38</v>
      </c>
      <c r="H183" s="48" t="str">
        <f>IF(G165="[ Tidak dibutuhkan ]","-",IF(D183&lt;F183,"OK","TIDAK OK"))</f>
        <v>-</v>
      </c>
    </row>
    <row r="184" spans="1:9" ht="18.75" customHeight="1" x14ac:dyDescent="0.35">
      <c r="B184" s="1" t="s">
        <v>180</v>
      </c>
      <c r="D184" s="3" t="s">
        <v>158</v>
      </c>
      <c r="E184" s="3" t="s">
        <v>156</v>
      </c>
      <c r="F184" s="13" t="s">
        <v>157</v>
      </c>
    </row>
    <row r="185" spans="1:9" ht="18.75" customHeight="1" x14ac:dyDescent="0.35">
      <c r="D185" s="23" t="str">
        <f>IF(G165="[ Tidak dibutuhkan ]","-",IF(G165="[ Tidak dibutuhkan ]","-",2*1/12*(IF(G165="[ Tidak dibutuhkan ]","-",H34))*(IF(G165="[ Tidak dibutuhkan ]","-",H33))^3))</f>
        <v>-</v>
      </c>
      <c r="E185" s="3" t="str">
        <f>IF(D185&lt;F185,"&lt;","≥")</f>
        <v>≥</v>
      </c>
      <c r="F185" s="23" t="str">
        <f>IF(G165="[ Tidak dibutuhkan ]","-",IF((IF(G165="[ Tidak dibutuhkan ]","-",IF(IF(G165="[ Tidak dibutuhkan ]","-",MAX(IF(G165="[ Tidak dibutuhkan ]","-",IF(C173&gt;3,0.6*(IF(G165="[ Tidak dibutuhkan ]","-",H5))*(((H21-2*(H24+H25)))*H23)*H168/1000,"-")),IF(G165="[ Tidak dibutuhkan ]","-",IF(C173&gt;3,0.6*(IF(G165="[ Tidak dibutuhkan ]","-",H5))*(((H21-2*(H24+H25)))*H23)*H168/1000,"-")),IF(G165="[ Tidak dibutuhkan ]","-",IF(AND((((H21-2*(H24+H25)))/H23)&gt;(IF(G165="[ Tidak dibutuhkan ]","-",1.1*SQRT((IF(G165="[ Tidak dibutuhkan ]","-",5+5/((IF(G165="[ Tidak dibutuhkan ]","-",H35))/((H21-2*(H24+H25))))^2))*H7/H5))),G179="[ TRUE ]",C173&lt;=E173),0.6*(IF(G165="[ Tidak dibutuhkan ]","-",H5))*(((H21-2*(H24+H25)))*H23)*H168*(H169+(1-H169)/(1.15*SQRT(1+(C173^2))))/1000,"-")),IF(G165="[ Tidak dibutuhkan ]","-",IF(AND((((H21-2*(H24+H25)))/H23)&gt;(IF(G165="[ Tidak dibutuhkan ]","-",1.1*SQRT((IF(G165="[ Tidak dibutuhkan ]","-",5+5/((IF(G165="[ Tidak dibutuhkan ]","-",H35))/((H21-2*(H24+H25))))^2))*H7/H5))),G179="[ FALSE ]",C173&lt;=E173),0.6*(IF(G165="[ Tidak dibutuhkan ]","-",H5))*(((H21-2*(H24+H25)))*H23)*H168*(H169+(1-H169)/(1.15*(C173+SQRT(1+(C173^2)))))/1000,"-"))))=(IF(G165="[ Tidak dibutuhkan ]","-",0.6*(IF(G165="[ Tidak dibutuhkan ]","-",H5))*(((H21-2*(H24+H25)))*H23)*H169/1000)),"[ EROR ]",((D195-(IF(G165="[ Tidak dibutuhkan ]","-",0.6*(IF(G165="[ Tidak dibutuhkan ]","-",H5))*(((H21-2*(H24+H25)))*H23)*H169/1000)))/((IF(G165="[ Tidak dibutuhkan ]","-",MAX(IF(G165="[ Tidak dibutuhkan ]","-",IF(C173&gt;3,0.6*(IF(G165="[ Tidak dibutuhkan ]","-",H5))*(((H21-2*(H24+H25)))*H23)*H168/1000,"-")),IF(G165="[ Tidak dibutuhkan ]","-",IF(C173&gt;3,0.6*(IF(G165="[ Tidak dibutuhkan ]","-",H5))*(((H21-2*(H24+H25)))*H23)*H168/1000,"-")),IF(G165="[ Tidak dibutuhkan ]","-",IF(AND((((H21-2*(H24+H25)))/H23)&gt;(IF(G165="[ Tidak dibutuhkan ]","-",1.1*SQRT((IF(G165="[ Tidak dibutuhkan ]","-",5+5/((IF(G165="[ Tidak dibutuhkan ]","-",H35))/((H21-2*(H24+H25))))^2))*H7/H5))),G179="[ TRUE ]",C173&lt;=E173),0.6*(IF(G165="[ Tidak dibutuhkan ]","-",H5))*(((H21-2*(H24+H25)))*H23)*H168*(H169+(1-H169)/(1.15*SQRT(1+(C173^2))))/1000,"-")),IF(G165="[ Tidak dibutuhkan ]","-",IF(AND((((H21-2*(H24+H25)))/H23)&gt;(IF(G165="[ Tidak dibutuhkan ]","-",1.1*SQRT((IF(G165="[ Tidak dibutuhkan ]","-",5+5/((IF(G165="[ Tidak dibutuhkan ]","-",H35))/((H21-2*(H24+H25))))^2))*H7/H5))),G179="[ FALSE ]",C173&lt;=E173),0.6*(IF(G165="[ Tidak dibutuhkan ]","-",H5))*(((H21-2*(H24+H25)))*H23)*H168*(H169+(1-H169)/(1.15*(C173+SQRT(1+(C173^2)))))/1000,"-")))))-(IF(G165="[ Tidak dibutuhkan ]","-",0.6*(IF(G165="[ Tidak dibutuhkan ]","-",H5))*(((H21-2*(H24+H25)))*H23)*H169/1000)))))))="[ EROR ]","[ EROR ]",IF(G165="[ Tidak dibutuhkan ]","-",(2.5*((IF(G165="[ Tidak dibutuhkan ]","-",H35))/(IF(G165="[ Tidak dibutuhkan ]","-",H21-2*H24)))^2-2)*(IF(G165="[ Tidak dibutuhkan ]","-",MIN((IF(G165="[ Tidak dibutuhkan ]","-",H35)),(IF(G165="[ Tidak dibutuhkan ]","-",H21-2*H24)))))*H23^3)+(IF(G165="[ Tidak dibutuhkan ]","-",(IF(G165="[ Tidak dibutuhkan ]","-",H21-2*H24))^4*(IF(G165="[ Tidak dibutuhkan ]","-",(IF(G165="[ Tidak dibutuhkan ]","-",H5))/(IF(G165="[ Tidak dibutuhkan ]","-",H5))))^1.3/40*((IF(G165="[ Tidak dibutuhkan ]","-",H5))/H7)^1.5)-IF(G165="[ Tidak dibutuhkan ]","-",(2.5*((IF(G165="[ Tidak dibutuhkan ]","-",H35))/(IF(G165="[ Tidak dibutuhkan ]","-",H21-2*H24)))^2-2)*(IF(G165="[ Tidak dibutuhkan ]","-",MIN((IF(G165="[ Tidak dibutuhkan ]","-",H35)),(IF(G165="[ Tidak dibutuhkan ]","-",H21-2*H24)))))*H23^3))*(IF(G165="[ Tidak dibutuhkan ]","-",IF((IF(G165="[ Tidak dibutuhkan ]","-",MAX(IF(G165="[ Tidak dibutuhkan ]","-",IF(C173&gt;3,0.6*(IF(G165="[ Tidak dibutuhkan ]","-",H5))*(((H21-2*(H24+H25)))*H23)*H168/1000,"-")),IF(G165="[ Tidak dibutuhkan ]","-",IF(C173&gt;3,0.6*(IF(G165="[ Tidak dibutuhkan ]","-",H5))*(((H21-2*(H24+H25)))*H23)*H168/1000,"-")),IF(G165="[ Tidak dibutuhkan ]","-",IF(AND((((H21-2*(H24+H25)))/H23)&gt;(IF(G165="[ Tidak dibutuhkan ]","-",1.1*SQRT((IF(G165="[ Tidak dibutuhkan ]","-",5+5/((IF(G165="[ Tidak dibutuhkan ]","-",H35))/((H21-2*(H24+H25))))^2))*H7/H5))),G179="[ TRUE ]",C173&lt;=E173),0.6*(IF(G165="[ Tidak dibutuhkan ]","-",H5))*(((H21-2*(H24+H25)))*H23)*H168*(H169+(1-H169)/(1.15*SQRT(1+(C173^2))))/1000,"-")),IF(G165="[ Tidak dibutuhkan ]","-",IF(AND((((H21-2*(H24+H25)))/H23)&gt;(IF(G165="[ Tidak dibutuhkan ]","-",1.1*SQRT((IF(G165="[ Tidak dibutuhkan ]","-",5+5/((IF(G165="[ Tidak dibutuhkan ]","-",H35))/((H21-2*(H24+H25))))^2))*H7/H5))),G179="[ FALSE ]",C173&lt;=E173),0.6*(IF(G165="[ Tidak dibutuhkan ]","-",H5))*(((H21-2*(H24+H25)))*H23)*H168*(H169+(1-H169)/(1.15*(C173+SQRT(1+(C173^2)))))/1000,"-")))))=IF(G165="[ Tidak dibutuhkan ]","-",0.6*(IF(G165="[ Tidak dibutuhkan ]","-",H5))*(((H21-2*(H24+H25)))*H23)*H169/1000),"[ EROR ]",((D195-(IF(G165="[ Tidak dibutuhkan ]","-",0.6*(IF(G165="[ Tidak dibutuhkan ]","-",H5))*(((H21-2*(H24+H25)))*H23)*H169/1000)))/((IF(G165="[ Tidak dibutuhkan ]","-",MAX(IF(G165="[ Tidak dibutuhkan ]","-",IF(C173&gt;3,0.6*(IF(G165="[ Tidak dibutuhkan ]","-",H5))*(((H21-2*(H24+H25)))*H23)*H168/1000,"-")),IF(G165="[ Tidak dibutuhkan ]","-",IF(C173&gt;3,0.6*(IF(G165="[ Tidak dibutuhkan ]","-",H5))*(((H21-2*(H24+H25)))*H23)*H168/1000,"-")),IF(G165="[ Tidak dibutuhkan ]","-",IF(AND((((H21-2*(H24+H25)))/H23)&gt;(IF(G165="[ Tidak dibutuhkan ]","-",1.1*SQRT((IF(G165="[ Tidak dibutuhkan ]","-",5+5/((IF(G165="[ Tidak dibutuhkan ]","-",H35))/((H21-2*(H24+H25))))^2))*H7/H5))),G179="[ TRUE ]",C173&lt;=E173),0.6*(IF(G165="[ Tidak dibutuhkan ]","-",H5))*(((H21-2*(H24+H25)))*H23)*H168*(H169+(1-H169)/(1.15*SQRT(1+(C173^2))))/1000,"-")),IF(G165="[ Tidak dibutuhkan ]","-",IF(AND((((H21-2*(H24+H25)))/H23)&gt;(IF(G165="[ Tidak dibutuhkan ]","-",1.1*SQRT((IF(G165="[ Tidak dibutuhkan ]","-",5+5/((IF(G165="[ Tidak dibutuhkan ]","-",H35))/((H21-2*(H24+H25))))^2))*H7/H5))),G179="[ FALSE ]",C173&lt;=E173),0.6*(IF(G165="[ Tidak dibutuhkan ]","-",H5))*(((H21-2*(H24+H25)))*H23)*H168*(H169+(1-H169)/(1.15*(C173+SQRT(1+(C173^2)))))/1000,"-")))))-IF(G165="[ Tidak dibutuhkan ]","-",0.6*(IF(G165="[ Tidak dibutuhkan ]","-",H5))*(((H21-2*(H24+H25)))*H23)*H169/1000))))))))</f>
        <v>-</v>
      </c>
      <c r="G185" s="32" t="s">
        <v>38</v>
      </c>
      <c r="H185" s="48" t="str">
        <f>IF(G165="[ Tidak dibutuhkan ]","-",IF(D185&gt;=F185,"OK","TIDAK OK"))</f>
        <v>-</v>
      </c>
    </row>
    <row r="188" spans="1:9" ht="18.75" customHeight="1" x14ac:dyDescent="0.35">
      <c r="A188" s="45" t="s">
        <v>139</v>
      </c>
      <c r="B188" s="27" t="s">
        <v>135</v>
      </c>
      <c r="C188" s="26"/>
      <c r="D188" s="26"/>
      <c r="E188" s="26"/>
      <c r="F188" s="26"/>
      <c r="G188" s="28"/>
      <c r="H188" s="29"/>
      <c r="I188" s="30"/>
    </row>
    <row r="189" spans="1:9" ht="18.75" customHeight="1" x14ac:dyDescent="0.35">
      <c r="A189" s="40"/>
      <c r="B189" s="31" t="s">
        <v>182</v>
      </c>
      <c r="G189" s="4"/>
      <c r="H189" s="55"/>
    </row>
    <row r="190" spans="1:9" ht="18.75" customHeight="1" x14ac:dyDescent="0.35">
      <c r="A190" s="40"/>
      <c r="B190" s="1" t="s">
        <v>91</v>
      </c>
      <c r="G190" s="4" t="s">
        <v>184</v>
      </c>
      <c r="H190" s="20">
        <f>0.6*H5*(((H21-2*(H24+H25)))*H23)*(MAX(IF((((H21-2*(H24+H25)))/H23)&lt;=2.24*SQRT(H7/H5),1,0),IF((((H21-2*(H24+H25)))/H23)&lt;=1.1*SQRT(H7/H5),1,0),IF((((H21-2*(H24+H25)))/H23)&gt;2.24*SQRT(H7/H5),1.1/(((H21-2*(H24+H25)))/H23)*SQRT(5.34*H7/H5),0)))/1000</f>
        <v>792</v>
      </c>
      <c r="I190" s="2" t="s">
        <v>17</v>
      </c>
    </row>
    <row r="192" spans="1:9" ht="18.75" customHeight="1" x14ac:dyDescent="0.35">
      <c r="B192" s="31" t="s">
        <v>183</v>
      </c>
    </row>
    <row r="193" spans="1:9" ht="18.75" customHeight="1" x14ac:dyDescent="0.35">
      <c r="A193" s="40"/>
      <c r="B193" s="1" t="s">
        <v>94</v>
      </c>
      <c r="G193" s="4"/>
      <c r="H193" s="41"/>
    </row>
    <row r="194" spans="1:9" ht="18.75" customHeight="1" x14ac:dyDescent="0.35">
      <c r="A194" s="40"/>
      <c r="B194" s="1" t="s">
        <v>64</v>
      </c>
      <c r="D194" s="3" t="s">
        <v>95</v>
      </c>
      <c r="E194" s="3" t="s">
        <v>66</v>
      </c>
      <c r="F194" s="3" t="s">
        <v>226</v>
      </c>
      <c r="G194" s="4"/>
      <c r="H194" s="41"/>
    </row>
    <row r="195" spans="1:9" ht="18.75" customHeight="1" x14ac:dyDescent="0.35">
      <c r="A195" s="40"/>
      <c r="D195" s="20">
        <f>2*((MIN((H5+H6)/(2*H5),1.2))*H151*H5*(H22*H24*(H21-H24)+H23*(0.5*H21-H24)^2)/10^6)/((H18-(2*(MIN(0.5*H21,3*H22))))/10^3)+H43</f>
        <v>565.04559999999992</v>
      </c>
      <c r="E195" s="3" t="str">
        <f>IF(D195&lt;=F195,"≤","&gt;")</f>
        <v>≤</v>
      </c>
      <c r="F195" s="20">
        <f>1*(IF(G165="[ Dibutuhkan ]",IF(G165="[ Tidak dibutuhkan ]","-",MAX(IF(G165="[ Tidak dibutuhkan ]","-",IF(C173&gt;3,0.6*(IF(G165="[ Tidak dibutuhkan ]","-",H5))*(((H21-2*(H24+H25)))*H23)*H168/1000,"-")),IF(G165="[ Tidak dibutuhkan ]","-",IF(C173&gt;3,0.6*(IF(G165="[ Tidak dibutuhkan ]","-",H5))*(((H21-2*(H24+H25)))*H23)*H168/1000,"-")),IF(G165="[ Tidak dibutuhkan ]","-",IF(AND((((H21-2*(H24+H25)))/H23)&gt;(IF(G165="[ Tidak dibutuhkan ]","-",1.1*SQRT((IF(G165="[ Tidak dibutuhkan ]","-",5+5/((IF(G165="[ Tidak dibutuhkan ]","-",H35))/((H21-2*(H24+H25))))^2))*H7/H5))),G179="[ TRUE ]",C173&lt;=E173),0.6*(IF(G165="[ Tidak dibutuhkan ]","-",H5))*(((H21-2*(H24+H25)))*H23)*H168*(H169+(1-H169)/(1.15*SQRT(1+(C173^2))))/1000,"-")),IF(G165="[ Tidak dibutuhkan ]","-",IF(AND((((H21-2*(H24+H25)))/H23)&gt;(IF(G165="[ Tidak dibutuhkan ]","-",1.1*SQRT((IF(G165="[ Tidak dibutuhkan ]","-",5+5/((IF(G165="[ Tidak dibutuhkan ]","-",H35))/((H21-2*(H24+H25))))^2))*H7/H5))),G179="[ FALSE ]",C173&lt;=E173),0.6*(IF(G165="[ Tidak dibutuhkan ]","-",H5))*(((H21-2*(H24+H25)))*H23)*H168*(H169+(1-H169)/(1.15*(C173+SQRT(1+(C173^2)))))/1000,"-")))),0.6*H5*(((H21-2*(H24+H25)))*H23)*(MAX(IF((((H21-2*(H24+H25)))/H23)&lt;=2.24*SQRT(H7/H5),1,0),IF((((H21-2*(H24+H25)))/H23)&lt;=1.1*SQRT(H7/H5),1,0),IF((((H21-2*(H24+H25)))/H23)&gt;2.24*SQRT(H7/H5),1.1/(((H21-2*(H24+H25)))/H23)*SQRT(5.34*H7/H5),0)))/1000))</f>
        <v>792</v>
      </c>
      <c r="G195" s="32" t="s">
        <v>38</v>
      </c>
      <c r="H195" s="40" t="str">
        <f>IF(D195&lt;=F195,"[ OK ]","[ NOT OK ]")</f>
        <v>[ OK ]</v>
      </c>
    </row>
    <row r="197" spans="1:9" ht="18.75" customHeight="1" x14ac:dyDescent="0.35">
      <c r="A197" s="45" t="s">
        <v>140</v>
      </c>
      <c r="B197" s="27" t="s">
        <v>137</v>
      </c>
      <c r="C197" s="26"/>
      <c r="D197" s="26"/>
      <c r="E197" s="26"/>
      <c r="F197" s="26"/>
      <c r="G197" s="28"/>
      <c r="H197" s="29"/>
      <c r="I197" s="30"/>
    </row>
    <row r="198" spans="1:9" ht="18.75" customHeight="1" x14ac:dyDescent="0.35">
      <c r="A198" s="40"/>
      <c r="B198" s="1" t="s">
        <v>133</v>
      </c>
      <c r="G198" s="4"/>
      <c r="H198" s="41"/>
    </row>
    <row r="199" spans="1:9" ht="18.75" customHeight="1" x14ac:dyDescent="0.35">
      <c r="A199" s="40"/>
      <c r="B199" s="1" t="s">
        <v>64</v>
      </c>
      <c r="C199" s="74" t="s">
        <v>105</v>
      </c>
      <c r="D199" s="74"/>
      <c r="F199" s="3" t="s">
        <v>96</v>
      </c>
      <c r="G199" s="4"/>
      <c r="H199" s="3"/>
    </row>
    <row r="200" spans="1:9" ht="18.75" customHeight="1" x14ac:dyDescent="0.35">
      <c r="A200" s="40"/>
      <c r="C200" s="75">
        <f>D146/F146+D195/F195</f>
        <v>0.97016145250576047</v>
      </c>
      <c r="D200" s="76"/>
      <c r="F200" s="24" t="str">
        <f>IF(C200&lt;=1,"≤ 1,0","&gt; 1,0")</f>
        <v>≤ 1,0</v>
      </c>
      <c r="G200" s="32" t="s">
        <v>38</v>
      </c>
      <c r="H200" s="40" t="str">
        <f>IF(C200&lt;=1,"[ OK ]","[ NOT OK ]")</f>
        <v>[ OK ]</v>
      </c>
    </row>
  </sheetData>
  <mergeCells count="15">
    <mergeCell ref="G59:H59"/>
    <mergeCell ref="G74:H74"/>
    <mergeCell ref="B1:F1"/>
    <mergeCell ref="B51:B52"/>
    <mergeCell ref="C51:D51"/>
    <mergeCell ref="E51:F51"/>
    <mergeCell ref="G51:H51"/>
    <mergeCell ref="G20:H20"/>
    <mergeCell ref="C199:D199"/>
    <mergeCell ref="C200:D200"/>
    <mergeCell ref="E162:F162"/>
    <mergeCell ref="E163:F163"/>
    <mergeCell ref="G173:H173"/>
    <mergeCell ref="G179:H179"/>
    <mergeCell ref="G165:H165"/>
  </mergeCells>
  <phoneticPr fontId="19" type="noConversion"/>
  <dataValidations disablePrompts="1" count="1">
    <dataValidation type="list" allowBlank="1" showInputMessage="1" showErrorMessage="1" sqref="H4" xr:uid="{4C782FEB-DF78-4BDA-A286-14BF75C0425E}">
      <formula1>"BJ 34, BJ 37, BJ 41, BJ 50, BJ 55"</formula1>
    </dataValidation>
  </dataValidations>
  <pageMargins left="0.7" right="0.7" top="0.75" bottom="0.75" header="0.3" footer="0.3"/>
  <ignoredErrors>
    <ignoredError sqref="D200:E200 G200:H200 H118 H125:H126 H140:H141 H146 E146:F146 H121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+ 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Shafannisa Sulhi</cp:lastModifiedBy>
  <cp:lastPrinted>2024-01-31T02:45:39Z</cp:lastPrinted>
  <dcterms:created xsi:type="dcterms:W3CDTF">2021-09-17T01:35:22Z</dcterms:created>
  <dcterms:modified xsi:type="dcterms:W3CDTF">2024-08-15T07:30:48Z</dcterms:modified>
</cp:coreProperties>
</file>