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NPETRA.ID\Lite\"/>
    </mc:Choice>
  </mc:AlternateContent>
  <xr:revisionPtr revIDLastSave="0" documentId="13_ncr:1_{842BEB04-747C-44C5-B22C-704165B2EC15}" xr6:coauthVersionLast="47" xr6:coauthVersionMax="47" xr10:uidLastSave="{00000000-0000-0000-0000-000000000000}"/>
  <bookViews>
    <workbookView xWindow="12710" yWindow="0" windowWidth="12980" windowHeight="13770" tabRatio="776" xr2:uid="{E53FFA0E-4ACC-4D35-AEF6-D7F7333C60AE}"/>
  </bookViews>
  <sheets>
    <sheet name="Input + Process" sheetId="16" r:id="rId1"/>
  </sheets>
  <definedNames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4" i="16" l="1"/>
  <c r="G137" i="16" l="1"/>
  <c r="C137" i="16"/>
  <c r="H123" i="16"/>
  <c r="H107" i="16" l="1"/>
  <c r="H105" i="16"/>
  <c r="C102" i="16"/>
  <c r="H183" i="16"/>
  <c r="H168" i="16"/>
  <c r="H165" i="16"/>
  <c r="H163" i="16"/>
  <c r="H162" i="16"/>
  <c r="H161" i="16"/>
  <c r="D158" i="16"/>
  <c r="D155" i="16"/>
  <c r="H149" i="16"/>
  <c r="H143" i="16"/>
  <c r="E137" i="16"/>
  <c r="H125" i="16"/>
  <c r="D127" i="16" s="1"/>
  <c r="H114" i="16"/>
  <c r="D116" i="16" s="1"/>
  <c r="D120" i="16" s="1"/>
  <c r="H110" i="16"/>
  <c r="E102" i="16"/>
  <c r="C71" i="16"/>
  <c r="H60" i="16"/>
  <c r="H145" i="16" s="1"/>
  <c r="H59" i="16"/>
  <c r="H144" i="16" s="1"/>
  <c r="H58" i="16"/>
  <c r="H160" i="16" s="1"/>
  <c r="D42" i="16"/>
  <c r="E42" i="16" s="1"/>
  <c r="B42" i="16"/>
  <c r="C42" i="16" s="1"/>
  <c r="D41" i="16"/>
  <c r="E41" i="16" s="1"/>
  <c r="B41" i="16"/>
  <c r="C41" i="16" s="1"/>
  <c r="D40" i="16"/>
  <c r="E40" i="16" s="1"/>
  <c r="D39" i="16"/>
  <c r="E39" i="16" s="1"/>
  <c r="D38" i="16"/>
  <c r="E38" i="16" s="1"/>
  <c r="D37" i="16"/>
  <c r="E37" i="16" s="1"/>
  <c r="D36" i="16"/>
  <c r="E36" i="16" s="1"/>
  <c r="B36" i="16"/>
  <c r="C36" i="16" s="1"/>
  <c r="E35" i="16"/>
  <c r="C35" i="16"/>
  <c r="H169" i="16" l="1"/>
  <c r="H140" i="16"/>
  <c r="H139" i="16"/>
  <c r="B37" i="16"/>
  <c r="C37" i="16" s="1"/>
  <c r="H50" i="16"/>
  <c r="G102" i="16" s="1"/>
  <c r="H188" i="16" s="1"/>
  <c r="E43" i="16"/>
  <c r="H48" i="16"/>
  <c r="C66" i="16" s="1"/>
  <c r="H148" i="16"/>
  <c r="B38" i="16" l="1"/>
  <c r="B39" i="16" s="1"/>
  <c r="C76" i="16"/>
  <c r="I71" i="16"/>
  <c r="E66" i="16"/>
  <c r="C38" i="16" l="1"/>
  <c r="D186" i="16"/>
  <c r="B40" i="16"/>
  <c r="C40" i="16" s="1"/>
  <c r="C39" i="16"/>
  <c r="H150" i="16"/>
  <c r="C43" i="16" l="1"/>
  <c r="D137" i="16"/>
  <c r="F155" i="16"/>
  <c r="H155" i="16" s="1"/>
  <c r="F137" i="16"/>
  <c r="D191" i="16"/>
  <c r="D180" i="16"/>
  <c r="E155" i="16" l="1"/>
  <c r="H137" i="16"/>
  <c r="G66" i="16"/>
  <c r="D66" i="16"/>
  <c r="G71" i="16" l="1"/>
  <c r="H102" i="16"/>
  <c r="H167" i="16"/>
  <c r="H111" i="16" l="1"/>
  <c r="F158" i="16"/>
  <c r="H158" i="16" s="1"/>
  <c r="D102" i="16"/>
  <c r="H71" i="16"/>
  <c r="E71" i="16"/>
  <c r="F102" i="16"/>
  <c r="F131" i="16" l="1"/>
  <c r="H124" i="16"/>
  <c r="H113" i="16"/>
  <c r="F120" i="16"/>
  <c r="D73" i="16"/>
  <c r="E73" i="16" s="1"/>
  <c r="C159" i="16"/>
  <c r="H172" i="16" s="1"/>
  <c r="E158" i="16"/>
  <c r="D71" i="16"/>
  <c r="E75" i="16" l="1"/>
  <c r="E76" i="16" s="1"/>
  <c r="D76" i="16" s="1"/>
  <c r="D176" i="16"/>
  <c r="G76" i="16" l="1"/>
  <c r="H120" i="16"/>
  <c r="F180" i="16" l="1"/>
  <c r="G180" i="16" s="1"/>
  <c r="H182" i="16" s="1"/>
  <c r="F176" i="16"/>
  <c r="F127" i="16"/>
  <c r="H127" i="16" s="1"/>
  <c r="G129" i="16" s="1"/>
  <c r="F116" i="16"/>
  <c r="E120" i="16"/>
  <c r="H189" i="16"/>
  <c r="E180" i="16"/>
  <c r="H176" i="16" l="1"/>
  <c r="E127" i="16"/>
  <c r="F191" i="16"/>
  <c r="E191" i="16" s="1"/>
  <c r="H116" i="16"/>
  <c r="E116" i="16"/>
  <c r="D131" i="16"/>
  <c r="G140" i="16"/>
  <c r="E176" i="16"/>
  <c r="H129" i="16" l="1"/>
  <c r="H118" i="16"/>
  <c r="F186" i="16"/>
  <c r="G118" i="16"/>
  <c r="H191" i="16"/>
  <c r="E131" i="16"/>
  <c r="H131" i="16"/>
  <c r="H186" i="16" l="1"/>
  <c r="E186" i="16"/>
  <c r="G139" i="16"/>
</calcChain>
</file>

<file path=xl/sharedStrings.xml><?xml version="1.0" encoding="utf-8"?>
<sst xmlns="http://schemas.openxmlformats.org/spreadsheetml/2006/main" count="280" uniqueCount="184">
  <si>
    <t>MPa</t>
  </si>
  <si>
    <t>Jumlah tulangan longitudinal,</t>
  </si>
  <si>
    <t>Diameter tulangan longitudinal,</t>
  </si>
  <si>
    <t>D =</t>
  </si>
  <si>
    <t>mm</t>
  </si>
  <si>
    <r>
      <t>L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</si>
  <si>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</si>
  <si>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 =</t>
    </r>
  </si>
  <si>
    <t>Tebal selimut beton,</t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</si>
  <si>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</si>
  <si>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Kuat tekan beton,</t>
  </si>
  <si>
    <t>Tegangan leleh baja tulangan longitudinal,</t>
  </si>
  <si>
    <t>Tegangan leleh baja tulangan transversal,</t>
  </si>
  <si>
    <t>Modulus elastisitas baja,</t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</si>
  <si>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</si>
  <si>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Arah sejajar sumbu X,</t>
  </si>
  <si>
    <t>Arah sejajar sumbu Y,</t>
  </si>
  <si>
    <t>kN</t>
  </si>
  <si>
    <t>→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</si>
  <si>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</si>
  <si>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Syarat :</t>
  </si>
  <si>
    <t>&lt;</t>
  </si>
  <si>
    <t>&gt;</t>
  </si>
  <si>
    <t>Luas penampang kolom,</t>
  </si>
  <si>
    <t>A.</t>
  </si>
  <si>
    <t>A.1.</t>
  </si>
  <si>
    <t>NO.</t>
  </si>
  <si>
    <t>EXPLANATORY</t>
  </si>
  <si>
    <t>FORMULA</t>
  </si>
  <si>
    <t>VALUE</t>
  </si>
  <si>
    <t>UNIT</t>
  </si>
  <si>
    <t>INPUT DATA PERENCANAAN</t>
  </si>
  <si>
    <t>A.2.</t>
  </si>
  <si>
    <t>B.</t>
  </si>
  <si>
    <t>B.1.</t>
  </si>
  <si>
    <t>B.2.</t>
  </si>
  <si>
    <t>B.3.</t>
  </si>
  <si>
    <t>Gaya geser akibat kombinasi beban terfaktor,</t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</si>
  <si>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</si>
  <si>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Kuat geser beton untuk komponan dengan gaya aksial tekan,</t>
  </si>
  <si>
    <r>
      <rPr>
        <b/>
        <sz val="11"/>
        <color rgb="FFFF0000"/>
        <rFont val="Calibri"/>
        <family val="2"/>
        <scheme val="minor"/>
      </rPr>
      <t>nb.</t>
    </r>
    <r>
      <rPr>
        <sz val="11"/>
        <color theme="1"/>
        <rFont val="Calibri"/>
        <family val="2"/>
        <scheme val="minor"/>
      </rPr>
      <t xml:space="preserve"> Gaya aksial bernilai positif untuk tekan</t>
    </r>
  </si>
  <si>
    <t>Lebar penampang kolom,</t>
  </si>
  <si>
    <t>Panjang penampang kolom,</t>
  </si>
  <si>
    <r>
      <t>M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</si>
  <si>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</si>
  <si>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Rasio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terhadap b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>d,</t>
    </r>
  </si>
  <si>
    <r>
      <t>ρ</t>
    </r>
    <r>
      <rPr>
        <vertAlign val="subscript"/>
        <sz val="11"/>
        <rFont val="Calibri"/>
        <family val="2"/>
        <scheme val="minor"/>
      </rPr>
      <t>w</t>
    </r>
    <r>
      <rPr>
        <sz val="11"/>
        <rFont val="Calibri"/>
        <family val="2"/>
        <scheme val="minor"/>
      </rPr>
      <t xml:space="preserve"> =</t>
    </r>
  </si>
  <si>
    <t>Luas tulangan longitudinal pakai,</t>
  </si>
  <si>
    <t>λ =</t>
  </si>
  <si>
    <t>Untuk beton normal,</t>
  </si>
  <si>
    <t>N</t>
  </si>
  <si>
    <t>Nmm</t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</si>
  <si>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</si>
  <si>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>Batasan dimensi penampang untuk meminimalisasi keruntuhan diagonal tekan dan retak beton,</t>
  </si>
  <si>
    <t>ϕ =</t>
  </si>
  <si>
    <r>
      <t>ϕ(V</t>
    </r>
    <r>
      <rPr>
        <vertAlign val="subscript"/>
        <sz val="11"/>
        <rFont val="Calibri"/>
        <family val="2"/>
      </rPr>
      <t>c</t>
    </r>
    <r>
      <rPr>
        <sz val="11"/>
        <rFont val="Calibri"/>
        <family val="2"/>
      </rPr>
      <t xml:space="preserve"> + 0,066 * √fc' * b</t>
    </r>
    <r>
      <rPr>
        <vertAlign val="subscript"/>
        <sz val="11"/>
        <rFont val="Calibri"/>
        <family val="2"/>
      </rPr>
      <t>w</t>
    </r>
    <r>
      <rPr>
        <sz val="11"/>
        <rFont val="Calibri"/>
        <family val="2"/>
      </rPr>
      <t xml:space="preserve"> * d)</t>
    </r>
  </si>
  <si>
    <t>≤</t>
  </si>
  <si>
    <r>
      <t>V</t>
    </r>
    <r>
      <rPr>
        <vertAlign val="subscript"/>
        <sz val="11"/>
        <color theme="1"/>
        <rFont val="Calibri"/>
        <family val="2"/>
        <scheme val="minor"/>
      </rPr>
      <t>u</t>
    </r>
  </si>
  <si>
    <t>Ukuran maksimum agregat,</t>
  </si>
  <si>
    <r>
      <t>d</t>
    </r>
    <r>
      <rPr>
        <vertAlign val="subscript"/>
        <sz val="11"/>
        <color theme="1"/>
        <rFont val="Calibri"/>
        <family val="2"/>
        <scheme val="minor"/>
      </rPr>
      <t>agg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</si>
  <si>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min</t>
    </r>
  </si>
  <si>
    <r>
      <t>s</t>
    </r>
    <r>
      <rPr>
        <vertAlign val="subscript"/>
        <sz val="11"/>
        <rFont val="Calibri"/>
        <family val="2"/>
      </rPr>
      <t>maks</t>
    </r>
  </si>
  <si>
    <r>
      <t>f</t>
    </r>
    <r>
      <rPr>
        <vertAlign val="subscript"/>
        <sz val="11"/>
        <color theme="1"/>
        <rFont val="Calibri"/>
        <family val="2"/>
        <scheme val="minor"/>
      </rPr>
      <t>yt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</si>
  <si>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color theme="1"/>
        <rFont val="Calibri"/>
        <family val="2"/>
        <scheme val="minor"/>
      </rPr>
      <t>yl</t>
    </r>
    <r>
      <rPr>
        <sz val="11"/>
        <color theme="1"/>
        <rFont val="Calibri"/>
        <family val="2"/>
        <scheme val="minor"/>
      </rPr>
      <t xml:space="preserve"> =</t>
    </r>
  </si>
  <si>
    <t>Jarak antar tul</t>
  </si>
  <si>
    <t>longitudinal</t>
  </si>
  <si>
    <t>(mm)</t>
  </si>
  <si>
    <t>Cek:</t>
  </si>
  <si>
    <r>
      <t>P</t>
    </r>
    <r>
      <rPr>
        <vertAlign val="subscript"/>
        <sz val="11"/>
        <color theme="1"/>
        <rFont val="Calibri"/>
        <family val="2"/>
        <scheme val="minor"/>
      </rPr>
      <t>u</t>
    </r>
  </si>
  <si>
    <t>Kesimpulan:</t>
  </si>
  <si>
    <r>
      <t>0,3 * 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* 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</t>
    </r>
  </si>
  <si>
    <r>
      <t>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</t>
    </r>
  </si>
  <si>
    <r>
      <t>Cek nilai h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,</t>
    </r>
  </si>
  <si>
    <r>
      <t>h</t>
    </r>
    <r>
      <rPr>
        <vertAlign val="subscript"/>
        <sz val="11"/>
        <color theme="1"/>
        <rFont val="Calibri"/>
        <family val="2"/>
        <scheme val="minor"/>
      </rPr>
      <t>x</t>
    </r>
  </si>
  <si>
    <r>
      <t>h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</si>
  <si>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t>Spasi terbesar antar tulangan longitudinal yang diikat oleh sengkang pengekang atau ikat silang sengkang,</t>
  </si>
  <si>
    <t>Arah sejajar sb. X
Spasi ke-i</t>
  </si>
  <si>
    <t>Arah sejajar sb. Y
Spasi ke-i</t>
  </si>
  <si>
    <t>(a)</t>
  </si>
  <si>
    <t>(b)</t>
  </si>
  <si>
    <t>Cek jarak tulangan transversal yang digunakan,</t>
  </si>
  <si>
    <t>Desain Tulangan Transversal Kolom SRPMK</t>
  </si>
  <si>
    <t>Panjang daerah sendi plastis diukur dari muka hubungan kolom-balok diambil nilai terbesar dari:</t>
  </si>
  <si>
    <t>Bentang kolom,</t>
  </si>
  <si>
    <t>Diameter tulangan transversal pengekang,</t>
  </si>
  <si>
    <r>
      <t>Desain Tulangan Transversal Kolom SRPMK sepanjang L</t>
    </r>
    <r>
      <rPr>
        <b/>
        <vertAlign val="subscript"/>
        <sz val="11"/>
        <rFont val="Calibri"/>
        <family val="2"/>
        <scheme val="minor"/>
      </rPr>
      <t>o</t>
    </r>
  </si>
  <si>
    <t>Spasi bersih tul. Longitudinal yang tidak ditumpu ke tul. yang ditumpu,</t>
  </si>
  <si>
    <r>
      <t>s</t>
    </r>
    <r>
      <rPr>
        <vertAlign val="subscript"/>
        <sz val="11"/>
        <color theme="1"/>
        <rFont val="Calibri"/>
        <family val="2"/>
        <scheme val="minor"/>
      </rPr>
      <t>longitudinal</t>
    </r>
    <r>
      <rPr>
        <sz val="11"/>
        <color theme="1"/>
        <rFont val="Calibri"/>
        <family val="2"/>
        <scheme val="minor"/>
      </rPr>
      <t xml:space="preserve"> =</t>
    </r>
  </si>
  <si>
    <t>Faktor kekuatan beton,</t>
  </si>
  <si>
    <r>
      <t>k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</si>
  <si>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</si>
  <si>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r>
      <t>P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</si>
  <si>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Jumlah tulangan transversal yang digunakan</t>
  </si>
  <si>
    <r>
      <t>nl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</si>
  <si>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r>
      <t>nl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</si>
  <si>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nt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</t>
    </r>
  </si>
  <si>
    <r>
      <t>nt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</si>
  <si>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t>Luas total tulangan transversal yang digunakan,</t>
  </si>
  <si>
    <t>Jumlah tul. longitudinal yg ditumpu oleh sudut sengkang persegi atau ikat sengkang,</t>
  </si>
  <si>
    <r>
      <t>Cek nilai A</t>
    </r>
    <r>
      <rPr>
        <vertAlign val="subscript"/>
        <sz val="11"/>
        <color theme="1"/>
        <rFont val="Calibri"/>
        <family val="2"/>
        <scheme val="minor"/>
      </rPr>
      <t xml:space="preserve">s </t>
    </r>
    <r>
      <rPr>
        <sz val="11"/>
        <color theme="1"/>
        <rFont val="Calibri"/>
        <family val="2"/>
        <scheme val="minor"/>
      </rPr>
      <t>pakai,</t>
    </r>
  </si>
  <si>
    <t>≥</t>
  </si>
  <si>
    <r>
      <t>(dalam 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</si>
  <si>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Desain Tulangan Transversal Kolom SRPMK diluar panjang L</t>
    </r>
    <r>
      <rPr>
        <b/>
        <vertAlign val="subscript"/>
        <sz val="11"/>
        <rFont val="Calibri"/>
        <family val="2"/>
        <scheme val="minor"/>
      </rPr>
      <t>o</t>
    </r>
  </si>
  <si>
    <t>Desain Tulangan Geser Kolom SRPMK</t>
  </si>
  <si>
    <r>
      <t>Gaya geser berdasarkan kekuatan lentur maksimum M</t>
    </r>
    <r>
      <rPr>
        <vertAlign val="subscript"/>
        <sz val="11"/>
        <rFont val="Calibri"/>
        <family val="2"/>
        <scheme val="minor"/>
      </rPr>
      <t>pr</t>
    </r>
    <r>
      <rPr>
        <sz val="11"/>
        <rFont val="Calibri"/>
        <family val="2"/>
        <scheme val="minor"/>
      </rPr>
      <t>,</t>
    </r>
  </si>
  <si>
    <r>
      <t>L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=</t>
    </r>
  </si>
  <si>
    <t>Gaya geser terfaktor berdasarkan hasil analisis struktur,</t>
  </si>
  <si>
    <t>Gaya geser desain yang digunakan,</t>
  </si>
  <si>
    <r>
      <t>Cek apakah perlu mengasumsikan 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 0 untuk perhitungan kebutuhan tulangan geser,</t>
    </r>
  </si>
  <si>
    <r>
      <t>V</t>
    </r>
    <r>
      <rPr>
        <vertAlign val="subscript"/>
        <sz val="11"/>
        <color theme="1"/>
        <rFont val="Calibri"/>
        <family val="2"/>
        <scheme val="minor"/>
      </rPr>
      <t>e</t>
    </r>
  </si>
  <si>
    <t>Cek keperluan tulangan geser,</t>
  </si>
  <si>
    <t>(dalam satuan kN)</t>
  </si>
  <si>
    <r>
      <t>ϕV</t>
    </r>
    <r>
      <rPr>
        <vertAlign val="subscript"/>
        <sz val="11"/>
        <color theme="1"/>
        <rFont val="Calibri"/>
        <family val="2"/>
        <scheme val="minor"/>
      </rPr>
      <t>c</t>
    </r>
  </si>
  <si>
    <t>Luas tulangan geser perlu,</t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</si>
  <si>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</si>
  <si>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</si>
  <si>
    <r>
      <t>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* fc' /20</t>
    </r>
  </si>
  <si>
    <r>
      <t>Tulangan transversal sepanjang L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harus didesain untuk menahan geser.</t>
    </r>
  </si>
  <si>
    <r>
      <t>V</t>
    </r>
    <r>
      <rPr>
        <vertAlign val="subscript"/>
        <sz val="11"/>
        <rFont val="Calibri"/>
        <family val="2"/>
        <scheme val="minor"/>
      </rPr>
      <t>u ETABS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</si>
  <si>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V</t>
    </r>
    <r>
      <rPr>
        <vertAlign val="sub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=</t>
    </r>
  </si>
  <si>
    <r>
      <t>0,5 * V</t>
    </r>
    <r>
      <rPr>
        <vertAlign val="subscript"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scheme val="minor"/>
      </rPr>
      <t xml:space="preserve"> </t>
    </r>
    <r>
      <rPr>
        <vertAlign val="subscript"/>
        <sz val="11"/>
        <color theme="1"/>
        <rFont val="Calibri"/>
        <family val="2"/>
        <scheme val="minor"/>
      </rPr>
      <t>ETABS</t>
    </r>
  </si>
  <si>
    <r>
      <t>(dalam satuan 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</si>
  <si>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Kuat geser tulangan,</t>
  </si>
  <si>
    <t>Kuat geser nominal penampang,</t>
  </si>
  <si>
    <r>
      <t>ϕV</t>
    </r>
    <r>
      <rPr>
        <vertAlign val="subscript"/>
        <sz val="11"/>
        <color theme="1"/>
        <rFont val="Calibri"/>
        <family val="2"/>
        <scheme val="minor"/>
      </rPr>
      <t>n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</si>
  <si>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</si>
  <si>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1. Spasi bersih tul. Longitudinal yang tidak ditumpu ke yang ditumpu,</t>
  </si>
  <si>
    <t>Input data material kolom</t>
  </si>
  <si>
    <t>Input data dimensi kolom</t>
  </si>
  <si>
    <t>A.3.</t>
  </si>
  <si>
    <t>Input data beban</t>
  </si>
  <si>
    <r>
      <t>Jarak tulangan transversal sepanjang L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,</t>
    </r>
  </si>
  <si>
    <r>
      <t>Jarak tulangan transversal diluar panjang L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,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</si>
  <si>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</si>
  <si>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</si>
  <si>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longitudinal</t>
    </r>
  </si>
  <si>
    <t>Cek spasi tulangan</t>
  </si>
  <si>
    <r>
      <t>2. Syarat spasi terbesar antar tulangan longitudinal yang diikat oleh sengkang pengekang atau ikat silang sengkang, h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:</t>
    </r>
  </si>
  <si>
    <t>Luas tulangan transversal pakai,</t>
  </si>
  <si>
    <r>
      <t>A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</si>
  <si>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t>Jumlah tulangan transveral perlu,</t>
  </si>
  <si>
    <r>
      <t>Digunakan tulangan transversal arah x (tegak lurus dimensi b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),</t>
    </r>
  </si>
  <si>
    <r>
      <t>Digunakan tulangan transversal arah y (tegak lurus dimensi h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),</t>
    </r>
  </si>
  <si>
    <r>
      <t>N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P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</si>
  <si>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>Momen lentur akibat kombinasi beban terfaktor,</t>
  </si>
  <si>
    <t>Gaya aksial tekan akibat kombinasi beban terfaktor,</t>
  </si>
  <si>
    <r>
      <t>b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 xml:space="preserve"> = W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</si>
  <si>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h = L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</si>
  <si>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</si>
  <si>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t>Kekuatan momen lentur maksimum bagian atas kolom,</t>
  </si>
  <si>
    <t>Kekuatan momen lentur maksimum bagian bawah kolom,</t>
  </si>
  <si>
    <r>
      <t>DF</t>
    </r>
    <r>
      <rPr>
        <vertAlign val="subscript"/>
        <sz val="11"/>
        <rFont val="Calibri"/>
        <family val="2"/>
        <scheme val="minor"/>
      </rPr>
      <t>top</t>
    </r>
    <r>
      <rPr>
        <sz val="11"/>
        <rFont val="Calibri"/>
        <family val="2"/>
        <scheme val="minor"/>
      </rPr>
      <t xml:space="preserve"> = DF</t>
    </r>
    <r>
      <rPr>
        <vertAlign val="subscript"/>
        <sz val="11"/>
        <rFont val="Calibri"/>
        <family val="2"/>
        <scheme val="minor"/>
      </rPr>
      <t>bot</t>
    </r>
    <r>
      <rPr>
        <sz val="11"/>
        <rFont val="Calibri"/>
        <family val="2"/>
        <scheme val="minor"/>
      </rPr>
      <t xml:space="preserve"> =</t>
    </r>
  </si>
  <si>
    <t>Faktor distribusi momen di bagian atas dan bawah kolom,</t>
  </si>
  <si>
    <r>
      <t>L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</si>
  <si>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pr-top</t>
    </r>
    <r>
      <rPr>
        <sz val="11"/>
        <color theme="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</si>
  <si>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color theme="1"/>
        <rFont val="Calibri"/>
        <family val="2"/>
        <scheme val="minor"/>
      </rPr>
      <t>pr-bot</t>
    </r>
    <r>
      <rPr>
        <sz val="11"/>
        <color theme="1"/>
        <rFont val="Calibri"/>
        <family val="2"/>
        <scheme val="minor"/>
      </rPr>
      <t xml:space="preserve"> =</t>
    </r>
  </si>
  <si>
    <r>
      <t>Digunakan tulangan transversal arah x (tegak lurus dimensi b</t>
    </r>
    <r>
      <rPr>
        <vertAlign val="subscript"/>
        <sz val="11"/>
        <rFont val="Calibri"/>
        <family val="2"/>
        <scheme val="minor"/>
      </rPr>
      <t>c1</t>
    </r>
    <r>
      <rPr>
        <sz val="11"/>
        <rFont val="Calibri"/>
        <family val="2"/>
        <scheme val="minor"/>
      </rPr>
      <t>),</t>
    </r>
  </si>
  <si>
    <r>
      <t>Digunakan tulangan transversal arah y (tegak lurus dimensi b</t>
    </r>
    <r>
      <rPr>
        <vertAlign val="subscript"/>
        <sz val="11"/>
        <rFont val="Calibri"/>
        <family val="2"/>
        <scheme val="minor"/>
      </rPr>
      <t>c2</t>
    </r>
    <r>
      <rPr>
        <sz val="11"/>
        <rFont val="Calibri"/>
        <family val="2"/>
        <scheme val="minor"/>
      </rPr>
      <t>),</t>
    </r>
  </si>
  <si>
    <t>DESAIN PENULANGAN GESER KOLOM SRPMK</t>
  </si>
  <si>
    <t>Cek jumlah tulangan pakai,</t>
  </si>
  <si>
    <r>
      <t>Jumlah tulangan transveral pakai arah tegak lurus dimensi b</t>
    </r>
    <r>
      <rPr>
        <vertAlign val="subscript"/>
        <sz val="11"/>
        <rFont val="Calibri"/>
        <family val="2"/>
        <scheme val="minor"/>
      </rPr>
      <t>c1</t>
    </r>
    <r>
      <rPr>
        <sz val="11"/>
        <rFont val="Calibri"/>
        <family val="2"/>
        <scheme val="minor"/>
      </rPr>
      <t>,</t>
    </r>
  </si>
  <si>
    <r>
      <t>nt</t>
    </r>
    <r>
      <rPr>
        <vertAlign val="subscript"/>
        <sz val="11"/>
        <color theme="1"/>
        <rFont val="Calibri"/>
        <family val="2"/>
        <scheme val="minor"/>
      </rPr>
      <t>x</t>
    </r>
  </si>
  <si>
    <r>
      <t>Jumlah tulangan transveral pakai arah tegak lurus dimensi b</t>
    </r>
    <r>
      <rPr>
        <vertAlign val="subscript"/>
        <sz val="11"/>
        <rFont val="Calibri"/>
        <family val="2"/>
        <scheme val="minor"/>
      </rPr>
      <t>c2</t>
    </r>
    <r>
      <rPr>
        <sz val="11"/>
        <rFont val="Calibri"/>
        <family val="2"/>
        <scheme val="minor"/>
      </rPr>
      <t>,</t>
    </r>
  </si>
  <si>
    <r>
      <t>nt</t>
    </r>
    <r>
      <rPr>
        <vertAlign val="subscript"/>
        <sz val="11"/>
        <color theme="1"/>
        <rFont val="Calibri"/>
        <family val="2"/>
        <scheme val="minor"/>
      </rPr>
      <t>y</t>
    </r>
  </si>
  <si>
    <r>
      <t>Perhitungan nilai A</t>
    </r>
    <r>
      <rPr>
        <vertAlign val="subscript"/>
        <sz val="11"/>
        <rFont val="Calibri"/>
        <family val="2"/>
        <scheme val="minor"/>
      </rPr>
      <t>sh1</t>
    </r>
    <r>
      <rPr>
        <sz val="11"/>
        <rFont val="Calibri"/>
        <family val="2"/>
        <scheme val="minor"/>
      </rPr>
      <t>/sb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,</t>
    </r>
  </si>
  <si>
    <r>
      <t>A</t>
    </r>
    <r>
      <rPr>
        <vertAlign val="subscript"/>
        <sz val="11"/>
        <color theme="1"/>
        <rFont val="Calibri"/>
        <family val="2"/>
        <scheme val="minor"/>
      </rPr>
      <t>sh1</t>
    </r>
    <r>
      <rPr>
        <sz val="11"/>
        <color theme="1"/>
        <rFont val="Calibri"/>
        <family val="2"/>
        <scheme val="minor"/>
      </rPr>
      <t>/sb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</si>
  <si>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</si>
  <si>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t>A</t>
    </r>
    <r>
      <rPr>
        <vertAlign val="subscript"/>
        <sz val="11"/>
        <color theme="1"/>
        <rFont val="Calibri"/>
        <family val="2"/>
        <scheme val="minor"/>
      </rPr>
      <t>sh1</t>
    </r>
  </si>
  <si>
    <r>
      <t>n</t>
    </r>
    <r>
      <rPr>
        <vertAlign val="subscript"/>
        <sz val="11"/>
        <color theme="1"/>
        <rFont val="Calibri"/>
        <family val="2"/>
        <scheme val="minor"/>
      </rPr>
      <t>tx</t>
    </r>
    <r>
      <rPr>
        <sz val="11"/>
        <color theme="1"/>
        <rFont val="Calibri"/>
        <family val="2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sx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</si>
  <si>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</si>
  <si>
    <r>
      <t>nt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* A</t>
    </r>
    <r>
      <rPr>
        <vertAlign val="subscript"/>
        <sz val="11"/>
        <color theme="1"/>
        <rFont val="Calibri"/>
        <family val="2"/>
        <scheme val="minor"/>
      </rPr>
      <t>Sy</t>
    </r>
  </si>
  <si>
    <r>
      <t>A</t>
    </r>
    <r>
      <rPr>
        <vertAlign val="subscript"/>
        <sz val="11"/>
        <color theme="1"/>
        <rFont val="Calibri"/>
        <family val="2"/>
        <scheme val="minor"/>
      </rPr>
      <t>sh2</t>
    </r>
  </si>
  <si>
    <r>
      <t>s</t>
    </r>
    <r>
      <rPr>
        <vertAlign val="subscript"/>
        <sz val="11"/>
        <rFont val="Calibri"/>
        <family val="2"/>
      </rPr>
      <t>1</t>
    </r>
  </si>
  <si>
    <r>
      <t>s</t>
    </r>
    <r>
      <rPr>
        <vertAlign val="subscript"/>
        <sz val="11"/>
        <rFont val="Calibri"/>
        <family val="2"/>
      </rPr>
      <t>2</t>
    </r>
  </si>
  <si>
    <t>Cek jarak tulangan transversal yang digunakan sepanjang Lo,</t>
  </si>
  <si>
    <r>
      <t xml:space="preserve">      L</t>
    </r>
    <r>
      <rPr>
        <vertAlign val="sub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</si>
  <si>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</si>
  <si>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</si>
  <si>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sway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</si>
  <si>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s longitudinal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</si>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</sst>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vertAlign val="subscript"/>
      <sz val="11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/>
      <bottom/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8" fillId="0" borderId="0" xfId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10" fillId="6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2" fillId="8" borderId="0" xfId="1" applyFont="1" applyFill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vertical="center"/>
    </xf>
    <xf numFmtId="0" fontId="6" fillId="9" borderId="6" xfId="0" applyFont="1" applyFill="1" applyBorder="1" applyAlignment="1">
      <alignment vertical="center"/>
    </xf>
    <xf numFmtId="0" fontId="8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9" borderId="10" xfId="0" applyFont="1" applyFill="1" applyBorder="1" applyAlignment="1">
      <alignment vertical="center"/>
    </xf>
    <xf numFmtId="0" fontId="8" fillId="7" borderId="11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0" fontId="8" fillId="7" borderId="0" xfId="0" applyFont="1" applyFill="1" applyAlignment="1">
      <alignment vertical="center"/>
    </xf>
    <xf numFmtId="0" fontId="0" fillId="0" borderId="0" xfId="0" applyAlignment="1">
      <alignment horizontal="right" vertical="center" indent="2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left" vertical="center" indent="1"/>
    </xf>
    <xf numFmtId="165" fontId="4" fillId="0" borderId="15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2" fontId="4" fillId="0" borderId="15" xfId="1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4" fillId="0" borderId="0" xfId="1" applyNumberFormat="1" applyFont="1" applyAlignment="1">
      <alignment horizontal="center" vertical="center"/>
    </xf>
    <xf numFmtId="0" fontId="4" fillId="0" borderId="11" xfId="0" applyFont="1" applyBorder="1" applyAlignment="1">
      <alignment horizontal="left" vertical="center" indent="2"/>
    </xf>
    <xf numFmtId="0" fontId="8" fillId="0" borderId="11" xfId="0" applyFont="1" applyBorder="1" applyAlignment="1">
      <alignment vertical="center"/>
    </xf>
    <xf numFmtId="164" fontId="4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 indent="4"/>
    </xf>
    <xf numFmtId="0" fontId="6" fillId="0" borderId="0" xfId="0" applyFont="1" applyAlignment="1">
      <alignment horizontal="left" vertical="center" indent="4"/>
    </xf>
    <xf numFmtId="166" fontId="4" fillId="0" borderId="15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 indent="2"/>
    </xf>
    <xf numFmtId="0" fontId="0" fillId="0" borderId="8" xfId="0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1" fontId="6" fillId="4" borderId="1" xfId="0" applyNumberFormat="1" applyFont="1" applyFill="1" applyBorder="1" applyAlignment="1">
      <alignment vertical="center"/>
    </xf>
    <xf numFmtId="1" fontId="6" fillId="4" borderId="3" xfId="0" applyNumberFormat="1" applyFont="1" applyFill="1" applyBorder="1" applyAlignment="1">
      <alignment horizontal="left" vertical="center"/>
    </xf>
    <xf numFmtId="11" fontId="4" fillId="0" borderId="15" xfId="1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11" fontId="6" fillId="2" borderId="1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8" borderId="0" xfId="1" applyFont="1" applyFill="1" applyAlignment="1">
      <alignment horizontal="center"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FE56B85-8189-4540-99D1-DED7780276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54430</xdr:colOff>
      <xdr:row>78</xdr:row>
      <xdr:rowOff>100696</xdr:rowOff>
    </xdr:from>
    <xdr:to>
      <xdr:col>6</xdr:col>
      <xdr:colOff>381000</xdr:colOff>
      <xdr:row>97</xdr:row>
      <xdr:rowOff>88593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C7D0F1-5376-A498-9D4E-37B974A27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2287" y="5044625"/>
          <a:ext cx="3020784" cy="4469182"/>
        </a:xfrm>
        <a:prstGeom prst="rect">
          <a:avLst/>
        </a:prstGeom>
      </xdr:spPr>
    </xdr:pic>
    <xdr:clientData/>
  </xdr:twoCellAnchor>
  <xdr:twoCellAnchor editAs="oneCell">
    <xdr:from>
      <xdr:col>1</xdr:col>
      <xdr:colOff>103522</xdr:colOff>
      <xdr:row>14</xdr:row>
      <xdr:rowOff>122731</xdr:rowOff>
    </xdr:from>
    <xdr:to>
      <xdr:col>4</xdr:col>
      <xdr:colOff>712507</xdr:colOff>
      <xdr:row>26</xdr:row>
      <xdr:rowOff>48719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1CD59F-E761-4C8D-A3B0-0A7B7D2ED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0440"/>
        <a:stretch/>
      </xdr:blipFill>
      <xdr:spPr>
        <a:xfrm>
          <a:off x="503572" y="3412031"/>
          <a:ext cx="3295035" cy="2745388"/>
        </a:xfrm>
        <a:prstGeom prst="rect">
          <a:avLst/>
        </a:prstGeom>
      </xdr:spPr>
    </xdr:pic>
    <xdr:clientData/>
  </xdr:twoCellAnchor>
  <xdr:twoCellAnchor editAs="oneCell">
    <xdr:from>
      <xdr:col>4</xdr:col>
      <xdr:colOff>717550</xdr:colOff>
      <xdr:row>15</xdr:row>
      <xdr:rowOff>12389</xdr:rowOff>
    </xdr:from>
    <xdr:to>
      <xdr:col>8</xdr:col>
      <xdr:colOff>365527</xdr:colOff>
      <xdr:row>25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90686C-7700-488F-B062-322E6C9155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185"/>
        <a:stretch/>
      </xdr:blipFill>
      <xdr:spPr>
        <a:xfrm>
          <a:off x="3803650" y="3536639"/>
          <a:ext cx="3229377" cy="243871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6827A-2CCB-42C9-B552-21AA0B14AE46}">
  <sheetPr>
    <tabColor theme="7" tint="0.79998168889431442"/>
  </sheetPr>
  <dimension ref="A1:J218"/>
  <sheetViews>
    <sheetView showGridLines="0" tabSelected="1" topLeftCell="A99" zoomScaleNormal="100" workbookViewId="0">
      <selection activeCell="G107" sqref="G107"/>
    </sheetView>
  </sheetViews>
  <sheetFormatPr defaultColWidth="9.1796875" defaultRowHeight="18.75" customHeight="1" x14ac:dyDescent="0.35"/>
  <cols>
    <col min="1" max="1" width="6.7265625" style="1" customWidth="1"/>
    <col min="2" max="8" width="12.81640625" style="1" customWidth="1"/>
    <col min="9" max="9" width="10.7265625" style="4" customWidth="1"/>
    <col min="10" max="16384" width="9.1796875" style="1"/>
  </cols>
  <sheetData>
    <row r="1" spans="1:10" ht="18.75" customHeight="1" x14ac:dyDescent="0.35">
      <c r="A1" s="11" t="s">
        <v>26</v>
      </c>
      <c r="B1" s="81" t="s">
        <v>27</v>
      </c>
      <c r="C1" s="81"/>
      <c r="D1" s="81"/>
      <c r="E1" s="81"/>
      <c r="F1" s="81"/>
      <c r="G1" s="11" t="s">
        <v>28</v>
      </c>
      <c r="H1" s="11" t="s">
        <v>29</v>
      </c>
      <c r="I1" s="11" t="s">
        <v>30</v>
      </c>
    </row>
    <row r="2" spans="1:10" ht="18.75" customHeight="1" x14ac:dyDescent="0.35">
      <c r="A2" s="12" t="s">
        <v>24</v>
      </c>
      <c r="B2" s="13" t="s">
        <v>31</v>
      </c>
      <c r="C2" s="13"/>
      <c r="D2" s="13"/>
      <c r="E2" s="13"/>
      <c r="F2" s="13"/>
      <c r="G2" s="13"/>
      <c r="H2" s="13"/>
      <c r="I2" s="14"/>
      <c r="J2" s="10"/>
    </row>
    <row r="3" spans="1:10" ht="18.75" customHeight="1" x14ac:dyDescent="0.35">
      <c r="A3" s="15" t="s">
        <v>25</v>
      </c>
      <c r="B3" s="31" t="s">
        <v>127</v>
      </c>
      <c r="C3" s="22"/>
      <c r="D3" s="22"/>
      <c r="E3" s="22"/>
      <c r="F3" s="22"/>
      <c r="G3" s="22"/>
      <c r="H3" s="22"/>
      <c r="I3" s="16"/>
      <c r="J3" s="17"/>
    </row>
    <row r="4" spans="1:10" ht="18.75" customHeight="1" x14ac:dyDescent="0.35">
      <c r="A4" s="18"/>
      <c r="B4" s="1" t="s">
        <v>10</v>
      </c>
      <c r="G4" s="2" t="s">
        <v>7</v>
      </c>
      <c r="H4" s="75">
        <v>35</v>
      </c>
      <c r="I4" s="24" t="s">
        <v>0</v>
      </c>
      <c r="J4" s="4"/>
    </row>
    <row r="5" spans="1:10" ht="18.75" customHeight="1" x14ac:dyDescent="0.35">
      <c r="A5" s="18"/>
      <c r="B5" s="1" t="s">
        <v>11</v>
      </c>
      <c r="G5" s="2" t="s">
        <v>63</v>
      </c>
      <c r="H5" s="75">
        <v>420</v>
      </c>
      <c r="I5" s="24" t="s">
        <v>0</v>
      </c>
      <c r="J5" s="4"/>
    </row>
    <row r="6" spans="1:10" ht="18.75" customHeight="1" x14ac:dyDescent="0.35">
      <c r="A6" s="18"/>
      <c r="B6" s="1" t="s">
        <v>12</v>
      </c>
      <c r="G6" s="2" t="s">
        <v>62</v>
      </c>
      <c r="H6" s="75">
        <v>420</v>
      </c>
      <c r="I6" s="24" t="s">
        <v>0</v>
      </c>
      <c r="J6" s="4"/>
    </row>
    <row r="7" spans="1:10" ht="18.75" customHeight="1" x14ac:dyDescent="0.35">
      <c r="A7" s="18"/>
      <c r="B7" s="1" t="s">
        <v>13</v>
      </c>
      <c r="G7" s="2" t="s">
        <v>14</v>
      </c>
      <c r="H7" s="75">
        <v>200000</v>
      </c>
      <c r="I7" s="24" t="s">
        <v>0</v>
      </c>
      <c r="J7" s="4"/>
    </row>
    <row r="8" spans="1:10" ht="18.75" customHeight="1" x14ac:dyDescent="0.35">
      <c r="A8" s="18"/>
      <c r="G8" s="2"/>
      <c r="H8" s="3"/>
      <c r="I8" s="24"/>
      <c r="J8" s="4"/>
    </row>
    <row r="9" spans="1:10" ht="18.75" customHeight="1" x14ac:dyDescent="0.35">
      <c r="A9" s="15" t="s">
        <v>32</v>
      </c>
      <c r="B9" s="31" t="s">
        <v>128</v>
      </c>
      <c r="C9" s="22"/>
      <c r="D9" s="22"/>
      <c r="E9" s="22"/>
      <c r="F9" s="22"/>
      <c r="G9" s="22"/>
      <c r="H9" s="22"/>
      <c r="I9" s="16"/>
      <c r="J9" s="17"/>
    </row>
    <row r="10" spans="1:10" ht="18.75" customHeight="1" x14ac:dyDescent="0.35">
      <c r="A10" s="18"/>
      <c r="B10" s="1" t="s">
        <v>42</v>
      </c>
      <c r="F10" s="2"/>
      <c r="G10" s="2" t="s">
        <v>5</v>
      </c>
      <c r="H10" s="75">
        <v>300</v>
      </c>
      <c r="I10" s="24" t="s">
        <v>4</v>
      </c>
    </row>
    <row r="11" spans="1:10" ht="18.75" customHeight="1" x14ac:dyDescent="0.35">
      <c r="A11" s="18"/>
      <c r="B11" s="1" t="s">
        <v>41</v>
      </c>
      <c r="F11" s="2"/>
      <c r="G11" s="2" t="s">
        <v>6</v>
      </c>
      <c r="H11" s="75">
        <v>600</v>
      </c>
      <c r="I11" s="24" t="s">
        <v>4</v>
      </c>
    </row>
    <row r="12" spans="1:10" ht="18.75" customHeight="1" x14ac:dyDescent="0.35">
      <c r="A12" s="18"/>
      <c r="B12" s="1" t="s">
        <v>8</v>
      </c>
      <c r="G12" s="2" t="s">
        <v>9</v>
      </c>
      <c r="H12" s="75">
        <v>40</v>
      </c>
      <c r="I12" s="24" t="s">
        <v>4</v>
      </c>
    </row>
    <row r="13" spans="1:10" ht="18.75" customHeight="1" x14ac:dyDescent="0.35">
      <c r="A13" s="18"/>
      <c r="B13" s="1" t="s">
        <v>83</v>
      </c>
      <c r="G13" s="2" t="s">
        <v>105</v>
      </c>
      <c r="H13" s="75">
        <v>4000</v>
      </c>
      <c r="I13" s="24" t="s">
        <v>4</v>
      </c>
    </row>
    <row r="14" spans="1:10" ht="18.75" customHeight="1" x14ac:dyDescent="0.35">
      <c r="A14" s="18"/>
      <c r="B14" s="1" t="s">
        <v>58</v>
      </c>
      <c r="G14" s="2" t="s">
        <v>59</v>
      </c>
      <c r="H14" s="75">
        <v>40</v>
      </c>
      <c r="I14" s="24" t="s">
        <v>4</v>
      </c>
    </row>
    <row r="15" spans="1:10" ht="18.75" customHeight="1" x14ac:dyDescent="0.35">
      <c r="A15" s="18"/>
      <c r="G15" s="2"/>
      <c r="H15" s="3"/>
      <c r="I15" s="24"/>
      <c r="J15" s="4"/>
    </row>
    <row r="16" spans="1:10" ht="18.75" customHeight="1" x14ac:dyDescent="0.35">
      <c r="A16" s="18"/>
      <c r="G16" s="2"/>
      <c r="H16" s="3"/>
      <c r="I16" s="24"/>
      <c r="J16" s="4"/>
    </row>
    <row r="17" spans="1:10" ht="18.75" customHeight="1" x14ac:dyDescent="0.35">
      <c r="A17" s="18"/>
      <c r="G17" s="2"/>
      <c r="H17" s="3"/>
      <c r="I17" s="24"/>
      <c r="J17" s="4"/>
    </row>
    <row r="18" spans="1:10" ht="18.75" customHeight="1" x14ac:dyDescent="0.35">
      <c r="A18" s="18"/>
      <c r="G18" s="2"/>
      <c r="H18" s="3"/>
      <c r="I18" s="24"/>
      <c r="J18" s="4"/>
    </row>
    <row r="19" spans="1:10" ht="18.75" customHeight="1" x14ac:dyDescent="0.35">
      <c r="A19" s="18"/>
      <c r="G19" s="2"/>
      <c r="H19" s="3"/>
      <c r="I19" s="24"/>
      <c r="J19" s="4"/>
    </row>
    <row r="20" spans="1:10" ht="18.75" customHeight="1" x14ac:dyDescent="0.35">
      <c r="A20" s="18"/>
      <c r="G20" s="2"/>
      <c r="H20" s="3"/>
      <c r="I20" s="24"/>
      <c r="J20" s="4"/>
    </row>
    <row r="21" spans="1:10" ht="18.75" customHeight="1" x14ac:dyDescent="0.35">
      <c r="A21" s="18"/>
      <c r="G21" s="2"/>
      <c r="H21" s="3"/>
      <c r="I21" s="24"/>
      <c r="J21" s="4"/>
    </row>
    <row r="22" spans="1:10" ht="18.75" customHeight="1" x14ac:dyDescent="0.35">
      <c r="A22" s="18"/>
      <c r="G22" s="2"/>
      <c r="H22" s="3"/>
      <c r="I22" s="24"/>
      <c r="J22" s="4"/>
    </row>
    <row r="23" spans="1:10" ht="18.75" customHeight="1" x14ac:dyDescent="0.35">
      <c r="A23" s="18"/>
      <c r="G23" s="2"/>
      <c r="H23" s="3"/>
      <c r="I23" s="24"/>
      <c r="J23" s="4"/>
    </row>
    <row r="24" spans="1:10" ht="18.75" customHeight="1" x14ac:dyDescent="0.35">
      <c r="A24" s="18"/>
      <c r="G24" s="2"/>
      <c r="H24" s="3"/>
      <c r="I24" s="24"/>
      <c r="J24" s="4"/>
    </row>
    <row r="25" spans="1:10" ht="18.75" customHeight="1" x14ac:dyDescent="0.35">
      <c r="A25" s="18"/>
      <c r="G25" s="2"/>
      <c r="H25" s="3"/>
      <c r="I25" s="24"/>
      <c r="J25" s="4"/>
    </row>
    <row r="26" spans="1:10" ht="18.75" customHeight="1" x14ac:dyDescent="0.35">
      <c r="A26" s="18"/>
      <c r="G26" s="2"/>
      <c r="H26" s="3"/>
      <c r="I26" s="24"/>
      <c r="J26" s="4"/>
    </row>
    <row r="27" spans="1:10" ht="18.75" customHeight="1" x14ac:dyDescent="0.35">
      <c r="A27" s="18"/>
      <c r="G27" s="2"/>
      <c r="H27" s="3"/>
      <c r="I27" s="24"/>
      <c r="J27" s="4"/>
    </row>
    <row r="28" spans="1:10" ht="18.75" customHeight="1" x14ac:dyDescent="0.35">
      <c r="A28" s="18"/>
      <c r="B28" s="1" t="s">
        <v>2</v>
      </c>
      <c r="G28" s="2" t="s">
        <v>3</v>
      </c>
      <c r="H28" s="75">
        <v>22</v>
      </c>
      <c r="I28" s="24" t="s">
        <v>4</v>
      </c>
      <c r="J28" s="4"/>
    </row>
    <row r="29" spans="1:10" ht="18.75" customHeight="1" x14ac:dyDescent="0.35">
      <c r="A29" s="18"/>
      <c r="B29" s="1" t="s">
        <v>1</v>
      </c>
      <c r="E29" s="1" t="s">
        <v>15</v>
      </c>
      <c r="G29" s="2" t="s">
        <v>93</v>
      </c>
      <c r="H29" s="75">
        <v>7</v>
      </c>
      <c r="I29" s="24"/>
      <c r="J29" s="4"/>
    </row>
    <row r="30" spans="1:10" ht="18.75" customHeight="1" x14ac:dyDescent="0.35">
      <c r="A30" s="18"/>
      <c r="E30" s="1" t="s">
        <v>16</v>
      </c>
      <c r="G30" s="2" t="s">
        <v>94</v>
      </c>
      <c r="H30" s="75">
        <v>3</v>
      </c>
      <c r="I30" s="24"/>
      <c r="J30" s="4"/>
    </row>
    <row r="31" spans="1:10" ht="18.75" customHeight="1" x14ac:dyDescent="0.35">
      <c r="A31" s="18"/>
      <c r="G31" s="2"/>
      <c r="H31" s="2"/>
      <c r="I31" s="24"/>
      <c r="J31" s="4"/>
    </row>
    <row r="32" spans="1:10" ht="18.75" customHeight="1" x14ac:dyDescent="0.35">
      <c r="A32" s="18"/>
      <c r="B32" s="82" t="s">
        <v>76</v>
      </c>
      <c r="C32" s="50" t="s">
        <v>64</v>
      </c>
      <c r="D32" s="82" t="s">
        <v>77</v>
      </c>
      <c r="E32" s="50" t="s">
        <v>64</v>
      </c>
      <c r="G32" s="2"/>
      <c r="H32" s="2"/>
      <c r="I32" s="24"/>
      <c r="J32" s="4"/>
    </row>
    <row r="33" spans="1:10" ht="18.75" customHeight="1" x14ac:dyDescent="0.35">
      <c r="A33" s="18"/>
      <c r="B33" s="83"/>
      <c r="C33" s="9" t="s">
        <v>65</v>
      </c>
      <c r="D33" s="83"/>
      <c r="E33" s="9" t="s">
        <v>65</v>
      </c>
      <c r="G33" s="2"/>
      <c r="H33" s="2"/>
      <c r="I33" s="24"/>
      <c r="J33" s="4"/>
    </row>
    <row r="34" spans="1:10" ht="18.75" customHeight="1" x14ac:dyDescent="0.35">
      <c r="A34" s="18"/>
      <c r="B34" s="84"/>
      <c r="C34" s="51" t="s">
        <v>66</v>
      </c>
      <c r="D34" s="84"/>
      <c r="E34" s="51" t="s">
        <v>66</v>
      </c>
      <c r="G34" s="2"/>
      <c r="H34" s="2"/>
      <c r="I34" s="24"/>
      <c r="J34" s="4"/>
    </row>
    <row r="35" spans="1:10" ht="18.75" customHeight="1" x14ac:dyDescent="0.35">
      <c r="A35" s="70">
        <v>1</v>
      </c>
      <c r="B35" s="52">
        <v>1</v>
      </c>
      <c r="C35" s="53">
        <f>IF(B35="","",($H$11-$H$12-$H$12-$H$28-2*$H$45)/($H$29-1))</f>
        <v>78.666666666666671</v>
      </c>
      <c r="D35" s="52">
        <v>1</v>
      </c>
      <c r="E35" s="53">
        <f>IF(D35="","",($H$10-$H$12-$H$12-$H$28-2*$H$45)/($H$30-1))</f>
        <v>86</v>
      </c>
      <c r="G35" s="2"/>
      <c r="H35" s="2"/>
      <c r="I35" s="24"/>
      <c r="J35" s="4"/>
    </row>
    <row r="36" spans="1:10" ht="18.75" customHeight="1" x14ac:dyDescent="0.35">
      <c r="A36" s="70">
        <v>2</v>
      </c>
      <c r="B36" s="54">
        <f>IF($H$29&lt;=A36,"",B35+1)</f>
        <v>2</v>
      </c>
      <c r="C36" s="53">
        <f t="shared" ref="C36:C40" si="0">IF(B36="","",($H$11-$H$12-$H$12-$H$28-2*$H$45)/($H$29-1))</f>
        <v>78.666666666666671</v>
      </c>
      <c r="D36" s="54">
        <f>IF($H$30&lt;=A36,"",D35+1)</f>
        <v>2</v>
      </c>
      <c r="E36" s="53">
        <f>IF(D36="","",($H$10-$H$12-$H$12-$H$28-2*$H$45)/($H$30-1))</f>
        <v>86</v>
      </c>
      <c r="G36" s="2"/>
      <c r="H36" s="2"/>
      <c r="I36" s="24"/>
      <c r="J36" s="4"/>
    </row>
    <row r="37" spans="1:10" ht="18.75" customHeight="1" x14ac:dyDescent="0.35">
      <c r="A37" s="70">
        <v>3</v>
      </c>
      <c r="B37" s="54">
        <f t="shared" ref="B37:B42" si="1">IF($H$29&lt;=A37,"",B36+1)</f>
        <v>3</v>
      </c>
      <c r="C37" s="53">
        <f t="shared" si="0"/>
        <v>78.666666666666671</v>
      </c>
      <c r="D37" s="54" t="str">
        <f t="shared" ref="D37:D42" si="2">IF($H$30&lt;=A37,"",D36+1)</f>
        <v/>
      </c>
      <c r="E37" s="53" t="str">
        <f t="shared" ref="E37:E42" si="3">IF(D37="","",($H$10-$H$12-$H$12)/($H$30-1))</f>
        <v/>
      </c>
      <c r="G37" s="2"/>
      <c r="H37" s="2"/>
      <c r="I37" s="24"/>
      <c r="J37" s="4"/>
    </row>
    <row r="38" spans="1:10" ht="18.75" customHeight="1" x14ac:dyDescent="0.35">
      <c r="A38" s="70">
        <v>4</v>
      </c>
      <c r="B38" s="54">
        <f t="shared" si="1"/>
        <v>4</v>
      </c>
      <c r="C38" s="53">
        <f t="shared" si="0"/>
        <v>78.666666666666671</v>
      </c>
      <c r="D38" s="54" t="str">
        <f t="shared" si="2"/>
        <v/>
      </c>
      <c r="E38" s="53" t="str">
        <f t="shared" si="3"/>
        <v/>
      </c>
      <c r="G38" s="2"/>
      <c r="H38" s="2"/>
      <c r="I38" s="24"/>
      <c r="J38" s="4"/>
    </row>
    <row r="39" spans="1:10" ht="18.75" customHeight="1" x14ac:dyDescent="0.35">
      <c r="A39" s="70">
        <v>5</v>
      </c>
      <c r="B39" s="54">
        <f t="shared" si="1"/>
        <v>5</v>
      </c>
      <c r="C39" s="53">
        <f t="shared" si="0"/>
        <v>78.666666666666671</v>
      </c>
      <c r="D39" s="54" t="str">
        <f t="shared" si="2"/>
        <v/>
      </c>
      <c r="E39" s="53" t="str">
        <f t="shared" si="3"/>
        <v/>
      </c>
      <c r="G39" s="2"/>
      <c r="H39" s="2"/>
      <c r="I39" s="24"/>
      <c r="J39" s="4"/>
    </row>
    <row r="40" spans="1:10" ht="18.75" customHeight="1" x14ac:dyDescent="0.35">
      <c r="A40" s="70">
        <v>6</v>
      </c>
      <c r="B40" s="54">
        <f t="shared" si="1"/>
        <v>6</v>
      </c>
      <c r="C40" s="53">
        <f t="shared" si="0"/>
        <v>78.666666666666671</v>
      </c>
      <c r="D40" s="54" t="str">
        <f t="shared" si="2"/>
        <v/>
      </c>
      <c r="E40" s="53" t="str">
        <f t="shared" si="3"/>
        <v/>
      </c>
      <c r="G40" s="2"/>
      <c r="H40" s="2"/>
      <c r="I40" s="24"/>
      <c r="J40" s="4"/>
    </row>
    <row r="41" spans="1:10" ht="18.75" customHeight="1" x14ac:dyDescent="0.35">
      <c r="A41" s="70">
        <v>7</v>
      </c>
      <c r="B41" s="54" t="str">
        <f t="shared" si="1"/>
        <v/>
      </c>
      <c r="C41" s="53" t="str">
        <f t="shared" ref="C41:C42" si="4">IF(B41="","",($H$11-$H$12-$H$12)/($H$29-1))</f>
        <v/>
      </c>
      <c r="D41" s="54" t="str">
        <f t="shared" si="2"/>
        <v/>
      </c>
      <c r="E41" s="53" t="str">
        <f t="shared" si="3"/>
        <v/>
      </c>
      <c r="G41" s="2"/>
      <c r="H41" s="2"/>
      <c r="I41" s="24"/>
      <c r="J41" s="4"/>
    </row>
    <row r="42" spans="1:10" ht="18.75" customHeight="1" x14ac:dyDescent="0.35">
      <c r="A42" s="70">
        <v>8</v>
      </c>
      <c r="B42" s="54" t="str">
        <f t="shared" si="1"/>
        <v/>
      </c>
      <c r="C42" s="53" t="str">
        <f t="shared" si="4"/>
        <v/>
      </c>
      <c r="D42" s="54" t="str">
        <f t="shared" si="2"/>
        <v/>
      </c>
      <c r="E42" s="53" t="str">
        <f t="shared" si="3"/>
        <v/>
      </c>
      <c r="G42" s="2"/>
      <c r="H42" s="2"/>
      <c r="I42" s="24"/>
      <c r="J42" s="4"/>
    </row>
    <row r="43" spans="1:10" ht="18.75" customHeight="1" x14ac:dyDescent="0.35">
      <c r="A43" s="18"/>
      <c r="B43" s="58"/>
      <c r="C43" s="59">
        <f>SUM(C35:C42)</f>
        <v>472.00000000000006</v>
      </c>
      <c r="D43" s="58"/>
      <c r="E43" s="57">
        <f>SUM(E30:E42)</f>
        <v>172</v>
      </c>
      <c r="G43" s="2"/>
      <c r="H43" s="2"/>
      <c r="I43" s="24"/>
      <c r="J43" s="4"/>
    </row>
    <row r="44" spans="1:10" ht="18.75" customHeight="1" x14ac:dyDescent="0.35">
      <c r="A44" s="18"/>
      <c r="G44" s="2"/>
      <c r="H44" s="2"/>
      <c r="I44" s="24"/>
      <c r="J44" s="4"/>
    </row>
    <row r="45" spans="1:10" ht="18.75" customHeight="1" x14ac:dyDescent="0.35">
      <c r="A45" s="18"/>
      <c r="B45" s="1" t="s">
        <v>84</v>
      </c>
      <c r="G45" s="2" t="s">
        <v>3</v>
      </c>
      <c r="H45" s="75">
        <v>13</v>
      </c>
      <c r="I45" s="24" t="s">
        <v>4</v>
      </c>
      <c r="J45" s="4"/>
    </row>
    <row r="46" spans="1:10" ht="18.75" customHeight="1" x14ac:dyDescent="0.35">
      <c r="A46" s="18"/>
      <c r="B46" s="1" t="s">
        <v>92</v>
      </c>
      <c r="E46" s="1" t="s">
        <v>15</v>
      </c>
      <c r="G46" s="2" t="s">
        <v>95</v>
      </c>
      <c r="H46" s="75">
        <v>5</v>
      </c>
      <c r="I46" s="24"/>
      <c r="J46" s="4"/>
    </row>
    <row r="47" spans="1:10" ht="18.75" customHeight="1" x14ac:dyDescent="0.35">
      <c r="A47" s="18"/>
      <c r="E47" s="1" t="s">
        <v>16</v>
      </c>
      <c r="G47" s="2" t="s">
        <v>96</v>
      </c>
      <c r="H47" s="75">
        <v>3</v>
      </c>
      <c r="I47" s="24"/>
      <c r="J47" s="4"/>
    </row>
    <row r="48" spans="1:10" ht="18.75" customHeight="1" x14ac:dyDescent="0.35">
      <c r="A48" s="18"/>
      <c r="B48" s="1" t="s">
        <v>86</v>
      </c>
      <c r="G48" s="2" t="s">
        <v>87</v>
      </c>
      <c r="H48" s="76">
        <f>C35</f>
        <v>78.666666666666671</v>
      </c>
      <c r="I48" s="24" t="s">
        <v>4</v>
      </c>
      <c r="J48" s="4"/>
    </row>
    <row r="49" spans="1:10" ht="18.649999999999999" customHeight="1" x14ac:dyDescent="0.35">
      <c r="A49" s="18"/>
      <c r="B49" s="1" t="s">
        <v>75</v>
      </c>
      <c r="I49" s="24"/>
      <c r="J49" s="4"/>
    </row>
    <row r="50" spans="1:10" ht="18.75" customHeight="1" x14ac:dyDescent="0.35">
      <c r="A50" s="18"/>
      <c r="G50" s="2" t="s">
        <v>74</v>
      </c>
      <c r="H50" s="76">
        <f>C35+C36</f>
        <v>157.33333333333334</v>
      </c>
      <c r="I50" s="24" t="s">
        <v>4</v>
      </c>
      <c r="J50" s="4"/>
    </row>
    <row r="51" spans="1:10" ht="18.75" customHeight="1" x14ac:dyDescent="0.35">
      <c r="A51" s="18"/>
      <c r="G51" s="2"/>
      <c r="H51" s="2"/>
      <c r="I51" s="24"/>
      <c r="J51" s="4"/>
    </row>
    <row r="52" spans="1:10" ht="18.75" customHeight="1" x14ac:dyDescent="0.35">
      <c r="A52" s="18"/>
      <c r="B52" s="1" t="s">
        <v>131</v>
      </c>
      <c r="G52" s="2" t="s">
        <v>133</v>
      </c>
      <c r="H52" s="75">
        <v>75</v>
      </c>
      <c r="I52" s="24" t="s">
        <v>4</v>
      </c>
      <c r="J52" s="4"/>
    </row>
    <row r="53" spans="1:10" ht="18.75" customHeight="1" x14ac:dyDescent="0.35">
      <c r="A53" s="18"/>
      <c r="B53" s="1" t="s">
        <v>132</v>
      </c>
      <c r="G53" s="2" t="s">
        <v>134</v>
      </c>
      <c r="H53" s="75">
        <v>120</v>
      </c>
      <c r="I53" s="24" t="s">
        <v>4</v>
      </c>
      <c r="J53" s="4"/>
    </row>
    <row r="54" spans="1:10" ht="18.75" customHeight="1" x14ac:dyDescent="0.35">
      <c r="A54" s="18"/>
      <c r="G54" s="2"/>
      <c r="H54" s="2"/>
      <c r="I54" s="24"/>
      <c r="J54" s="4"/>
    </row>
    <row r="55" spans="1:10" ht="18.75" customHeight="1" x14ac:dyDescent="0.35">
      <c r="A55" s="15" t="s">
        <v>129</v>
      </c>
      <c r="B55" s="31" t="s">
        <v>130</v>
      </c>
      <c r="C55" s="22"/>
      <c r="D55" s="22"/>
      <c r="E55" s="22"/>
      <c r="F55" s="22"/>
      <c r="G55" s="22"/>
      <c r="H55" s="22"/>
      <c r="I55" s="16"/>
      <c r="J55" s="4"/>
    </row>
    <row r="56" spans="1:10" ht="18.75" customHeight="1" x14ac:dyDescent="0.35">
      <c r="A56" s="18"/>
      <c r="B56" s="1" t="s">
        <v>37</v>
      </c>
      <c r="G56" s="2" t="s">
        <v>38</v>
      </c>
      <c r="H56" s="75">
        <v>240000</v>
      </c>
      <c r="I56" s="24" t="s">
        <v>50</v>
      </c>
      <c r="J56" s="4"/>
    </row>
    <row r="57" spans="1:10" ht="18.75" customHeight="1" x14ac:dyDescent="0.35">
      <c r="A57" s="35"/>
      <c r="B57" s="1" t="s">
        <v>145</v>
      </c>
      <c r="C57" s="17"/>
      <c r="D57" s="17"/>
      <c r="E57" s="17"/>
      <c r="F57" s="17"/>
      <c r="G57" s="2" t="s">
        <v>91</v>
      </c>
      <c r="H57" s="75">
        <v>23000</v>
      </c>
      <c r="I57" s="24" t="s">
        <v>50</v>
      </c>
      <c r="J57" s="4" t="s">
        <v>40</v>
      </c>
    </row>
    <row r="58" spans="1:10" ht="18.75" customHeight="1" x14ac:dyDescent="0.35">
      <c r="A58" s="35"/>
      <c r="B58" s="38" t="s">
        <v>144</v>
      </c>
      <c r="C58" s="17"/>
      <c r="D58" s="17"/>
      <c r="E58" s="17"/>
      <c r="F58" s="17"/>
      <c r="G58" s="2" t="s">
        <v>43</v>
      </c>
      <c r="H58" s="77">
        <f>326*10^6</f>
        <v>326000000</v>
      </c>
      <c r="I58" s="24" t="s">
        <v>51</v>
      </c>
      <c r="J58" s="4"/>
    </row>
    <row r="59" spans="1:10" ht="18.75" customHeight="1" x14ac:dyDescent="0.35">
      <c r="A59" s="35"/>
      <c r="B59" s="17" t="s">
        <v>149</v>
      </c>
      <c r="C59" s="17"/>
      <c r="D59" s="17"/>
      <c r="E59" s="17"/>
      <c r="F59" s="17"/>
      <c r="G59" s="2" t="s">
        <v>154</v>
      </c>
      <c r="H59" s="77">
        <f>1100*10^6</f>
        <v>1100000000</v>
      </c>
      <c r="I59" s="24" t="s">
        <v>51</v>
      </c>
      <c r="J59" s="4"/>
    </row>
    <row r="60" spans="1:10" ht="18.75" customHeight="1" x14ac:dyDescent="0.35">
      <c r="A60" s="35"/>
      <c r="B60" s="17" t="s">
        <v>150</v>
      </c>
      <c r="C60" s="17"/>
      <c r="D60" s="17"/>
      <c r="E60" s="17"/>
      <c r="F60" s="17"/>
      <c r="G60" s="2" t="s">
        <v>155</v>
      </c>
      <c r="H60" s="77">
        <f>1100*10^6</f>
        <v>1100000000</v>
      </c>
      <c r="I60" s="24" t="s">
        <v>51</v>
      </c>
      <c r="J60" s="4"/>
    </row>
    <row r="61" spans="1:10" ht="18.75" customHeight="1" x14ac:dyDescent="0.35">
      <c r="A61" s="19"/>
      <c r="B61" s="27"/>
      <c r="C61" s="27"/>
      <c r="D61" s="27"/>
      <c r="E61" s="27"/>
      <c r="F61" s="27"/>
      <c r="G61" s="27"/>
      <c r="H61" s="27"/>
      <c r="I61" s="34"/>
      <c r="J61" s="4"/>
    </row>
    <row r="62" spans="1:10" ht="18.75" customHeight="1" x14ac:dyDescent="0.35">
      <c r="A62" s="12" t="s">
        <v>33</v>
      </c>
      <c r="B62" s="20" t="s">
        <v>158</v>
      </c>
      <c r="C62" s="13"/>
      <c r="D62" s="13"/>
      <c r="E62" s="13"/>
      <c r="F62" s="13"/>
      <c r="G62" s="13"/>
      <c r="H62" s="13"/>
      <c r="I62" s="14"/>
    </row>
    <row r="63" spans="1:10" ht="18.75" customHeight="1" x14ac:dyDescent="0.35">
      <c r="A63" s="15" t="s">
        <v>34</v>
      </c>
      <c r="B63" s="21" t="s">
        <v>136</v>
      </c>
      <c r="C63" s="22"/>
      <c r="D63" s="22"/>
      <c r="E63" s="22"/>
      <c r="F63" s="22"/>
      <c r="G63" s="22"/>
      <c r="H63" s="22"/>
      <c r="I63" s="16"/>
    </row>
    <row r="64" spans="1:10" ht="18.75" customHeight="1" x14ac:dyDescent="0.35">
      <c r="A64" s="37"/>
      <c r="B64" s="38" t="s">
        <v>126</v>
      </c>
      <c r="C64" s="17"/>
      <c r="D64" s="17"/>
      <c r="E64" s="17"/>
      <c r="F64" s="17"/>
      <c r="G64" s="17"/>
      <c r="H64" s="17"/>
      <c r="I64" s="36"/>
    </row>
    <row r="65" spans="1:9" ht="18.75" customHeight="1" x14ac:dyDescent="0.35">
      <c r="A65" s="37"/>
      <c r="B65" s="68"/>
      <c r="C65" s="3" t="s">
        <v>135</v>
      </c>
      <c r="D65" s="3" t="s">
        <v>56</v>
      </c>
      <c r="E65" s="3">
        <v>150</v>
      </c>
      <c r="H65" s="17"/>
      <c r="I65" s="36"/>
    </row>
    <row r="66" spans="1:9" ht="18.75" customHeight="1" x14ac:dyDescent="0.35">
      <c r="A66" s="37"/>
      <c r="B66" s="23"/>
      <c r="C66" s="45">
        <f>H48</f>
        <v>78.666666666666671</v>
      </c>
      <c r="D66" s="3" t="str">
        <f>IF(C66&gt;E66,"&gt;","≤")</f>
        <v>≤</v>
      </c>
      <c r="E66" s="56">
        <f>E65</f>
        <v>150</v>
      </c>
      <c r="F66" s="5" t="s">
        <v>18</v>
      </c>
      <c r="G66" s="6" t="str">
        <f>IF(C66&lt;=E66,"[ OK ]","[ NOT OK ]")</f>
        <v>[ OK ]</v>
      </c>
      <c r="H66" s="17"/>
      <c r="I66" s="36"/>
    </row>
    <row r="67" spans="1:9" ht="18.75" customHeight="1" x14ac:dyDescent="0.35">
      <c r="A67" s="37"/>
      <c r="B67" s="38"/>
      <c r="C67" s="17"/>
      <c r="D67" s="17"/>
      <c r="E67" s="17"/>
      <c r="F67" s="17"/>
      <c r="G67" s="17"/>
      <c r="H67" s="17"/>
      <c r="I67" s="36"/>
    </row>
    <row r="68" spans="1:9" ht="18.75" customHeight="1" x14ac:dyDescent="0.35">
      <c r="A68" s="55"/>
      <c r="B68" s="23" t="s">
        <v>137</v>
      </c>
      <c r="I68" s="33"/>
    </row>
    <row r="69" spans="1:9" ht="18.75" customHeight="1" x14ac:dyDescent="0.35">
      <c r="A69" s="55"/>
      <c r="B69" s="8" t="s">
        <v>67</v>
      </c>
      <c r="I69" s="33"/>
    </row>
    <row r="70" spans="1:9" ht="18.75" customHeight="1" x14ac:dyDescent="0.35">
      <c r="A70" s="55"/>
      <c r="C70" s="3" t="s">
        <v>68</v>
      </c>
      <c r="D70" s="3" t="s">
        <v>22</v>
      </c>
      <c r="E70" s="3" t="s">
        <v>70</v>
      </c>
      <c r="G70" s="3" t="s">
        <v>71</v>
      </c>
      <c r="H70" s="3" t="s">
        <v>22</v>
      </c>
      <c r="I70" s="69">
        <v>70</v>
      </c>
    </row>
    <row r="71" spans="1:9" ht="18.75" customHeight="1" x14ac:dyDescent="0.35">
      <c r="A71" s="55"/>
      <c r="C71" s="56">
        <f>H57</f>
        <v>23000</v>
      </c>
      <c r="D71" s="3" t="str">
        <f>IF(C71&gt;E71,"&gt;","≤")</f>
        <v>≤</v>
      </c>
      <c r="E71" s="56">
        <f>0.3*H167*H162</f>
        <v>1890000</v>
      </c>
      <c r="G71" s="56">
        <f>H162</f>
        <v>35</v>
      </c>
      <c r="H71" s="3" t="str">
        <f>IF(G71&gt;I71,"&gt;","≤")</f>
        <v>≤</v>
      </c>
      <c r="I71" s="56">
        <f>I70</f>
        <v>70</v>
      </c>
    </row>
    <row r="72" spans="1:9" ht="18.75" customHeight="1" x14ac:dyDescent="0.35">
      <c r="A72" s="55"/>
      <c r="I72" s="33"/>
    </row>
    <row r="73" spans="1:9" ht="18.75" customHeight="1" x14ac:dyDescent="0.35">
      <c r="A73" s="55"/>
      <c r="B73" s="8" t="s">
        <v>69</v>
      </c>
      <c r="C73" s="7" t="s">
        <v>18</v>
      </c>
      <c r="D73" s="6" t="str">
        <f>IF(OR(C71&gt;E71,G71&gt;I71),"[ hx ≤ 200 mm ]","[ hx ≤ 350 mm ]")</f>
        <v>[ hx ≤ 350 mm ]</v>
      </c>
      <c r="E73" s="60" t="str">
        <f>IF(D73="[ hx ≤ 200 mm ]","dan [ ikat silang harus mengikat semua tul. Longitudinal ]","")</f>
        <v/>
      </c>
      <c r="I73" s="33"/>
    </row>
    <row r="74" spans="1:9" ht="18.75" customHeight="1" x14ac:dyDescent="0.35">
      <c r="A74" s="55"/>
      <c r="B74" s="23"/>
      <c r="I74" s="33"/>
    </row>
    <row r="75" spans="1:9" ht="18.75" customHeight="1" x14ac:dyDescent="0.35">
      <c r="A75" s="55"/>
      <c r="B75" s="68" t="s">
        <v>72</v>
      </c>
      <c r="C75" s="3" t="s">
        <v>73</v>
      </c>
      <c r="D75" s="3" t="s">
        <v>56</v>
      </c>
      <c r="E75" s="3">
        <f>IF(D73="[ hx ≤ 350 mm ]",350,200)</f>
        <v>350</v>
      </c>
      <c r="I75" s="33"/>
    </row>
    <row r="76" spans="1:9" ht="18.75" customHeight="1" x14ac:dyDescent="0.35">
      <c r="A76" s="55"/>
      <c r="B76" s="23"/>
      <c r="C76" s="56">
        <f>H50</f>
        <v>157.33333333333334</v>
      </c>
      <c r="D76" s="3" t="str">
        <f>IF(C76&gt;E76,"&gt;","≤")</f>
        <v>≤</v>
      </c>
      <c r="E76" s="56">
        <f>E75</f>
        <v>350</v>
      </c>
      <c r="F76" s="5" t="s">
        <v>18</v>
      </c>
      <c r="G76" s="6" t="str">
        <f>IF(C76&lt;=E76,"[ OK ]","[ NOT OK ]")</f>
        <v>[ OK ]</v>
      </c>
      <c r="I76" s="33"/>
    </row>
    <row r="77" spans="1:9" ht="18.75" customHeight="1" x14ac:dyDescent="0.35">
      <c r="A77" s="55"/>
      <c r="B77" s="23"/>
      <c r="I77" s="33"/>
    </row>
    <row r="78" spans="1:9" ht="18.75" customHeight="1" x14ac:dyDescent="0.35">
      <c r="A78" s="15" t="s">
        <v>35</v>
      </c>
      <c r="B78" s="21" t="s">
        <v>81</v>
      </c>
      <c r="C78" s="22"/>
      <c r="D78" s="22"/>
      <c r="E78" s="22"/>
      <c r="F78" s="22"/>
      <c r="G78" s="22"/>
      <c r="H78" s="22"/>
      <c r="I78" s="16"/>
    </row>
    <row r="79" spans="1:9" ht="18.75" customHeight="1" x14ac:dyDescent="0.35">
      <c r="A79" s="37"/>
      <c r="B79" s="38"/>
      <c r="C79" s="17"/>
      <c r="D79" s="17"/>
      <c r="E79" s="17"/>
      <c r="F79" s="17"/>
      <c r="G79" s="17"/>
      <c r="H79" s="17"/>
      <c r="I79" s="36"/>
    </row>
    <row r="80" spans="1:9" ht="18.75" customHeight="1" x14ac:dyDescent="0.35">
      <c r="A80" s="37"/>
      <c r="B80" s="38"/>
      <c r="C80" s="17"/>
      <c r="D80" s="17"/>
      <c r="E80" s="17"/>
      <c r="F80" s="17"/>
      <c r="G80" s="17"/>
      <c r="H80" s="17"/>
      <c r="I80" s="36"/>
    </row>
    <row r="81" spans="1:9" ht="18.75" customHeight="1" x14ac:dyDescent="0.35">
      <c r="A81" s="37"/>
      <c r="B81" s="38"/>
      <c r="C81" s="17"/>
      <c r="D81" s="17"/>
      <c r="E81" s="17"/>
      <c r="F81" s="17"/>
      <c r="G81" s="17"/>
      <c r="H81" s="17"/>
      <c r="I81" s="36"/>
    </row>
    <row r="82" spans="1:9" ht="18.75" customHeight="1" x14ac:dyDescent="0.35">
      <c r="A82" s="37"/>
      <c r="B82" s="38"/>
      <c r="C82" s="17"/>
      <c r="D82" s="17"/>
      <c r="E82" s="17"/>
      <c r="F82" s="17"/>
      <c r="G82" s="17"/>
      <c r="H82" s="17"/>
      <c r="I82" s="36"/>
    </row>
    <row r="83" spans="1:9" ht="18.75" customHeight="1" x14ac:dyDescent="0.35">
      <c r="A83" s="37"/>
      <c r="B83" s="38"/>
      <c r="C83" s="17"/>
      <c r="D83" s="17"/>
      <c r="E83" s="17"/>
      <c r="F83" s="17"/>
      <c r="G83" s="17"/>
      <c r="H83" s="17"/>
      <c r="I83" s="36"/>
    </row>
    <row r="84" spans="1:9" ht="18.75" customHeight="1" x14ac:dyDescent="0.35">
      <c r="A84" s="37"/>
      <c r="B84" s="38"/>
      <c r="C84" s="17"/>
      <c r="D84" s="17"/>
      <c r="E84" s="17"/>
      <c r="F84" s="17"/>
      <c r="G84" s="17"/>
      <c r="H84" s="17"/>
      <c r="I84" s="36"/>
    </row>
    <row r="85" spans="1:9" ht="18.75" customHeight="1" x14ac:dyDescent="0.35">
      <c r="A85" s="37"/>
      <c r="B85" s="38"/>
      <c r="C85" s="17"/>
      <c r="D85" s="17"/>
      <c r="E85" s="17"/>
      <c r="F85" s="17"/>
      <c r="G85" s="17"/>
      <c r="H85" s="17"/>
      <c r="I85" s="36"/>
    </row>
    <row r="86" spans="1:9" ht="18.75" customHeight="1" x14ac:dyDescent="0.35">
      <c r="A86" s="37"/>
      <c r="B86" s="38"/>
      <c r="C86" s="17"/>
      <c r="D86" s="17"/>
      <c r="E86" s="17"/>
      <c r="F86" s="17"/>
      <c r="G86" s="17"/>
      <c r="H86" s="17"/>
      <c r="I86" s="36"/>
    </row>
    <row r="87" spans="1:9" ht="18.75" customHeight="1" x14ac:dyDescent="0.35">
      <c r="A87" s="37"/>
      <c r="B87" s="38"/>
      <c r="C87" s="17"/>
      <c r="D87" s="17"/>
      <c r="E87" s="17"/>
      <c r="F87" s="17"/>
      <c r="G87" s="17"/>
      <c r="H87" s="17"/>
      <c r="I87" s="36"/>
    </row>
    <row r="88" spans="1:9" ht="18.75" customHeight="1" x14ac:dyDescent="0.35">
      <c r="A88" s="37"/>
      <c r="B88" s="38"/>
      <c r="C88" s="17"/>
      <c r="D88" s="17"/>
      <c r="E88" s="17"/>
      <c r="F88" s="17"/>
      <c r="G88" s="17"/>
      <c r="H88" s="17"/>
      <c r="I88" s="36"/>
    </row>
    <row r="89" spans="1:9" ht="18.75" customHeight="1" x14ac:dyDescent="0.35">
      <c r="A89" s="37"/>
      <c r="B89" s="38"/>
      <c r="C89" s="17"/>
      <c r="D89" s="17"/>
      <c r="E89" s="17"/>
      <c r="F89" s="17"/>
      <c r="G89" s="17"/>
      <c r="H89" s="17"/>
      <c r="I89" s="36"/>
    </row>
    <row r="90" spans="1:9" ht="18.75" customHeight="1" x14ac:dyDescent="0.35">
      <c r="A90" s="37"/>
      <c r="B90" s="38"/>
      <c r="C90" s="17"/>
      <c r="D90" s="17"/>
      <c r="E90" s="17"/>
      <c r="F90" s="17"/>
      <c r="G90" s="17"/>
      <c r="H90" s="17"/>
      <c r="I90" s="36"/>
    </row>
    <row r="91" spans="1:9" ht="18.75" customHeight="1" x14ac:dyDescent="0.35">
      <c r="A91" s="37"/>
      <c r="B91" s="38"/>
      <c r="C91" s="17"/>
      <c r="D91" s="17"/>
      <c r="E91" s="17"/>
      <c r="F91" s="17"/>
      <c r="G91" s="17"/>
      <c r="H91" s="17"/>
      <c r="I91" s="36"/>
    </row>
    <row r="92" spans="1:9" ht="18.75" customHeight="1" x14ac:dyDescent="0.35">
      <c r="A92" s="37"/>
      <c r="B92" s="38"/>
      <c r="C92" s="17"/>
      <c r="D92" s="17"/>
      <c r="E92" s="17"/>
      <c r="F92" s="17"/>
      <c r="G92" s="17"/>
      <c r="H92" s="17"/>
      <c r="I92" s="36"/>
    </row>
    <row r="93" spans="1:9" ht="18.75" customHeight="1" x14ac:dyDescent="0.35">
      <c r="A93" s="37"/>
      <c r="B93" s="38"/>
      <c r="C93" s="17"/>
      <c r="D93" s="17"/>
      <c r="E93" s="17"/>
      <c r="F93" s="17"/>
      <c r="G93" s="17"/>
      <c r="H93" s="17"/>
      <c r="I93" s="36"/>
    </row>
    <row r="94" spans="1:9" ht="18.75" customHeight="1" x14ac:dyDescent="0.35">
      <c r="A94" s="37"/>
      <c r="B94" s="38"/>
      <c r="C94" s="17"/>
      <c r="D94" s="17"/>
      <c r="E94" s="17"/>
      <c r="F94" s="17"/>
      <c r="G94" s="17"/>
      <c r="H94" s="17"/>
      <c r="I94" s="36"/>
    </row>
    <row r="95" spans="1:9" ht="18.75" customHeight="1" x14ac:dyDescent="0.35">
      <c r="A95" s="37"/>
      <c r="B95" s="38"/>
      <c r="C95" s="17"/>
      <c r="D95" s="17"/>
      <c r="E95" s="17"/>
      <c r="F95" s="17"/>
      <c r="G95" s="17"/>
      <c r="H95" s="17"/>
      <c r="I95" s="36"/>
    </row>
    <row r="96" spans="1:9" ht="18.75" customHeight="1" x14ac:dyDescent="0.35">
      <c r="A96" s="37"/>
      <c r="B96" s="38"/>
      <c r="C96" s="17"/>
      <c r="D96" s="17"/>
      <c r="E96" s="17"/>
      <c r="F96" s="17"/>
      <c r="G96" s="17"/>
      <c r="H96" s="17"/>
      <c r="I96" s="36"/>
    </row>
    <row r="97" spans="1:9" ht="18.75" customHeight="1" x14ac:dyDescent="0.35">
      <c r="A97" s="37"/>
      <c r="B97" s="38"/>
      <c r="C97" s="17"/>
      <c r="D97" s="17"/>
      <c r="E97" s="17"/>
      <c r="F97" s="17"/>
      <c r="G97" s="17"/>
      <c r="H97" s="17"/>
      <c r="I97" s="36"/>
    </row>
    <row r="98" spans="1:9" ht="18.75" customHeight="1" x14ac:dyDescent="0.35">
      <c r="A98" s="37"/>
      <c r="B98" s="38"/>
      <c r="C98" s="17"/>
      <c r="D98" s="17"/>
      <c r="E98" s="17"/>
      <c r="F98" s="17"/>
      <c r="G98" s="17"/>
      <c r="H98" s="17"/>
      <c r="I98" s="36"/>
    </row>
    <row r="99" spans="1:9" ht="18.75" customHeight="1" x14ac:dyDescent="0.35">
      <c r="A99" s="35"/>
      <c r="B99" s="63" t="s">
        <v>85</v>
      </c>
      <c r="C99" s="17"/>
      <c r="D99" s="17"/>
      <c r="E99" s="17"/>
      <c r="F99" s="17"/>
      <c r="G99" s="17"/>
      <c r="H99" s="17"/>
      <c r="I99" s="36"/>
    </row>
    <row r="100" spans="1:9" ht="18.649999999999999" customHeight="1" x14ac:dyDescent="0.35">
      <c r="A100" s="37"/>
      <c r="B100" s="25" t="s">
        <v>174</v>
      </c>
      <c r="C100" s="17"/>
      <c r="D100" s="17"/>
      <c r="E100" s="17"/>
      <c r="F100" s="17"/>
      <c r="G100" s="40"/>
      <c r="H100" s="40"/>
      <c r="I100" s="24"/>
    </row>
    <row r="101" spans="1:9" ht="18.75" customHeight="1" x14ac:dyDescent="0.35">
      <c r="A101" s="37"/>
      <c r="C101" s="3" t="s">
        <v>60</v>
      </c>
      <c r="D101" s="47" t="s">
        <v>56</v>
      </c>
      <c r="E101" s="49" t="s">
        <v>172</v>
      </c>
      <c r="F101" s="47" t="s">
        <v>56</v>
      </c>
      <c r="G101" s="49" t="s">
        <v>61</v>
      </c>
      <c r="H101" s="3"/>
      <c r="I101" s="36"/>
    </row>
    <row r="102" spans="1:9" ht="18.75" customHeight="1" x14ac:dyDescent="0.35">
      <c r="A102" s="37"/>
      <c r="B102" s="8"/>
      <c r="C102" s="45">
        <f>4/3*H14</f>
        <v>53.333333333333329</v>
      </c>
      <c r="D102" s="3" t="str">
        <f>IF(C102&gt;E102,"&gt;","≤")</f>
        <v>≤</v>
      </c>
      <c r="E102" s="45">
        <f>H52</f>
        <v>75</v>
      </c>
      <c r="F102" s="3" t="str">
        <f>IF(E102&gt;G102,"&gt;","≤")</f>
        <v>≤</v>
      </c>
      <c r="G102" s="45">
        <f>MIN(1/4*MIN(H10:H11),6*H28,IF(AND((100+(350-H50)/3)&lt;=150,(100+(350-H50)/3)&gt;=100),(100+(350-H50)/3),IF((100+(350-H50)/3)&gt;=150,150,IF((100+(350-H50)/3)&lt;=100,100))))</f>
        <v>75</v>
      </c>
      <c r="H102" s="48" t="str">
        <f>IF(AND(C102&lt;=E102,E102&lt;=G102),"→   [ OK ]","→   [ NOT OK ]")</f>
        <v>→   [ OK ]</v>
      </c>
      <c r="I102" s="36"/>
    </row>
    <row r="103" spans="1:9" ht="18.75" customHeight="1" x14ac:dyDescent="0.35">
      <c r="A103" s="37"/>
      <c r="B103" s="38"/>
      <c r="C103" s="17"/>
      <c r="D103" s="17"/>
      <c r="E103" s="17"/>
      <c r="F103" s="17"/>
      <c r="G103" s="17"/>
      <c r="H103" s="17"/>
      <c r="I103" s="36"/>
    </row>
    <row r="104" spans="1:9" ht="18.75" customHeight="1" x14ac:dyDescent="0.35">
      <c r="A104" s="37"/>
      <c r="B104" s="38" t="s">
        <v>82</v>
      </c>
      <c r="C104" s="17"/>
      <c r="D104" s="17"/>
      <c r="E104" s="17"/>
      <c r="F104" s="17"/>
      <c r="G104" s="40"/>
      <c r="H104" s="17"/>
      <c r="I104" s="24"/>
    </row>
    <row r="105" spans="1:9" ht="18.75" customHeight="1" x14ac:dyDescent="0.35">
      <c r="A105" s="37"/>
      <c r="B105" s="38"/>
      <c r="C105" s="17"/>
      <c r="D105" s="17"/>
      <c r="E105" s="17"/>
      <c r="F105" s="17"/>
      <c r="G105" s="40" t="s">
        <v>175</v>
      </c>
      <c r="H105" s="44">
        <f>MAX(MAX(H11:H12),1/6*H14,450)</f>
        <v>600</v>
      </c>
      <c r="I105" s="24" t="s">
        <v>4</v>
      </c>
    </row>
    <row r="106" spans="1:9" ht="18.75" customHeight="1" x14ac:dyDescent="0.35">
      <c r="A106" s="37"/>
      <c r="B106" s="38"/>
      <c r="C106" s="17"/>
      <c r="D106" s="17"/>
      <c r="E106" s="17"/>
      <c r="F106" s="17"/>
      <c r="H106" s="40"/>
      <c r="I106" s="24"/>
    </row>
    <row r="107" spans="1:9" ht="18.75" customHeight="1" x14ac:dyDescent="0.35">
      <c r="A107" s="37"/>
      <c r="B107" s="38" t="s">
        <v>88</v>
      </c>
      <c r="C107" s="17"/>
      <c r="D107" s="17"/>
      <c r="E107" s="17"/>
      <c r="F107" s="17"/>
      <c r="G107" s="2" t="s">
        <v>89</v>
      </c>
      <c r="H107" s="44">
        <f>IF((H4/175+0.6)&lt;1,1,H4/175+0.6)</f>
        <v>1</v>
      </c>
      <c r="I107" s="36"/>
    </row>
    <row r="108" spans="1:9" ht="18.75" customHeight="1" x14ac:dyDescent="0.35">
      <c r="A108" s="37"/>
      <c r="C108" s="17"/>
      <c r="D108" s="17"/>
      <c r="E108" s="17"/>
      <c r="F108" s="17"/>
      <c r="G108" s="17"/>
      <c r="H108" s="17"/>
      <c r="I108" s="36"/>
    </row>
    <row r="109" spans="1:9" ht="18.75" customHeight="1" x14ac:dyDescent="0.35">
      <c r="A109" s="37"/>
      <c r="B109" s="1" t="s">
        <v>98</v>
      </c>
      <c r="C109" s="17"/>
      <c r="D109" s="17"/>
      <c r="E109" s="17"/>
      <c r="F109" s="17"/>
      <c r="I109" s="36"/>
    </row>
    <row r="110" spans="1:9" ht="18.75" customHeight="1" x14ac:dyDescent="0.35">
      <c r="A110" s="37"/>
      <c r="C110" s="17"/>
      <c r="D110" s="17"/>
      <c r="E110" s="17"/>
      <c r="F110" s="17"/>
      <c r="G110" s="2" t="s">
        <v>90</v>
      </c>
      <c r="H110" s="44">
        <f>H46*2+((H47-2)*2)</f>
        <v>12</v>
      </c>
      <c r="I110" s="36"/>
    </row>
    <row r="111" spans="1:9" ht="18.75" customHeight="1" x14ac:dyDescent="0.35">
      <c r="A111" s="37"/>
      <c r="B111" s="38" t="s">
        <v>164</v>
      </c>
      <c r="C111" s="17"/>
      <c r="D111" s="17"/>
      <c r="E111" s="17"/>
      <c r="F111" s="17"/>
      <c r="G111" s="2" t="s">
        <v>165</v>
      </c>
      <c r="H111" s="64">
        <f>MAX(0.3*(H167/((H11-H12-H12)*(H10-2*H12))-1)*H4/H6,0.09*H4/H6,0.2*H107*(H110/(H110-2))*H57/(H6*((H11-H12-H12)*(H10-2*H12))))</f>
        <v>1.4335664335664333E-2</v>
      </c>
      <c r="I111" s="24"/>
    </row>
    <row r="112" spans="1:9" ht="18.75" customHeight="1" x14ac:dyDescent="0.35">
      <c r="A112" s="37"/>
      <c r="B112" s="38"/>
      <c r="C112" s="17"/>
      <c r="D112" s="17"/>
      <c r="E112" s="17"/>
      <c r="F112" s="17"/>
      <c r="G112" s="17"/>
      <c r="H112" s="17"/>
      <c r="I112" s="36"/>
    </row>
    <row r="113" spans="1:9" ht="18.75" customHeight="1" x14ac:dyDescent="0.35">
      <c r="A113" s="37"/>
      <c r="B113" s="38" t="s">
        <v>140</v>
      </c>
      <c r="C113" s="17"/>
      <c r="D113" s="17"/>
      <c r="E113" s="17"/>
      <c r="F113" s="17"/>
      <c r="G113" s="2" t="s">
        <v>176</v>
      </c>
      <c r="H113" s="44">
        <f>(H111*G102*(H11-H12-H12))/(1/4*3.14*H45^2)</f>
        <v>4.2143060271428716</v>
      </c>
      <c r="I113" s="24"/>
    </row>
    <row r="114" spans="1:9" ht="18.75" customHeight="1" x14ac:dyDescent="0.35">
      <c r="A114" s="37"/>
      <c r="B114" s="38" t="s">
        <v>160</v>
      </c>
      <c r="C114" s="17"/>
      <c r="D114" s="17"/>
      <c r="E114" s="17"/>
      <c r="F114" s="17"/>
      <c r="G114" s="2" t="s">
        <v>95</v>
      </c>
      <c r="H114" s="44">
        <f>H46</f>
        <v>5</v>
      </c>
      <c r="I114" s="24"/>
    </row>
    <row r="115" spans="1:9" ht="18.75" customHeight="1" x14ac:dyDescent="0.35">
      <c r="A115" s="37"/>
      <c r="B115" s="23" t="s">
        <v>159</v>
      </c>
      <c r="D115" s="3" t="s">
        <v>161</v>
      </c>
      <c r="E115" s="47" t="s">
        <v>100</v>
      </c>
      <c r="F115" s="3" t="s">
        <v>166</v>
      </c>
      <c r="I115" s="24"/>
    </row>
    <row r="116" spans="1:9" ht="18.75" customHeight="1" x14ac:dyDescent="0.35">
      <c r="A116" s="37"/>
      <c r="B116" s="23"/>
      <c r="C116" s="65" t="s">
        <v>101</v>
      </c>
      <c r="D116" s="45">
        <f>H114</f>
        <v>5</v>
      </c>
      <c r="E116" s="3" t="str">
        <f>IF(D116&gt;=F116,"≥","&lt;")</f>
        <v>≥</v>
      </c>
      <c r="F116" s="45">
        <f>H113</f>
        <v>4.2143060271428716</v>
      </c>
      <c r="G116" s="5" t="s">
        <v>18</v>
      </c>
      <c r="H116" s="6" t="str">
        <f>IF(D116&gt;=F116,"[ OK ]","[ NOT OK ]")</f>
        <v>[ OK ]</v>
      </c>
      <c r="I116" s="24"/>
    </row>
    <row r="117" spans="1:9" ht="18.75" customHeight="1" x14ac:dyDescent="0.35">
      <c r="A117" s="37"/>
      <c r="B117" s="38"/>
      <c r="C117" s="17"/>
      <c r="D117" s="17"/>
      <c r="E117" s="17"/>
      <c r="F117" s="17"/>
      <c r="G117" s="2"/>
      <c r="H117" s="61"/>
      <c r="I117" s="24"/>
    </row>
    <row r="118" spans="1:9" ht="18.75" customHeight="1" x14ac:dyDescent="0.35">
      <c r="A118" s="37"/>
      <c r="B118" s="38" t="s">
        <v>156</v>
      </c>
      <c r="C118" s="17"/>
      <c r="D118" s="17"/>
      <c r="E118" s="17"/>
      <c r="F118" s="17"/>
      <c r="G118" s="72">
        <f>IF(H116="[ OK ]",IF(D116&gt;=ROUNDUP(H113,0),D116),"")</f>
        <v>5</v>
      </c>
      <c r="H118" s="73" t="str">
        <f>IF(H116="[ OK ]","  D"&amp;H45&amp;" - "&amp;G102,"")</f>
        <v xml:space="preserve">  D13 - 75</v>
      </c>
      <c r="I118" s="24"/>
    </row>
    <row r="119" spans="1:9" ht="18.75" customHeight="1" x14ac:dyDescent="0.35">
      <c r="A119" s="37"/>
      <c r="B119" s="23" t="s">
        <v>99</v>
      </c>
      <c r="D119" s="3" t="s">
        <v>168</v>
      </c>
      <c r="E119" s="47" t="s">
        <v>100</v>
      </c>
      <c r="F119" s="3" t="s">
        <v>167</v>
      </c>
      <c r="I119" s="36"/>
    </row>
    <row r="120" spans="1:9" ht="18.75" customHeight="1" x14ac:dyDescent="0.35">
      <c r="A120" s="37"/>
      <c r="B120" s="23"/>
      <c r="C120" s="65" t="s">
        <v>101</v>
      </c>
      <c r="D120" s="45">
        <f>D116*1/4*3.14*H45^2</f>
        <v>663.32500000000005</v>
      </c>
      <c r="E120" s="3" t="str">
        <f>IF(D120&gt;=F120,"≥","&lt;")</f>
        <v>≥</v>
      </c>
      <c r="F120" s="45">
        <f>H111*G102*(H11-H12-H12)</f>
        <v>559.09090909090901</v>
      </c>
      <c r="G120" s="5" t="s">
        <v>18</v>
      </c>
      <c r="H120" s="6" t="str">
        <f>IF(D120&gt;=F120,"[ OK ]","[ NOT OK ]")</f>
        <v>[ OK ]</v>
      </c>
      <c r="I120" s="36"/>
    </row>
    <row r="121" spans="1:9" ht="18.75" customHeight="1" x14ac:dyDescent="0.35">
      <c r="A121" s="37"/>
      <c r="B121" s="38"/>
      <c r="C121" s="65"/>
      <c r="D121" s="71"/>
      <c r="E121" s="3"/>
      <c r="F121" s="71"/>
      <c r="G121" s="5"/>
      <c r="H121" s="6"/>
      <c r="I121" s="36"/>
    </row>
    <row r="122" spans="1:9" ht="18.75" customHeight="1" x14ac:dyDescent="0.35">
      <c r="A122" s="37"/>
      <c r="B122" s="38"/>
      <c r="C122" s="17"/>
      <c r="D122" s="17"/>
      <c r="E122" s="17"/>
      <c r="F122" s="17"/>
      <c r="G122" s="17"/>
      <c r="H122" s="17"/>
      <c r="I122" s="36"/>
    </row>
    <row r="123" spans="1:9" ht="18.75" customHeight="1" x14ac:dyDescent="0.35">
      <c r="A123" s="37"/>
      <c r="B123" s="38" t="s">
        <v>97</v>
      </c>
      <c r="C123" s="17"/>
      <c r="D123" s="17"/>
      <c r="E123" s="17"/>
      <c r="F123" s="17"/>
      <c r="G123" s="2" t="s">
        <v>139</v>
      </c>
      <c r="H123" s="44">
        <f>1/4*3.14*H45^2</f>
        <v>132.66499999999999</v>
      </c>
      <c r="I123" s="24" t="s">
        <v>19</v>
      </c>
    </row>
    <row r="124" spans="1:9" ht="18.75" customHeight="1" x14ac:dyDescent="0.35">
      <c r="A124" s="37"/>
      <c r="B124" s="38" t="s">
        <v>140</v>
      </c>
      <c r="C124" s="17"/>
      <c r="D124" s="17"/>
      <c r="E124" s="17"/>
      <c r="F124" s="17"/>
      <c r="G124" s="2" t="s">
        <v>177</v>
      </c>
      <c r="H124" s="44">
        <f>(H111*G102*(H10-2*H12))/(1/4*3.14*H45^2)</f>
        <v>1.7829756268681378</v>
      </c>
      <c r="I124" s="24"/>
    </row>
    <row r="125" spans="1:9" ht="18.75" customHeight="1" x14ac:dyDescent="0.35">
      <c r="A125" s="37"/>
      <c r="B125" s="38" t="s">
        <v>162</v>
      </c>
      <c r="C125" s="17"/>
      <c r="D125" s="17"/>
      <c r="E125" s="17"/>
      <c r="F125" s="17"/>
      <c r="G125" s="2" t="s">
        <v>96</v>
      </c>
      <c r="H125" s="44">
        <f>H47</f>
        <v>3</v>
      </c>
      <c r="I125" s="24"/>
    </row>
    <row r="126" spans="1:9" ht="18.75" customHeight="1" x14ac:dyDescent="0.35">
      <c r="A126" s="37"/>
      <c r="B126" s="23" t="s">
        <v>159</v>
      </c>
      <c r="D126" s="3" t="s">
        <v>163</v>
      </c>
      <c r="E126" s="47" t="s">
        <v>100</v>
      </c>
      <c r="F126" s="3" t="s">
        <v>169</v>
      </c>
      <c r="I126" s="24"/>
    </row>
    <row r="127" spans="1:9" ht="18.75" customHeight="1" x14ac:dyDescent="0.35">
      <c r="A127" s="37"/>
      <c r="B127" s="23"/>
      <c r="C127" s="65" t="s">
        <v>101</v>
      </c>
      <c r="D127" s="45">
        <f>H125</f>
        <v>3</v>
      </c>
      <c r="E127" s="3" t="str">
        <f>IF(D127&gt;=F127,"≥","&lt;")</f>
        <v>≥</v>
      </c>
      <c r="F127" s="45">
        <f>H124</f>
        <v>1.7829756268681378</v>
      </c>
      <c r="G127" s="5" t="s">
        <v>18</v>
      </c>
      <c r="H127" s="6" t="str">
        <f>IF(D127&gt;=F127,"[ OK ]","[ NOT OK ]")</f>
        <v>[ OK ]</v>
      </c>
      <c r="I127" s="24"/>
    </row>
    <row r="128" spans="1:9" ht="18.75" customHeight="1" x14ac:dyDescent="0.35">
      <c r="A128" s="37"/>
      <c r="B128" s="38"/>
      <c r="C128" s="17"/>
      <c r="D128" s="17"/>
      <c r="E128" s="17"/>
      <c r="F128" s="17"/>
      <c r="G128" s="2"/>
      <c r="H128" s="61"/>
      <c r="I128" s="24"/>
    </row>
    <row r="129" spans="1:9" ht="18.75" customHeight="1" x14ac:dyDescent="0.35">
      <c r="A129" s="37"/>
      <c r="B129" s="38" t="s">
        <v>157</v>
      </c>
      <c r="C129" s="17"/>
      <c r="D129" s="17"/>
      <c r="E129" s="17"/>
      <c r="F129" s="17"/>
      <c r="G129" s="72">
        <f>IF(H127="[ OK ]",IF(D127&gt;=ROUNDUP(H124,0),D127),"")</f>
        <v>3</v>
      </c>
      <c r="H129" s="73" t="str">
        <f>IF(H116="[ OK ]","  D"&amp;H45&amp;" - "&amp;G102,"")</f>
        <v xml:space="preserve">  D13 - 75</v>
      </c>
      <c r="I129" s="24"/>
    </row>
    <row r="130" spans="1:9" ht="18.75" customHeight="1" x14ac:dyDescent="0.35">
      <c r="A130" s="37"/>
      <c r="B130" s="23" t="s">
        <v>99</v>
      </c>
      <c r="D130" s="3" t="s">
        <v>170</v>
      </c>
      <c r="E130" s="47" t="s">
        <v>100</v>
      </c>
      <c r="F130" s="3" t="s">
        <v>171</v>
      </c>
      <c r="I130" s="36"/>
    </row>
    <row r="131" spans="1:9" ht="18.75" customHeight="1" x14ac:dyDescent="0.35">
      <c r="A131" s="37"/>
      <c r="B131" s="23"/>
      <c r="C131" s="65" t="s">
        <v>101</v>
      </c>
      <c r="D131" s="45">
        <f>H123*G129</f>
        <v>397.995</v>
      </c>
      <c r="E131" s="3" t="str">
        <f>IF(D131&gt;=F131,"≥","&lt;")</f>
        <v>≥</v>
      </c>
      <c r="F131" s="45">
        <f>H111*G102*(H10-2*H12)</f>
        <v>236.53846153846149</v>
      </c>
      <c r="G131" s="5" t="s">
        <v>18</v>
      </c>
      <c r="H131" s="6" t="str">
        <f>IF(D131&gt;=F131,"[ OK ]","[ NOT OK ]")</f>
        <v>[ OK ]</v>
      </c>
      <c r="I131" s="36"/>
    </row>
    <row r="132" spans="1:9" ht="18.75" customHeight="1" x14ac:dyDescent="0.35">
      <c r="A132" s="37"/>
      <c r="B132" s="38"/>
      <c r="I132" s="36"/>
    </row>
    <row r="133" spans="1:9" ht="18.75" customHeight="1" x14ac:dyDescent="0.35">
      <c r="A133" s="37"/>
      <c r="B133" s="38"/>
      <c r="C133" s="17"/>
      <c r="D133" s="17"/>
      <c r="E133" s="17"/>
      <c r="F133" s="17"/>
      <c r="G133" s="17"/>
      <c r="H133" s="17"/>
      <c r="I133" s="36"/>
    </row>
    <row r="134" spans="1:9" ht="18.75" customHeight="1" x14ac:dyDescent="0.35">
      <c r="A134" s="35"/>
      <c r="B134" s="63" t="s">
        <v>102</v>
      </c>
      <c r="C134" s="17"/>
      <c r="D134" s="17"/>
      <c r="E134" s="17"/>
      <c r="F134" s="17"/>
      <c r="G134" s="17"/>
      <c r="H134" s="17"/>
      <c r="I134" s="36"/>
    </row>
    <row r="135" spans="1:9" ht="18.649999999999999" customHeight="1" x14ac:dyDescent="0.35">
      <c r="A135" s="37"/>
      <c r="B135" s="25" t="s">
        <v>80</v>
      </c>
      <c r="C135" s="17"/>
      <c r="D135" s="17"/>
      <c r="E135" s="17"/>
      <c r="F135" s="17"/>
      <c r="G135" s="40"/>
      <c r="H135" s="40"/>
      <c r="I135" s="24"/>
    </row>
    <row r="136" spans="1:9" ht="18.75" customHeight="1" x14ac:dyDescent="0.35">
      <c r="A136" s="37"/>
      <c r="C136" s="3" t="s">
        <v>60</v>
      </c>
      <c r="D136" s="47" t="s">
        <v>56</v>
      </c>
      <c r="E136" s="49" t="s">
        <v>173</v>
      </c>
      <c r="F136" s="47" t="s">
        <v>56</v>
      </c>
      <c r="G136" s="49" t="s">
        <v>61</v>
      </c>
      <c r="H136" s="3"/>
      <c r="I136" s="36"/>
    </row>
    <row r="137" spans="1:9" ht="18.75" customHeight="1" x14ac:dyDescent="0.35">
      <c r="A137" s="37"/>
      <c r="B137" s="8"/>
      <c r="C137" s="45">
        <f>4/3*H14</f>
        <v>53.333333333333329</v>
      </c>
      <c r="D137" s="3" t="str">
        <f>IF(C137&gt;E137,"&gt;","≤")</f>
        <v>≤</v>
      </c>
      <c r="E137" s="45">
        <f>H53</f>
        <v>120</v>
      </c>
      <c r="F137" s="3" t="str">
        <f>IF(E137&gt;G137,"&gt;","≤")</f>
        <v>≤</v>
      </c>
      <c r="G137" s="45">
        <f>MIN(6*H28,150)</f>
        <v>132</v>
      </c>
      <c r="H137" s="48" t="str">
        <f>IF(AND(C137&lt;=E137,E137&lt;=G137),"→   [ OK ]","→   [ NOT OK ]")</f>
        <v>→   [ OK ]</v>
      </c>
      <c r="I137" s="36"/>
    </row>
    <row r="138" spans="1:9" ht="18.75" customHeight="1" x14ac:dyDescent="0.35">
      <c r="A138" s="37"/>
      <c r="B138" s="8"/>
      <c r="C138" s="71"/>
      <c r="D138" s="3"/>
      <c r="E138" s="71"/>
      <c r="F138" s="3"/>
      <c r="G138" s="71"/>
      <c r="H138" s="48"/>
      <c r="I138" s="36"/>
    </row>
    <row r="139" spans="1:9" ht="18.75" customHeight="1" x14ac:dyDescent="0.35">
      <c r="A139" s="37"/>
      <c r="B139" s="38" t="s">
        <v>141</v>
      </c>
      <c r="C139" s="17"/>
      <c r="D139" s="17"/>
      <c r="E139" s="17"/>
      <c r="F139" s="17"/>
      <c r="G139" s="72">
        <f>G118</f>
        <v>5</v>
      </c>
      <c r="H139" s="73" t="str">
        <f>"  D"&amp;H45&amp;" - "&amp;E137</f>
        <v xml:space="preserve">  D13 - 120</v>
      </c>
      <c r="I139" s="24"/>
    </row>
    <row r="140" spans="1:9" ht="18.75" customHeight="1" x14ac:dyDescent="0.35">
      <c r="A140" s="37"/>
      <c r="B140" s="38" t="s">
        <v>142</v>
      </c>
      <c r="C140" s="17"/>
      <c r="D140" s="17"/>
      <c r="E140" s="17"/>
      <c r="F140" s="17"/>
      <c r="G140" s="72">
        <f>G129</f>
        <v>3</v>
      </c>
      <c r="H140" s="73" t="str">
        <f>"  D"&amp;H45&amp;" - "&amp;E137</f>
        <v xml:space="preserve">  D13 - 120</v>
      </c>
      <c r="I140" s="24"/>
    </row>
    <row r="141" spans="1:9" ht="18.75" customHeight="1" x14ac:dyDescent="0.35">
      <c r="A141" s="37"/>
      <c r="B141" s="38"/>
      <c r="C141" s="17"/>
      <c r="D141" s="17"/>
      <c r="E141" s="17"/>
      <c r="F141" s="17"/>
      <c r="G141" s="17"/>
      <c r="H141" s="17"/>
      <c r="I141" s="36"/>
    </row>
    <row r="142" spans="1:9" ht="18.75" customHeight="1" x14ac:dyDescent="0.35">
      <c r="A142" s="15" t="s">
        <v>36</v>
      </c>
      <c r="B142" s="21" t="s">
        <v>103</v>
      </c>
      <c r="C142" s="22"/>
      <c r="D142" s="22"/>
      <c r="E142" s="22"/>
      <c r="F142" s="22"/>
      <c r="G142" s="22"/>
      <c r="H142" s="22"/>
      <c r="I142" s="16"/>
    </row>
    <row r="143" spans="1:9" ht="18.75" customHeight="1" x14ac:dyDescent="0.35">
      <c r="A143" s="37"/>
      <c r="B143" s="1" t="s">
        <v>83</v>
      </c>
      <c r="C143" s="17"/>
      <c r="D143" s="17"/>
      <c r="E143" s="17"/>
      <c r="F143" s="17"/>
      <c r="G143" s="40" t="s">
        <v>153</v>
      </c>
      <c r="H143" s="67">
        <f>H13</f>
        <v>4000</v>
      </c>
      <c r="I143" s="24" t="s">
        <v>4</v>
      </c>
    </row>
    <row r="144" spans="1:9" ht="18.75" customHeight="1" x14ac:dyDescent="0.35">
      <c r="A144" s="37"/>
      <c r="B144" s="17" t="s">
        <v>149</v>
      </c>
      <c r="C144" s="17"/>
      <c r="D144" s="17"/>
      <c r="E144" s="17"/>
      <c r="F144" s="17"/>
      <c r="G144" s="2" t="s">
        <v>154</v>
      </c>
      <c r="H144" s="74">
        <f>H59</f>
        <v>1100000000</v>
      </c>
      <c r="I144" s="24" t="s">
        <v>51</v>
      </c>
    </row>
    <row r="145" spans="1:9" ht="18.75" customHeight="1" x14ac:dyDescent="0.35">
      <c r="A145" s="37"/>
      <c r="B145" s="17" t="s">
        <v>150</v>
      </c>
      <c r="C145" s="17"/>
      <c r="D145" s="17"/>
      <c r="E145" s="17"/>
      <c r="F145" s="17"/>
      <c r="G145" s="2" t="s">
        <v>155</v>
      </c>
      <c r="H145" s="74">
        <f>H60</f>
        <v>1100000000</v>
      </c>
      <c r="I145" s="24" t="s">
        <v>51</v>
      </c>
    </row>
    <row r="146" spans="1:9" ht="18.75" customHeight="1" x14ac:dyDescent="0.35">
      <c r="A146" s="37"/>
      <c r="B146" s="38" t="s">
        <v>152</v>
      </c>
      <c r="C146" s="17"/>
      <c r="D146" s="17"/>
      <c r="E146" s="17"/>
      <c r="F146" s="17"/>
      <c r="G146" s="40" t="s">
        <v>151</v>
      </c>
      <c r="H146" s="67">
        <v>0.5</v>
      </c>
      <c r="I146" s="24"/>
    </row>
    <row r="147" spans="1:9" ht="18.75" customHeight="1" x14ac:dyDescent="0.35">
      <c r="A147" s="37"/>
      <c r="B147" s="38" t="s">
        <v>104</v>
      </c>
      <c r="C147" s="17"/>
      <c r="D147" s="17"/>
      <c r="E147" s="17"/>
      <c r="F147" s="17"/>
      <c r="I147" s="36"/>
    </row>
    <row r="148" spans="1:9" ht="18.75" customHeight="1" x14ac:dyDescent="0.35">
      <c r="A148" s="37"/>
      <c r="B148" s="38"/>
      <c r="C148" s="17"/>
      <c r="D148" s="17"/>
      <c r="E148" s="17"/>
      <c r="F148" s="17"/>
      <c r="G148" s="40" t="s">
        <v>178</v>
      </c>
      <c r="H148" s="44">
        <f>(H144*H146+(H145*H146))/H143</f>
        <v>275000</v>
      </c>
      <c r="I148" s="24" t="s">
        <v>50</v>
      </c>
    </row>
    <row r="149" spans="1:9" ht="18.75" customHeight="1" x14ac:dyDescent="0.35">
      <c r="A149" s="37"/>
      <c r="B149" s="38" t="s">
        <v>106</v>
      </c>
      <c r="C149" s="17"/>
      <c r="D149" s="17"/>
      <c r="E149" s="17"/>
      <c r="F149" s="17"/>
      <c r="G149" s="40" t="s">
        <v>118</v>
      </c>
      <c r="H149" s="44">
        <f>H56</f>
        <v>240000</v>
      </c>
      <c r="I149" s="24" t="s">
        <v>50</v>
      </c>
    </row>
    <row r="150" spans="1:9" ht="18.75" customHeight="1" x14ac:dyDescent="0.35">
      <c r="A150" s="37"/>
      <c r="B150" s="38" t="s">
        <v>107</v>
      </c>
      <c r="C150" s="17"/>
      <c r="D150" s="17"/>
      <c r="E150" s="17"/>
      <c r="F150" s="17"/>
      <c r="G150" s="40" t="s">
        <v>119</v>
      </c>
      <c r="H150" s="44">
        <f>MAX(H148:H149)</f>
        <v>275000</v>
      </c>
      <c r="I150" s="24" t="s">
        <v>50</v>
      </c>
    </row>
    <row r="151" spans="1:9" ht="18.75" customHeight="1" x14ac:dyDescent="0.35">
      <c r="A151" s="37"/>
      <c r="B151" s="38"/>
      <c r="C151" s="17"/>
      <c r="D151" s="17"/>
      <c r="E151" s="17"/>
      <c r="F151" s="17"/>
      <c r="G151" s="17"/>
      <c r="H151" s="17"/>
      <c r="I151" s="36"/>
    </row>
    <row r="152" spans="1:9" ht="18.75" customHeight="1" x14ac:dyDescent="0.35">
      <c r="A152" s="37"/>
      <c r="B152" s="38" t="s">
        <v>117</v>
      </c>
      <c r="C152" s="17"/>
      <c r="D152" s="17"/>
      <c r="E152" s="17"/>
      <c r="F152" s="17"/>
      <c r="G152" s="17"/>
      <c r="H152" s="17"/>
      <c r="I152" s="36"/>
    </row>
    <row r="153" spans="1:9" ht="18.75" customHeight="1" x14ac:dyDescent="0.35">
      <c r="A153" s="37"/>
      <c r="B153" s="38" t="s">
        <v>108</v>
      </c>
      <c r="C153" s="17"/>
      <c r="D153" s="17"/>
      <c r="E153" s="17"/>
      <c r="F153" s="17"/>
      <c r="G153" s="17"/>
      <c r="H153" s="17"/>
      <c r="I153" s="36"/>
    </row>
    <row r="154" spans="1:9" ht="18.75" customHeight="1" x14ac:dyDescent="0.35">
      <c r="A154" s="37"/>
      <c r="B154" s="62" t="s">
        <v>78</v>
      </c>
      <c r="C154" s="17"/>
      <c r="D154" s="3" t="s">
        <v>120</v>
      </c>
      <c r="E154" s="47" t="s">
        <v>100</v>
      </c>
      <c r="F154" s="3" t="s">
        <v>109</v>
      </c>
      <c r="I154" s="36"/>
    </row>
    <row r="155" spans="1:9" ht="18.75" customHeight="1" x14ac:dyDescent="0.35">
      <c r="A155" s="37"/>
      <c r="C155" s="17"/>
      <c r="D155" s="45">
        <f>0.5*H56</f>
        <v>120000</v>
      </c>
      <c r="E155" s="3" t="str">
        <f>IF(D155&gt;=F155,"≥","&lt;")</f>
        <v>&lt;</v>
      </c>
      <c r="F155" s="45">
        <f>H150</f>
        <v>275000</v>
      </c>
      <c r="G155" s="79" t="s">
        <v>18</v>
      </c>
      <c r="H155" s="80" t="str">
        <f>IF(D155&gt;=F155,"[ OK ]","[ NOT OK ]")</f>
        <v>[ NOT OK ]</v>
      </c>
      <c r="I155" s="36"/>
    </row>
    <row r="156" spans="1:9" ht="18.75" customHeight="1" x14ac:dyDescent="0.35">
      <c r="A156" s="37"/>
      <c r="C156" s="17"/>
      <c r="D156" s="17"/>
      <c r="E156" s="17"/>
      <c r="F156" s="17"/>
      <c r="G156" s="78"/>
      <c r="H156" s="78"/>
      <c r="I156" s="36"/>
    </row>
    <row r="157" spans="1:9" ht="18.75" customHeight="1" x14ac:dyDescent="0.35">
      <c r="A157" s="37"/>
      <c r="B157" s="62" t="s">
        <v>79</v>
      </c>
      <c r="C157" s="17"/>
      <c r="D157" s="3" t="s">
        <v>68</v>
      </c>
      <c r="E157" s="47" t="s">
        <v>21</v>
      </c>
      <c r="F157" s="3" t="s">
        <v>116</v>
      </c>
      <c r="G157" s="78"/>
      <c r="H157" s="78"/>
      <c r="I157" s="36"/>
    </row>
    <row r="158" spans="1:9" ht="18.75" customHeight="1" x14ac:dyDescent="0.35">
      <c r="A158" s="37"/>
      <c r="B158" s="38"/>
      <c r="C158" s="17"/>
      <c r="D158" s="45">
        <f>H57</f>
        <v>23000</v>
      </c>
      <c r="E158" s="3" t="str">
        <f>IF(D158&gt;=F158,"≥","&lt;")</f>
        <v>&lt;</v>
      </c>
      <c r="F158" s="45">
        <f>H167*H4/20</f>
        <v>315000</v>
      </c>
      <c r="G158" s="79" t="s">
        <v>18</v>
      </c>
      <c r="H158" s="80" t="str">
        <f>IF(D158&gt;=F158,"[ OK ]","[ NOT OK ]")</f>
        <v>[ NOT OK ]</v>
      </c>
      <c r="I158" s="36"/>
    </row>
    <row r="159" spans="1:9" ht="18.75" customHeight="1" x14ac:dyDescent="0.35">
      <c r="A159" s="37"/>
      <c r="B159" s="38" t="s">
        <v>69</v>
      </c>
      <c r="C159" s="17" t="str">
        <f>IF(AND(H155="[ OK ]",H158="[ OK ]"),"diasumsikan Vc = 0","Vc ≠ 0")</f>
        <v>Vc ≠ 0</v>
      </c>
      <c r="D159" s="17"/>
      <c r="E159" s="17"/>
      <c r="F159" s="17"/>
      <c r="G159" s="17"/>
      <c r="H159" s="17"/>
      <c r="I159" s="36"/>
    </row>
    <row r="160" spans="1:9" ht="18.75" customHeight="1" x14ac:dyDescent="0.35">
      <c r="A160" s="37"/>
      <c r="B160" s="38" t="s">
        <v>144</v>
      </c>
      <c r="C160" s="17"/>
      <c r="D160" s="17"/>
      <c r="E160" s="17"/>
      <c r="F160" s="17"/>
      <c r="G160" s="40" t="s">
        <v>52</v>
      </c>
      <c r="H160" s="74">
        <f>H58</f>
        <v>326000000</v>
      </c>
      <c r="I160" s="24" t="s">
        <v>51</v>
      </c>
    </row>
    <row r="161" spans="1:9" ht="18.75" customHeight="1" x14ac:dyDescent="0.35">
      <c r="A161" s="37"/>
      <c r="B161" s="38" t="s">
        <v>145</v>
      </c>
      <c r="C161" s="17"/>
      <c r="D161" s="17"/>
      <c r="E161" s="17"/>
      <c r="F161" s="17"/>
      <c r="G161" s="40" t="s">
        <v>143</v>
      </c>
      <c r="H161" s="39">
        <f>H57</f>
        <v>23000</v>
      </c>
      <c r="I161" s="24" t="s">
        <v>50</v>
      </c>
    </row>
    <row r="162" spans="1:9" ht="18.75" customHeight="1" x14ac:dyDescent="0.35">
      <c r="A162" s="37"/>
      <c r="B162" s="38" t="s">
        <v>10</v>
      </c>
      <c r="C162" s="17"/>
      <c r="D162" s="17"/>
      <c r="E162" s="17"/>
      <c r="F162" s="17"/>
      <c r="G162" s="40" t="s">
        <v>148</v>
      </c>
      <c r="H162" s="39">
        <f>H4</f>
        <v>35</v>
      </c>
      <c r="I162" s="24" t="s">
        <v>0</v>
      </c>
    </row>
    <row r="163" spans="1:9" ht="18.75" customHeight="1" x14ac:dyDescent="0.35">
      <c r="A163" s="37"/>
      <c r="B163" s="38" t="s">
        <v>41</v>
      </c>
      <c r="C163" s="17"/>
      <c r="D163" s="17"/>
      <c r="E163" s="17"/>
      <c r="F163" s="17"/>
      <c r="G163" s="2" t="s">
        <v>146</v>
      </c>
      <c r="H163" s="39">
        <f>H11</f>
        <v>600</v>
      </c>
      <c r="I163" s="24" t="s">
        <v>4</v>
      </c>
    </row>
    <row r="164" spans="1:9" ht="18.75" customHeight="1" x14ac:dyDescent="0.35">
      <c r="A164" s="37"/>
      <c r="B164" s="38" t="s">
        <v>42</v>
      </c>
      <c r="C164" s="17"/>
      <c r="D164" s="17"/>
      <c r="E164" s="17"/>
      <c r="F164" s="17"/>
      <c r="G164" s="2" t="s">
        <v>147</v>
      </c>
      <c r="H164" s="39">
        <f>H10</f>
        <v>300</v>
      </c>
      <c r="I164" s="24" t="s">
        <v>4</v>
      </c>
    </row>
    <row r="165" spans="1:9" ht="18.75" customHeight="1" x14ac:dyDescent="0.35">
      <c r="A165" s="37"/>
      <c r="B165" s="1" t="s">
        <v>8</v>
      </c>
      <c r="C165" s="17"/>
      <c r="D165" s="17"/>
      <c r="E165" s="17"/>
      <c r="F165" s="17"/>
      <c r="G165" s="2" t="s">
        <v>9</v>
      </c>
      <c r="H165" s="39">
        <f>H12</f>
        <v>40</v>
      </c>
      <c r="I165" s="24" t="s">
        <v>4</v>
      </c>
    </row>
    <row r="166" spans="1:9" ht="18.75" customHeight="1" x14ac:dyDescent="0.35">
      <c r="A166" s="37"/>
      <c r="B166" s="41"/>
      <c r="C166" s="17"/>
      <c r="D166" s="17"/>
      <c r="E166" s="17"/>
      <c r="F166" s="17"/>
      <c r="G166" s="40"/>
      <c r="H166" s="40"/>
      <c r="I166" s="24"/>
    </row>
    <row r="167" spans="1:9" ht="18.75" customHeight="1" x14ac:dyDescent="0.35">
      <c r="A167" s="37"/>
      <c r="B167" s="38" t="s">
        <v>23</v>
      </c>
      <c r="C167" s="17"/>
      <c r="D167" s="17"/>
      <c r="E167" s="17"/>
      <c r="F167" s="17"/>
      <c r="G167" s="2" t="s">
        <v>180</v>
      </c>
      <c r="H167" s="39">
        <f>H164*H163</f>
        <v>180000</v>
      </c>
      <c r="I167" s="24" t="s">
        <v>19</v>
      </c>
    </row>
    <row r="168" spans="1:9" ht="18.75" customHeight="1" x14ac:dyDescent="0.35">
      <c r="A168" s="37"/>
      <c r="B168" s="38" t="s">
        <v>47</v>
      </c>
      <c r="C168" s="17"/>
      <c r="D168" s="17"/>
      <c r="E168" s="17"/>
      <c r="F168" s="17"/>
      <c r="G168" s="2" t="s">
        <v>179</v>
      </c>
      <c r="H168" s="39">
        <f>0.25*3.14*H28^2</f>
        <v>379.94</v>
      </c>
      <c r="I168" s="24" t="s">
        <v>19</v>
      </c>
    </row>
    <row r="169" spans="1:9" ht="18.75" customHeight="1" x14ac:dyDescent="0.35">
      <c r="A169" s="37"/>
      <c r="B169" s="38" t="s">
        <v>45</v>
      </c>
      <c r="C169" s="17"/>
      <c r="D169" s="17"/>
      <c r="E169" s="17"/>
      <c r="F169" s="17"/>
      <c r="G169" s="40" t="s">
        <v>46</v>
      </c>
      <c r="H169" s="42">
        <f>H168/(H163*(MAX(H10:H11)-H165-H45-0.5*H28))</f>
        <v>1.1814054726368159E-3</v>
      </c>
      <c r="I169" s="24"/>
    </row>
    <row r="170" spans="1:9" ht="18.75" customHeight="1" x14ac:dyDescent="0.35">
      <c r="A170" s="37"/>
      <c r="B170" s="38" t="s">
        <v>49</v>
      </c>
      <c r="C170" s="17"/>
      <c r="D170" s="17"/>
      <c r="E170" s="17"/>
      <c r="F170" s="17"/>
      <c r="G170" s="43" t="s">
        <v>48</v>
      </c>
      <c r="H170" s="44">
        <v>1</v>
      </c>
      <c r="I170" s="24"/>
    </row>
    <row r="171" spans="1:9" ht="18.75" customHeight="1" x14ac:dyDescent="0.35">
      <c r="A171" s="37"/>
      <c r="B171" s="38"/>
      <c r="C171" s="17"/>
      <c r="D171" s="17"/>
      <c r="E171" s="17"/>
      <c r="F171" s="17"/>
      <c r="G171" s="17"/>
      <c r="I171" s="24"/>
    </row>
    <row r="172" spans="1:9" ht="18.75" customHeight="1" x14ac:dyDescent="0.35">
      <c r="A172" s="37"/>
      <c r="B172" s="38" t="s">
        <v>39</v>
      </c>
      <c r="C172" s="17"/>
      <c r="D172" s="17"/>
      <c r="E172" s="17"/>
      <c r="F172" s="17"/>
      <c r="G172" s="40" t="s">
        <v>44</v>
      </c>
      <c r="H172" s="44">
        <f>MIN(IF(C159="diasumsikan Vc = 0","-",(0.17*(1+(H161/(14*H167)))*H170*SQRT(H162)*H163*(MAX(H10:H11)-H165-H45-0.5*H28))/10^3),IF(C159="diasumsikan Vc = 0","-",IF((H160-(H161*(4*H164-(MAX(H10:H11)-H165-H45-0.5*H28))/8))&lt;0,"-",((0.16*H170*SQRT(H162)+17*H169*(H150*(MAX(H10:H11)-H165-H45-0.5*H28)/(H160-H161*(4*H164-(MAX(H10:H11)-H165-H45-0.5*H28))/8)))*H163*(MAX(H10:H11)-H165-H45-0.5*H28))/10^3)),IF(C159="diasumsikan Vc = 0","-",(0.29*H170*SQRT(H162)*H163*(MAX(H10:H11)-H165-H45-0.5*H28)*SQRT(1+(0.29*H161/H167)))/10^3))</f>
        <v>307.35541344663187</v>
      </c>
      <c r="I172" s="24" t="s">
        <v>17</v>
      </c>
    </row>
    <row r="173" spans="1:9" ht="18.75" customHeight="1" x14ac:dyDescent="0.35">
      <c r="A173" s="37"/>
      <c r="B173" s="38"/>
      <c r="C173" s="17"/>
      <c r="D173" s="17"/>
      <c r="E173" s="17"/>
      <c r="F173" s="17"/>
      <c r="G173" s="43" t="s">
        <v>54</v>
      </c>
      <c r="H173" s="44">
        <v>0.75</v>
      </c>
      <c r="I173" s="36"/>
    </row>
    <row r="174" spans="1:9" ht="18.75" customHeight="1" x14ac:dyDescent="0.35">
      <c r="A174" s="37"/>
      <c r="B174" s="38" t="s">
        <v>53</v>
      </c>
      <c r="C174" s="17"/>
      <c r="D174" s="17"/>
      <c r="E174" s="17"/>
      <c r="F174" s="17"/>
      <c r="G174" s="43"/>
      <c r="H174" s="61"/>
      <c r="I174" s="36"/>
    </row>
    <row r="175" spans="1:9" ht="18.75" customHeight="1" x14ac:dyDescent="0.35">
      <c r="A175" s="37"/>
      <c r="B175" s="25" t="s">
        <v>20</v>
      </c>
      <c r="D175" s="3" t="s">
        <v>57</v>
      </c>
      <c r="E175" s="47" t="s">
        <v>56</v>
      </c>
      <c r="F175" s="46" t="s">
        <v>55</v>
      </c>
      <c r="G175" s="4"/>
      <c r="H175" s="3"/>
      <c r="I175" s="36"/>
    </row>
    <row r="176" spans="1:9" ht="18.75" customHeight="1" x14ac:dyDescent="0.35">
      <c r="A176" s="37"/>
      <c r="B176" s="23"/>
      <c r="C176" s="32" t="s">
        <v>111</v>
      </c>
      <c r="D176" s="45">
        <f>IF(C159="diasumsikan Vc = 0","-",H150/10^3)</f>
        <v>275</v>
      </c>
      <c r="E176" s="3" t="str">
        <f>IF(D176&gt;F176,"&gt;","≤")</f>
        <v>≤</v>
      </c>
      <c r="F176" s="45">
        <f>IF(C159="diasumsikan Vc = 0","-",H173*(H172*10^3+0.066*SQRT(H162)*H163*(MAX(H10:H11)-H165-H45-0.5*H28)))/10^3</f>
        <v>324.69581736809329</v>
      </c>
      <c r="G176" s="5" t="s">
        <v>18</v>
      </c>
      <c r="H176" s="6" t="str">
        <f>IF(D176&lt;=F176,"[ OK ]","[ NOT OK ]")</f>
        <v>[ OK ]</v>
      </c>
      <c r="I176" s="36"/>
    </row>
    <row r="177" spans="1:9" ht="18.75" customHeight="1" x14ac:dyDescent="0.35">
      <c r="A177" s="37"/>
      <c r="B177" s="38"/>
      <c r="C177" s="17"/>
      <c r="D177" s="17"/>
      <c r="E177" s="17"/>
      <c r="F177" s="17"/>
      <c r="G177" s="17"/>
      <c r="H177" s="17"/>
      <c r="I177" s="36"/>
    </row>
    <row r="178" spans="1:9" ht="18.75" customHeight="1" x14ac:dyDescent="0.35">
      <c r="A178" s="37"/>
      <c r="B178" s="38" t="s">
        <v>110</v>
      </c>
      <c r="C178" s="17"/>
      <c r="D178" s="17"/>
      <c r="E178" s="17"/>
      <c r="F178" s="17"/>
      <c r="G178" s="17"/>
      <c r="H178" s="17"/>
      <c r="I178" s="36"/>
    </row>
    <row r="179" spans="1:9" ht="18.75" customHeight="1" x14ac:dyDescent="0.35">
      <c r="A179" s="37"/>
      <c r="B179" s="38"/>
      <c r="C179" s="17"/>
      <c r="D179" s="3" t="s">
        <v>57</v>
      </c>
      <c r="E179" s="47" t="s">
        <v>22</v>
      </c>
      <c r="F179" s="3" t="s">
        <v>112</v>
      </c>
      <c r="I179" s="36"/>
    </row>
    <row r="180" spans="1:9" ht="18.75" customHeight="1" x14ac:dyDescent="0.35">
      <c r="A180" s="37"/>
      <c r="B180" s="38"/>
      <c r="C180" s="32" t="s">
        <v>111</v>
      </c>
      <c r="D180" s="45">
        <f>H150/10^3</f>
        <v>275</v>
      </c>
      <c r="E180" s="3" t="str">
        <f>IF(D180&gt;F180,"&gt;","≤")</f>
        <v>&gt;</v>
      </c>
      <c r="F180" s="45">
        <f>H173*H172</f>
        <v>230.51656008497389</v>
      </c>
      <c r="G180" s="66" t="str">
        <f>IF(D180&gt;=F180,"→    [ perlu tul. Geser ]","→    [ tidak perlu tul. geser ]")</f>
        <v>→    [ perlu tul. Geser ]</v>
      </c>
      <c r="I180" s="36"/>
    </row>
    <row r="181" spans="1:9" ht="18.75" customHeight="1" x14ac:dyDescent="0.35">
      <c r="A181" s="37"/>
      <c r="B181" s="38"/>
      <c r="C181" s="17"/>
      <c r="D181" s="17"/>
      <c r="E181" s="17"/>
      <c r="F181" s="17"/>
      <c r="G181" s="17"/>
      <c r="H181" s="17"/>
      <c r="I181" s="36"/>
    </row>
    <row r="182" spans="1:9" ht="18.75" customHeight="1" x14ac:dyDescent="0.35">
      <c r="A182" s="37"/>
      <c r="B182" s="38" t="s">
        <v>113</v>
      </c>
      <c r="C182" s="17"/>
      <c r="D182" s="17"/>
      <c r="E182" s="17"/>
      <c r="F182" s="17"/>
      <c r="G182" s="2" t="s">
        <v>181</v>
      </c>
      <c r="H182" s="44">
        <f>IF(G180="→    [ perlu tul. Geser ]",((H150-(H173*H172*10^3))/(H173*H6*(MAX(H10:H11)-H165-H45-0.5*H28)))*G102,"-")</f>
        <v>19.75987913780477</v>
      </c>
      <c r="I182" s="24" t="s">
        <v>19</v>
      </c>
    </row>
    <row r="183" spans="1:9" ht="18.75" customHeight="1" x14ac:dyDescent="0.35">
      <c r="A183" s="37"/>
      <c r="B183" s="38" t="s">
        <v>138</v>
      </c>
      <c r="C183" s="17"/>
      <c r="D183" s="17"/>
      <c r="E183" s="17"/>
      <c r="F183" s="17"/>
      <c r="G183" s="2" t="s">
        <v>139</v>
      </c>
      <c r="H183" s="44">
        <f>H46*1/4*3.14*H45^2</f>
        <v>663.32500000000005</v>
      </c>
      <c r="I183" s="24" t="s">
        <v>125</v>
      </c>
    </row>
    <row r="184" spans="1:9" ht="18.649999999999999" customHeight="1" x14ac:dyDescent="0.35">
      <c r="A184" s="37"/>
      <c r="B184" s="38"/>
      <c r="C184" s="17"/>
      <c r="D184" s="17"/>
      <c r="E184" s="17"/>
      <c r="F184" s="17"/>
      <c r="G184" s="17"/>
      <c r="H184" s="17"/>
      <c r="I184" s="36"/>
    </row>
    <row r="185" spans="1:9" ht="18.75" customHeight="1" x14ac:dyDescent="0.35">
      <c r="A185" s="37"/>
      <c r="B185" s="25" t="s">
        <v>20</v>
      </c>
      <c r="D185" s="3" t="s">
        <v>115</v>
      </c>
      <c r="E185" s="47" t="s">
        <v>22</v>
      </c>
      <c r="F185" s="3" t="s">
        <v>114</v>
      </c>
      <c r="G185" s="4"/>
      <c r="H185" s="3"/>
      <c r="I185" s="36"/>
    </row>
    <row r="186" spans="1:9" ht="18.75" customHeight="1" x14ac:dyDescent="0.35">
      <c r="A186" s="37"/>
      <c r="B186" s="23"/>
      <c r="C186" s="32" t="s">
        <v>121</v>
      </c>
      <c r="D186" s="45">
        <f>H183</f>
        <v>663.32500000000005</v>
      </c>
      <c r="E186" s="3" t="str">
        <f>IF(D186&gt;F186,"&gt;","≤")</f>
        <v>&gt;</v>
      </c>
      <c r="F186" s="45">
        <f>H182</f>
        <v>19.75987913780477</v>
      </c>
      <c r="G186" s="5" t="s">
        <v>18</v>
      </c>
      <c r="H186" s="6" t="str">
        <f>IF(D186&gt;F186,"[ OK ]","[ NOT OK ]")</f>
        <v>[ OK ]</v>
      </c>
      <c r="I186" s="36"/>
    </row>
    <row r="187" spans="1:9" ht="18.75" customHeight="1" x14ac:dyDescent="0.35">
      <c r="A187" s="37"/>
      <c r="B187" s="38"/>
      <c r="C187" s="17"/>
      <c r="D187" s="17"/>
      <c r="E187" s="17"/>
      <c r="F187" s="17"/>
      <c r="G187" s="17"/>
      <c r="H187" s="17"/>
      <c r="I187" s="36"/>
    </row>
    <row r="188" spans="1:9" ht="18.75" customHeight="1" x14ac:dyDescent="0.35">
      <c r="A188" s="37"/>
      <c r="B188" s="38" t="s">
        <v>122</v>
      </c>
      <c r="C188" s="17"/>
      <c r="D188" s="17"/>
      <c r="E188" s="17"/>
      <c r="F188" s="17"/>
      <c r="G188" s="2" t="s">
        <v>182</v>
      </c>
      <c r="H188" s="44">
        <f>H183*H6*(MAX(H10:H11)-H165-H45-0.5*H28)/G102/10^3</f>
        <v>1991.0363200000002</v>
      </c>
      <c r="I188" s="24" t="s">
        <v>17</v>
      </c>
    </row>
    <row r="189" spans="1:9" ht="18.75" customHeight="1" x14ac:dyDescent="0.35">
      <c r="A189" s="37"/>
      <c r="B189" s="38" t="s">
        <v>123</v>
      </c>
      <c r="C189" s="17"/>
      <c r="D189" s="17"/>
      <c r="E189" s="17"/>
      <c r="F189" s="17"/>
      <c r="G189" s="2" t="s">
        <v>183</v>
      </c>
      <c r="H189" s="44">
        <f>H172+H188</f>
        <v>2298.3917334466319</v>
      </c>
      <c r="I189" s="24" t="s">
        <v>17</v>
      </c>
    </row>
    <row r="190" spans="1:9" ht="18.75" customHeight="1" x14ac:dyDescent="0.35">
      <c r="A190" s="37"/>
      <c r="B190" s="25" t="s">
        <v>20</v>
      </c>
      <c r="D190" s="3" t="s">
        <v>57</v>
      </c>
      <c r="E190" s="47" t="s">
        <v>21</v>
      </c>
      <c r="F190" s="3" t="s">
        <v>124</v>
      </c>
      <c r="G190" s="4"/>
      <c r="H190" s="3"/>
      <c r="I190" s="36"/>
    </row>
    <row r="191" spans="1:9" ht="18.75" customHeight="1" x14ac:dyDescent="0.35">
      <c r="A191" s="37"/>
      <c r="B191" s="23"/>
      <c r="C191" s="32" t="s">
        <v>121</v>
      </c>
      <c r="D191" s="45">
        <f>H150/10^3</f>
        <v>275</v>
      </c>
      <c r="E191" s="3" t="str">
        <f>IF(D191&lt;F191,"&lt;","≥")</f>
        <v>&lt;</v>
      </c>
      <c r="F191" s="45">
        <f>H173*H189</f>
        <v>1723.793800084974</v>
      </c>
      <c r="G191" s="5" t="s">
        <v>18</v>
      </c>
      <c r="H191" s="6" t="str">
        <f>IF(D191&lt;F191,"[ OK ]","[ NOT OK ]")</f>
        <v>[ OK ]</v>
      </c>
      <c r="I191" s="36"/>
    </row>
    <row r="192" spans="1:9" ht="18.75" customHeight="1" x14ac:dyDescent="0.35">
      <c r="A192" s="37"/>
      <c r="B192" s="38"/>
      <c r="C192" s="17"/>
      <c r="D192" s="17"/>
      <c r="E192" s="17"/>
      <c r="F192" s="17"/>
      <c r="G192" s="17"/>
      <c r="H192" s="17"/>
      <c r="I192" s="36"/>
    </row>
    <row r="193" spans="1:9" ht="18.75" customHeight="1" x14ac:dyDescent="0.35">
      <c r="A193" s="37"/>
      <c r="B193" s="38"/>
      <c r="C193" s="17"/>
      <c r="D193" s="17"/>
      <c r="E193" s="17"/>
      <c r="F193" s="17"/>
      <c r="G193" s="17"/>
      <c r="H193" s="17"/>
      <c r="I193" s="36"/>
    </row>
    <row r="194" spans="1:9" ht="18.75" customHeight="1" x14ac:dyDescent="0.35">
      <c r="A194" s="37"/>
      <c r="B194" s="38"/>
      <c r="C194" s="17"/>
      <c r="D194" s="17"/>
      <c r="E194" s="17"/>
      <c r="F194" s="17"/>
      <c r="G194" s="17"/>
      <c r="H194" s="17"/>
      <c r="I194" s="36"/>
    </row>
    <row r="195" spans="1:9" ht="18.75" customHeight="1" x14ac:dyDescent="0.35">
      <c r="A195" s="37"/>
      <c r="B195" s="38"/>
      <c r="C195" s="17"/>
      <c r="D195" s="17"/>
      <c r="E195" s="17"/>
      <c r="F195" s="17"/>
      <c r="G195" s="17"/>
      <c r="H195" s="17"/>
      <c r="I195" s="36"/>
    </row>
    <row r="196" spans="1:9" ht="18.75" customHeight="1" x14ac:dyDescent="0.35">
      <c r="A196" s="37"/>
      <c r="B196" s="38"/>
      <c r="C196" s="17"/>
      <c r="D196" s="17"/>
      <c r="E196" s="17"/>
      <c r="F196" s="17"/>
      <c r="G196" s="17"/>
      <c r="H196" s="17"/>
      <c r="I196" s="36"/>
    </row>
    <row r="197" spans="1:9" ht="18.75" customHeight="1" x14ac:dyDescent="0.35">
      <c r="A197" s="37"/>
      <c r="B197" s="38"/>
      <c r="C197" s="17"/>
      <c r="D197" s="17"/>
      <c r="E197" s="17"/>
      <c r="F197" s="17"/>
      <c r="G197" s="17"/>
      <c r="H197" s="17"/>
      <c r="I197" s="36"/>
    </row>
    <row r="198" spans="1:9" ht="18.75" customHeight="1" x14ac:dyDescent="0.35">
      <c r="A198" s="37"/>
      <c r="B198" s="38"/>
      <c r="C198" s="17"/>
      <c r="D198" s="17"/>
      <c r="E198" s="17"/>
      <c r="F198" s="17"/>
      <c r="G198" s="17"/>
      <c r="H198" s="17"/>
      <c r="I198" s="36"/>
    </row>
    <row r="199" spans="1:9" ht="18.75" customHeight="1" x14ac:dyDescent="0.35">
      <c r="A199" s="37"/>
      <c r="B199" s="38"/>
      <c r="C199" s="17"/>
      <c r="D199" s="17"/>
      <c r="E199" s="17"/>
      <c r="F199" s="17"/>
      <c r="G199" s="17"/>
      <c r="H199" s="17"/>
      <c r="I199" s="36"/>
    </row>
    <row r="200" spans="1:9" ht="18.75" customHeight="1" x14ac:dyDescent="0.35">
      <c r="A200" s="37"/>
      <c r="B200" s="38"/>
      <c r="C200" s="17"/>
      <c r="D200" s="17"/>
      <c r="E200" s="17"/>
      <c r="F200" s="17"/>
      <c r="G200" s="17"/>
      <c r="H200" s="17"/>
      <c r="I200" s="36"/>
    </row>
    <row r="201" spans="1:9" ht="18.75" customHeight="1" x14ac:dyDescent="0.35">
      <c r="A201" s="37"/>
      <c r="B201" s="38"/>
      <c r="C201" s="17"/>
      <c r="D201" s="17"/>
      <c r="E201" s="17"/>
      <c r="F201" s="17"/>
      <c r="G201" s="17"/>
      <c r="H201" s="17"/>
      <c r="I201" s="36"/>
    </row>
    <row r="202" spans="1:9" ht="18.75" customHeight="1" x14ac:dyDescent="0.35">
      <c r="A202" s="37"/>
      <c r="B202" s="38"/>
      <c r="C202" s="17"/>
      <c r="D202" s="17"/>
      <c r="E202" s="17"/>
      <c r="F202" s="17"/>
      <c r="G202" s="17"/>
      <c r="H202" s="17"/>
      <c r="I202" s="36"/>
    </row>
    <row r="203" spans="1:9" ht="18.75" customHeight="1" x14ac:dyDescent="0.35">
      <c r="A203" s="37"/>
      <c r="B203" s="38"/>
      <c r="C203" s="17"/>
      <c r="D203" s="17"/>
      <c r="E203" s="17"/>
      <c r="F203" s="17"/>
      <c r="G203" s="17"/>
      <c r="H203" s="17"/>
      <c r="I203" s="36"/>
    </row>
    <row r="204" spans="1:9" ht="18.75" customHeight="1" x14ac:dyDescent="0.35">
      <c r="A204" s="37"/>
      <c r="B204" s="38"/>
      <c r="C204" s="17"/>
      <c r="D204" s="17"/>
      <c r="E204" s="17"/>
      <c r="F204" s="17"/>
      <c r="G204" s="17"/>
      <c r="H204" s="17"/>
      <c r="I204" s="36"/>
    </row>
    <row r="205" spans="1:9" ht="18.75" customHeight="1" x14ac:dyDescent="0.35">
      <c r="A205" s="37"/>
      <c r="B205" s="38"/>
      <c r="C205" s="17"/>
      <c r="D205" s="17"/>
      <c r="E205" s="17"/>
      <c r="F205" s="17"/>
      <c r="G205" s="17"/>
      <c r="H205" s="17"/>
      <c r="I205" s="36"/>
    </row>
    <row r="206" spans="1:9" ht="18.75" customHeight="1" x14ac:dyDescent="0.35">
      <c r="A206" s="37"/>
      <c r="B206" s="38"/>
      <c r="C206" s="17"/>
      <c r="D206" s="17"/>
      <c r="E206" s="17"/>
      <c r="F206" s="17"/>
      <c r="G206" s="17"/>
      <c r="H206" s="17"/>
      <c r="I206" s="36"/>
    </row>
    <row r="207" spans="1:9" ht="18.75" customHeight="1" x14ac:dyDescent="0.35">
      <c r="A207" s="37"/>
      <c r="B207" s="38"/>
      <c r="C207" s="17"/>
      <c r="D207" s="17"/>
      <c r="E207" s="17"/>
      <c r="F207" s="17"/>
      <c r="G207" s="17"/>
      <c r="H207" s="17"/>
      <c r="I207" s="36"/>
    </row>
    <row r="208" spans="1:9" ht="18.75" customHeight="1" x14ac:dyDescent="0.35">
      <c r="A208" s="37"/>
      <c r="B208" s="38"/>
      <c r="C208" s="17"/>
      <c r="D208" s="17"/>
      <c r="E208" s="17"/>
      <c r="F208" s="17"/>
      <c r="G208" s="17"/>
      <c r="H208" s="17"/>
      <c r="I208" s="36"/>
    </row>
    <row r="209" spans="1:9" ht="18.75" customHeight="1" x14ac:dyDescent="0.35">
      <c r="A209" s="37"/>
      <c r="B209" s="38"/>
      <c r="C209" s="17"/>
      <c r="D209" s="17"/>
      <c r="E209" s="17"/>
      <c r="F209" s="17"/>
      <c r="G209" s="17"/>
      <c r="H209" s="17"/>
      <c r="I209" s="36"/>
    </row>
    <row r="210" spans="1:9" ht="18.75" customHeight="1" x14ac:dyDescent="0.35">
      <c r="A210" s="37"/>
      <c r="B210" s="38"/>
      <c r="C210" s="17"/>
      <c r="D210" s="17"/>
      <c r="E210" s="17"/>
      <c r="F210" s="17"/>
      <c r="G210" s="17"/>
      <c r="H210" s="17"/>
      <c r="I210" s="36"/>
    </row>
    <row r="211" spans="1:9" ht="18.75" customHeight="1" x14ac:dyDescent="0.35">
      <c r="A211" s="37"/>
      <c r="B211" s="38"/>
      <c r="C211" s="17"/>
      <c r="D211" s="17"/>
      <c r="E211" s="17"/>
      <c r="F211" s="17"/>
      <c r="G211" s="17"/>
      <c r="H211" s="17"/>
      <c r="I211" s="36"/>
    </row>
    <row r="212" spans="1:9" ht="18.75" customHeight="1" x14ac:dyDescent="0.35">
      <c r="A212" s="37"/>
      <c r="B212" s="38"/>
      <c r="C212" s="17"/>
      <c r="D212" s="17"/>
      <c r="E212" s="17"/>
      <c r="F212" s="17"/>
      <c r="G212" s="17"/>
      <c r="H212" s="17"/>
      <c r="I212" s="36"/>
    </row>
    <row r="213" spans="1:9" ht="18.75" customHeight="1" x14ac:dyDescent="0.35">
      <c r="A213" s="37"/>
      <c r="B213" s="38"/>
      <c r="C213" s="17"/>
      <c r="D213" s="17"/>
      <c r="E213" s="17"/>
      <c r="F213" s="17"/>
      <c r="G213" s="17"/>
      <c r="H213" s="17"/>
      <c r="I213" s="36"/>
    </row>
    <row r="214" spans="1:9" ht="18.75" customHeight="1" x14ac:dyDescent="0.35">
      <c r="A214" s="37"/>
      <c r="B214" s="38"/>
      <c r="C214" s="17"/>
      <c r="D214" s="17"/>
      <c r="E214" s="17"/>
      <c r="F214" s="17"/>
      <c r="G214" s="17"/>
      <c r="H214" s="17"/>
      <c r="I214" s="36"/>
    </row>
    <row r="215" spans="1:9" ht="18.75" customHeight="1" x14ac:dyDescent="0.35">
      <c r="A215" s="37"/>
      <c r="B215" s="38"/>
      <c r="C215" s="17"/>
      <c r="D215" s="17"/>
      <c r="E215" s="17"/>
      <c r="F215" s="17"/>
      <c r="G215" s="17"/>
      <c r="H215" s="17"/>
      <c r="I215" s="36"/>
    </row>
    <row r="216" spans="1:9" ht="18.75" customHeight="1" x14ac:dyDescent="0.35">
      <c r="A216" s="37"/>
      <c r="B216" s="38"/>
      <c r="C216" s="17"/>
      <c r="D216" s="17"/>
      <c r="E216" s="17"/>
      <c r="F216" s="17"/>
      <c r="G216" s="17"/>
      <c r="H216" s="17"/>
      <c r="I216" s="36"/>
    </row>
    <row r="217" spans="1:9" ht="18.75" customHeight="1" x14ac:dyDescent="0.35">
      <c r="A217" s="18"/>
      <c r="B217" s="23"/>
      <c r="G217" s="2"/>
      <c r="H217" s="3"/>
      <c r="I217" s="24"/>
    </row>
    <row r="218" spans="1:9" ht="18.75" customHeight="1" x14ac:dyDescent="0.35">
      <c r="A218" s="19"/>
      <c r="B218" s="26"/>
      <c r="C218" s="27"/>
      <c r="D218" s="27"/>
      <c r="E218" s="27"/>
      <c r="F218" s="27"/>
      <c r="G218" s="28"/>
      <c r="H218" s="29"/>
      <c r="I218" s="30"/>
    </row>
  </sheetData>
  <mergeCells count="3">
    <mergeCell ref="B1:F1"/>
    <mergeCell ref="B32:B34"/>
    <mergeCell ref="D32:D34"/>
  </mergeCells>
  <phoneticPr fontId="15" type="noConversion"/>
  <dataValidations disablePrompts="1" count="1">
    <dataValidation type="list" allowBlank="1" showInputMessage="1" showErrorMessage="1" sqref="H29:H30 H46:H47" xr:uid="{E0949321-FD37-4D3E-A9F9-EA10DA9C09F2}">
      <formula1>"2,3,4,5,6,7,8"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+ 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Shafannisa Sulhi</cp:lastModifiedBy>
  <cp:lastPrinted>2024-04-07T07:40:25Z</cp:lastPrinted>
  <dcterms:created xsi:type="dcterms:W3CDTF">2021-07-28T03:15:49Z</dcterms:created>
  <dcterms:modified xsi:type="dcterms:W3CDTF">2024-08-14T05:46:35Z</dcterms:modified>
</cp:coreProperties>
</file>