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PETRA.ID\Lite\"/>
    </mc:Choice>
  </mc:AlternateContent>
  <xr:revisionPtr revIDLastSave="0" documentId="8_{33512B86-ECAF-4AE0-96C2-4099EFE950C0}" xr6:coauthVersionLast="47" xr6:coauthVersionMax="47" xr10:uidLastSave="{00000000-0000-0000-0000-000000000000}"/>
  <bookViews>
    <workbookView xWindow="-110" yWindow="-110" windowWidth="25820" windowHeight="13900" xr2:uid="{4B67D479-9093-46B2-B0CE-C0F273E0CB64}"/>
  </bookViews>
  <sheets>
    <sheet name="Input + Proces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2" i="2" l="1"/>
  <c r="H249" i="2"/>
  <c r="H229" i="2"/>
  <c r="H223" i="2"/>
  <c r="H237" i="2" s="1"/>
  <c r="H220" i="2"/>
  <c r="D233" i="2" s="1"/>
  <c r="H179" i="2"/>
  <c r="H178" i="2"/>
  <c r="H176" i="2"/>
  <c r="H41" i="2"/>
  <c r="H42" i="2" s="1"/>
  <c r="H37" i="2"/>
  <c r="H36" i="2"/>
  <c r="H35" i="2"/>
  <c r="H34" i="2"/>
  <c r="H184" i="2" s="1"/>
  <c r="H181" i="2"/>
  <c r="F172" i="2"/>
  <c r="F141" i="2"/>
  <c r="H182" i="2" l="1"/>
  <c r="F233" i="2" s="1"/>
  <c r="D189" i="2"/>
  <c r="H39" i="2" l="1"/>
  <c r="D49" i="2"/>
  <c r="D82" i="2" s="1"/>
  <c r="F131" i="2"/>
  <c r="H222" i="2"/>
  <c r="H253" i="2"/>
  <c r="H43" i="2"/>
  <c r="H183" i="2"/>
  <c r="F191" i="2"/>
  <c r="H197" i="2" l="1"/>
  <c r="H195" i="2"/>
  <c r="D197" i="2" s="1"/>
  <c r="H46" i="2"/>
  <c r="H79" i="2"/>
  <c r="F134" i="2"/>
  <c r="F165" i="2" s="1"/>
  <c r="F162" i="2"/>
  <c r="E49" i="2"/>
  <c r="H193" i="2"/>
  <c r="D195" i="2" s="1"/>
  <c r="G230" i="2"/>
  <c r="H191" i="2"/>
  <c r="G191" i="2" s="1"/>
  <c r="G234" i="2"/>
  <c r="F189" i="2"/>
  <c r="F193" i="2"/>
  <c r="D193" i="2" l="1"/>
  <c r="C206" i="2" s="1"/>
  <c r="F199" i="2"/>
  <c r="D191" i="2"/>
  <c r="C204" i="2"/>
  <c r="E189" i="2"/>
  <c r="F195" i="2"/>
  <c r="G193" i="2"/>
  <c r="H40" i="2"/>
  <c r="E193" i="2"/>
  <c r="H250" i="2"/>
  <c r="H51" i="2" l="1"/>
  <c r="H54" i="2" s="1"/>
  <c r="H49" i="2"/>
  <c r="F49" i="2"/>
  <c r="C205" i="2"/>
  <c r="E191" i="2"/>
  <c r="E82" i="2"/>
  <c r="H82" i="2" s="1"/>
  <c r="F197" i="2"/>
  <c r="G195" i="2"/>
  <c r="C207" i="2"/>
  <c r="E195" i="2"/>
  <c r="H56" i="2" l="1"/>
  <c r="H55" i="2"/>
  <c r="C61" i="2"/>
  <c r="F113" i="2"/>
  <c r="C62" i="2"/>
  <c r="D62" i="2" s="1"/>
  <c r="C63" i="2"/>
  <c r="D63" i="2" s="1"/>
  <c r="H84" i="2"/>
  <c r="H87" i="2" s="1"/>
  <c r="H212" i="2"/>
  <c r="D199" i="2"/>
  <c r="G197" i="2"/>
  <c r="E197" i="2"/>
  <c r="C208" i="2"/>
  <c r="H88" i="2" l="1"/>
  <c r="H257" i="2"/>
  <c r="C96" i="2"/>
  <c r="D96" i="2" s="1"/>
  <c r="C95" i="2"/>
  <c r="D95" i="2" s="1"/>
  <c r="C94" i="2"/>
  <c r="H89" i="2"/>
  <c r="F114" i="2"/>
  <c r="H213" i="2"/>
  <c r="F82" i="2"/>
  <c r="E199" i="2"/>
  <c r="C209" i="2"/>
  <c r="H215" i="2" l="1"/>
  <c r="H235" i="2" s="1"/>
  <c r="H214" i="2"/>
  <c r="H216" i="2" l="1"/>
  <c r="H217" i="2" s="1"/>
  <c r="H113" i="2"/>
  <c r="H225" i="2" l="1"/>
  <c r="H145" i="2"/>
  <c r="H116" i="2"/>
  <c r="H114" i="2"/>
  <c r="H243" i="2" l="1"/>
  <c r="F237" i="2"/>
  <c r="H239" i="2" s="1"/>
  <c r="H57" i="2"/>
  <c r="C64" i="2"/>
  <c r="D61" i="2"/>
  <c r="F145" i="2"/>
  <c r="H144" i="2"/>
  <c r="H147" i="2" s="1"/>
  <c r="H245" i="2" l="1"/>
  <c r="H244" i="2"/>
  <c r="E61" i="2"/>
  <c r="F144" i="2"/>
  <c r="E63" i="2"/>
  <c r="H90" i="2"/>
  <c r="D94" i="2"/>
  <c r="C97" i="2"/>
  <c r="E62" i="2"/>
  <c r="H255" i="2" l="1"/>
  <c r="E95" i="2"/>
  <c r="H246" i="2"/>
  <c r="E64" i="2"/>
  <c r="H75" i="2" s="1"/>
  <c r="E94" i="2"/>
  <c r="E96" i="2"/>
  <c r="H256" i="2" l="1"/>
  <c r="E97" i="2"/>
  <c r="H108" i="2" s="1"/>
  <c r="H76" i="2"/>
  <c r="H261" i="2" l="1"/>
  <c r="H260" i="2"/>
  <c r="D131" i="2"/>
  <c r="H139" i="2"/>
  <c r="D134" i="2"/>
  <c r="H138" i="2" s="1"/>
  <c r="H258" i="2"/>
  <c r="H109" i="2"/>
  <c r="D162" i="2" l="1"/>
  <c r="H170" i="2"/>
  <c r="D165" i="2"/>
  <c r="E134" i="2"/>
  <c r="G138" i="2"/>
  <c r="H136" i="2"/>
  <c r="H134" i="2"/>
  <c r="H131" i="2" l="1"/>
  <c r="E131" i="2"/>
  <c r="D141" i="2" l="1"/>
  <c r="G169" i="2"/>
  <c r="H167" i="2"/>
  <c r="E165" i="2"/>
  <c r="H169" i="2"/>
  <c r="H165" i="2"/>
  <c r="E162" i="2"/>
  <c r="H162" i="2"/>
  <c r="D172" i="2" l="1"/>
  <c r="E141" i="2"/>
  <c r="H141" i="2"/>
  <c r="H172" i="2" l="1"/>
  <c r="E172" i="2"/>
</calcChain>
</file>

<file path=xl/sharedStrings.xml><?xml version="1.0" encoding="utf-8"?>
<sst xmlns="http://schemas.openxmlformats.org/spreadsheetml/2006/main" count="379" uniqueCount="236">
  <si>
    <t>NO.</t>
  </si>
  <si>
    <t>EXPLANATORY</t>
  </si>
  <si>
    <t>FORMULA</t>
  </si>
  <si>
    <t>VALUE</t>
  </si>
  <si>
    <t>UNIT</t>
  </si>
  <si>
    <t>A.1.</t>
  </si>
  <si>
    <t>Input nilai bahan struktur</t>
  </si>
  <si>
    <t>Kuat tekan beton,</t>
  </si>
  <si>
    <r>
      <t>f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>' =</t>
    </r>
  </si>
  <si>
    <t>MPa</t>
  </si>
  <si>
    <t xml:space="preserve">Tegangan leleh baja (deform) untuk tulangan lentur, </t>
  </si>
  <si>
    <r>
      <t>f</t>
    </r>
    <r>
      <rPr>
        <vertAlign val="subscript"/>
        <sz val="11"/>
        <rFont val="Calibri"/>
        <family val="2"/>
        <scheme val="minor"/>
      </rPr>
      <t>y</t>
    </r>
    <r>
      <rPr>
        <sz val="11"/>
        <rFont val="Calibri"/>
        <family val="2"/>
        <scheme val="minor"/>
      </rPr>
      <t xml:space="preserve"> =</t>
    </r>
  </si>
  <si>
    <t>Modulus elastis baja,</t>
  </si>
  <si>
    <r>
      <t>E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</si>
  <si>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A.2.</t>
  </si>
  <si>
    <t>Input nilai dimensi balok</t>
  </si>
  <si>
    <t>Lebar balok</t>
  </si>
  <si>
    <t>b =</t>
  </si>
  <si>
    <t>mm</t>
  </si>
  <si>
    <t>Tinggi balok</t>
  </si>
  <si>
    <t>h =</t>
  </si>
  <si>
    <t>Diameter tulangan (deform) yang digunakan,</t>
  </si>
  <si>
    <t>D =</t>
  </si>
  <si>
    <t>Diameter sengkang (polos) yang digunakan,</t>
  </si>
  <si>
    <t>Tebal bersih selimut beton,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</si>
  <si>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</si>
  <si>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</si>
  <si>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 xml:space="preserve">kN </t>
  </si>
  <si>
    <r>
      <t>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</si>
  <si>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=</t>
    </r>
  </si>
  <si>
    <t>kN.m</t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</si>
  <si>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vertAlign val="superscript"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 =</t>
    </r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</si>
  <si>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=</t>
    </r>
  </si>
  <si>
    <t>A.3.</t>
  </si>
  <si>
    <t>B.</t>
  </si>
  <si>
    <t>PERENCANAAN TULANGAN LONGITUDINAL</t>
  </si>
  <si>
    <t>Tinggi efektif balok,</t>
  </si>
  <si>
    <r>
      <t>mm</t>
    </r>
    <r>
      <rPr>
        <vertAlign val="superscript"/>
        <sz val="11"/>
        <rFont val="Calibri"/>
        <family val="2"/>
        <scheme val="minor"/>
      </rPr>
      <t>2</t>
    </r>
  </si>
  <si>
    <r>
      <t>β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         </t>
    </r>
  </si>
  <si>
    <t xml:space="preserve">Faktor bentuk distribusi tegangan beton,            </t>
  </si>
  <si>
    <t>→</t>
  </si>
  <si>
    <r>
      <t xml:space="preserve">Rasio tulangan pada kondisi </t>
    </r>
    <r>
      <rPr>
        <i/>
        <sz val="11"/>
        <rFont val="Calibri"/>
        <family val="2"/>
        <scheme val="minor"/>
      </rPr>
      <t>balance</t>
    </r>
    <r>
      <rPr>
        <sz val="11"/>
        <rFont val="Calibri"/>
        <family val="2"/>
        <scheme val="minor"/>
      </rPr>
      <t>,</t>
    </r>
  </si>
  <si>
    <t>Jarak tulangan terhadap sisi luar beton,</t>
  </si>
  <si>
    <t>Digunakan jumlah tulangan dalam satu baris,</t>
  </si>
  <si>
    <r>
      <t>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</si>
  <si>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bh</t>
  </si>
  <si>
    <t>Rasio tegangan leleh baja dengan kuat tekan efektif beton,</t>
  </si>
  <si>
    <t>B.1.</t>
  </si>
  <si>
    <t>Penulangan balok untuk momen negatif</t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</si>
  <si>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</si>
  <si>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Rasio tulangan perlu,</t>
  </si>
  <si>
    <t>Kontrol nilai rasio tulangan perlu,</t>
  </si>
  <si>
    <t>Syarat :</t>
  </si>
  <si>
    <t>ρ</t>
  </si>
  <si>
    <t>Nilai rasio tulangan pakai,</t>
  </si>
  <si>
    <t>ρ =</t>
  </si>
  <si>
    <t>Tulangan momen negatif</t>
  </si>
  <si>
    <t>Luas tulangan yang diperlukan,</t>
  </si>
  <si>
    <t>Digunakan tulangan sebelum torsi,</t>
  </si>
  <si>
    <t>Jumlah baris tulangan,</t>
  </si>
  <si>
    <r>
      <t>n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 n / n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</si>
  <si>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Syarat:</t>
  </si>
  <si>
    <r>
      <t>n</t>
    </r>
    <r>
      <rPr>
        <vertAlign val="subscript"/>
        <sz val="11"/>
        <rFont val="Calibri"/>
        <family val="2"/>
        <scheme val="minor"/>
      </rPr>
      <t>b</t>
    </r>
  </si>
  <si>
    <t>Tinggi efektif balok untuk tulangan tarik,</t>
  </si>
  <si>
    <t>Baris</t>
  </si>
  <si>
    <t>Jumlah</t>
  </si>
  <si>
    <t>Jarak</t>
  </si>
  <si>
    <t>Juml. Jarak</t>
  </si>
  <si>
    <t>ke</t>
  </si>
  <si>
    <t>n =</t>
  </si>
  <si>
    <r>
      <rPr>
        <b/>
        <sz val="11"/>
        <rFont val="Calibri"/>
        <family val="2"/>
      </rPr>
      <t>Ʃ</t>
    </r>
    <r>
      <rPr>
        <b/>
        <sz val="11"/>
        <rFont val="Calibri"/>
        <family val="2"/>
        <scheme val="minor"/>
      </rPr>
      <t xml:space="preserve"> [ n</t>
    </r>
    <r>
      <rPr>
        <b/>
        <vertAlign val="subscript"/>
        <sz val="11"/>
        <rFont val="Calibri"/>
        <family val="2"/>
        <scheme val="minor"/>
      </rPr>
      <t>i</t>
    </r>
    <r>
      <rPr>
        <b/>
        <sz val="11"/>
        <rFont val="Calibri"/>
        <family val="2"/>
        <scheme val="minor"/>
      </rPr>
      <t xml:space="preserve"> * y</t>
    </r>
    <r>
      <rPr>
        <b/>
        <vertAlign val="subscript"/>
        <sz val="11"/>
        <rFont val="Calibri"/>
        <family val="2"/>
        <scheme val="minor"/>
      </rPr>
      <t>i</t>
    </r>
    <r>
      <rPr>
        <b/>
        <sz val="11"/>
        <rFont val="Calibri"/>
        <family val="2"/>
        <scheme val="minor"/>
      </rPr>
      <t xml:space="preserve"> ] =</t>
    </r>
  </si>
  <si>
    <t>Penulangan balok untuk momen positif</t>
  </si>
  <si>
    <t>Tulangan momen positif</t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</si>
  <si>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 =</t>
    </r>
  </si>
  <si>
    <t>Tinggi efektif balok untuk tulangan tekan,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</si>
  <si>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 xml:space="preserve">    3</t>
    </r>
  </si>
  <si>
    <t>A.</t>
  </si>
  <si>
    <t>INPUT DATA PERENCANAAN</t>
  </si>
  <si>
    <t>B.2.</t>
  </si>
  <si>
    <t>B.3.</t>
  </si>
  <si>
    <t>B.4.</t>
  </si>
  <si>
    <t>Kontrol kekuatan penampang balok terhadap momen bekerja</t>
  </si>
  <si>
    <t>1. Kondisi lentur negatif</t>
  </si>
  <si>
    <t>Tulangan tarik,</t>
  </si>
  <si>
    <r>
      <t>A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</si>
  <si>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Tulangan tekan,</t>
  </si>
  <si>
    <t>Gaya dalam kondisi tarik pada tulangan tarik sudah leleh,</t>
  </si>
  <si>
    <t>kN</t>
  </si>
  <si>
    <r>
      <t>T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</si>
  <si>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Pengecekan hasil perhitungan terhadap asumsi awal,</t>
  </si>
  <si>
    <t>Syarat untuk tulangan tekan:</t>
  </si>
  <si>
    <t>Syarat untuk tulangan tarik:</t>
  </si>
  <si>
    <t>Klasifikasi regangan tarik netto,</t>
  </si>
  <si>
    <t>Faktor reduksi kekuatan gaya momen,</t>
  </si>
  <si>
    <t>Kapasitas momen terhadap T,</t>
  </si>
  <si>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* M</t>
    </r>
    <r>
      <rPr>
        <vertAlign val="subscript"/>
        <sz val="11"/>
        <rFont val="Calibri"/>
        <family val="2"/>
        <scheme val="minor"/>
      </rPr>
      <t>n</t>
    </r>
  </si>
  <si>
    <t>≥</t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</si>
  <si>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vertAlign val="superscript"/>
        <sz val="11"/>
        <rFont val="Calibri"/>
        <family val="2"/>
        <scheme val="minor"/>
      </rPr>
      <t>-</t>
    </r>
    <r>
      <rPr>
        <sz val="11"/>
        <rFont val="Calibri"/>
        <family val="2"/>
        <scheme val="minor"/>
      </rPr>
      <t xml:space="preserve"> </t>
    </r>
  </si>
  <si>
    <t>2. Kondisi lentur positif</t>
  </si>
  <si>
    <t>Kontrol hasil perhitungan terhadap asumsi regangan awal,</t>
  </si>
  <si>
    <r>
      <t>φ * M</t>
    </r>
    <r>
      <rPr>
        <vertAlign val="subscript"/>
        <sz val="11"/>
        <rFont val="Calibri"/>
        <family val="2"/>
        <scheme val="minor"/>
      </rPr>
      <t>n</t>
    </r>
  </si>
  <si>
    <r>
      <t>M</t>
    </r>
    <r>
      <rPr>
        <vertAlign val="subscript"/>
        <sz val="11"/>
        <rFont val="Calibri"/>
        <family val="2"/>
        <scheme val="minor"/>
      </rPr>
      <t>u</t>
    </r>
    <r>
      <rPr>
        <vertAlign val="superscript"/>
        <sz val="11"/>
        <rFont val="Calibri"/>
        <family val="2"/>
        <scheme val="minor"/>
      </rPr>
      <t>+</t>
    </r>
    <r>
      <rPr>
        <sz val="11"/>
        <rFont val="Calibri"/>
        <family val="2"/>
        <scheme val="minor"/>
      </rPr>
      <t xml:space="preserve"> </t>
    </r>
  </si>
  <si>
    <t>Nilai modulus elastis baja,</t>
  </si>
  <si>
    <t>C.</t>
  </si>
  <si>
    <t>PERENCANAAN TULANGAN GESER</t>
  </si>
  <si>
    <t>C.1.</t>
  </si>
  <si>
    <t>Nilai tahanan geser beton</t>
  </si>
  <si>
    <t>Kondisi gaya aksial yang terjadi,</t>
  </si>
  <si>
    <t>Faktor reduksi kekuatan geser,</t>
  </si>
  <si>
    <r>
      <rPr>
        <i/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=</t>
    </r>
  </si>
  <si>
    <t>Tinggi efektif penampang beton untuk geser,</t>
  </si>
  <si>
    <t>Tegangan leleh tulangan geser,</t>
  </si>
  <si>
    <t>Gaya geser ultimit rencana,</t>
  </si>
  <si>
    <t>Kuat geser beton,</t>
  </si>
  <si>
    <t>Tahanan geser beton,</t>
  </si>
  <si>
    <r>
      <rPr>
        <i/>
        <sz val="11"/>
        <rFont val="Calibri"/>
        <family val="2"/>
      </rPr>
      <t>φ</t>
    </r>
    <r>
      <rPr>
        <sz val="11"/>
        <rFont val="Calibri"/>
        <family val="2"/>
        <scheme val="minor"/>
      </rPr>
      <t xml:space="preserve"> * 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</si>
  <si>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t>Gaya geser minimum tulangan yang dibutuhkan,</t>
  </si>
  <si>
    <t>Syarat Kond. 1</t>
  </si>
  <si>
    <t>≤</t>
  </si>
  <si>
    <t>Syarat Kond. 2</t>
  </si>
  <si>
    <t>Syarat Kond. 3</t>
  </si>
  <si>
    <t>Syarat Kond. 4</t>
  </si>
  <si>
    <t>Syarat Kond. 5</t>
  </si>
  <si>
    <t>Syarat Kond. 6</t>
  </si>
  <si>
    <t>C.2.</t>
  </si>
  <si>
    <t>Kondisi penulangan geser</t>
  </si>
  <si>
    <r>
      <t>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0,5 * φ * V</t>
    </r>
    <r>
      <rPr>
        <b/>
        <vertAlign val="subscript"/>
        <sz val="11"/>
        <rFont val="Calibri"/>
        <family val="2"/>
        <scheme val="minor"/>
      </rPr>
      <t>c</t>
    </r>
  </si>
  <si>
    <r>
      <t xml:space="preserve">0,5 *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≤ 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V</t>
    </r>
    <r>
      <rPr>
        <b/>
        <vertAlign val="subscript"/>
        <sz val="11"/>
        <rFont val="Calibri"/>
        <family val="2"/>
        <scheme val="minor"/>
      </rPr>
      <t>c</t>
    </r>
  </si>
  <si>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≤ 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( 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V</t>
    </r>
    <r>
      <rPr>
        <b/>
        <vertAlign val="subscript"/>
        <sz val="11"/>
        <rFont val="Calibri"/>
        <family val="2"/>
        <scheme val="minor"/>
      </rPr>
      <t>s-min</t>
    </r>
    <r>
      <rPr>
        <b/>
        <sz val="11"/>
        <rFont val="Calibri"/>
        <family val="2"/>
        <scheme val="minor"/>
      </rPr>
      <t>)</t>
    </r>
  </si>
  <si>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 xml:space="preserve"> * ( 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V</t>
    </r>
    <r>
      <rPr>
        <b/>
        <vertAlign val="subscript"/>
        <sz val="11"/>
        <rFont val="Calibri"/>
        <family val="2"/>
        <scheme val="minor"/>
      </rPr>
      <t>s-min</t>
    </r>
    <r>
      <rPr>
        <b/>
        <sz val="11"/>
        <rFont val="Calibri"/>
        <family val="2"/>
        <scheme val="minor"/>
      </rPr>
      <t>) ≤ 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>*(V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+ 1/3*√f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'*b*d)</t>
    </r>
  </si>
  <si>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>*(V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+ 1/3*√f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'*b*d) ≤ 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≤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>*(V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+ 2/3*√f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'*b*d)</t>
    </r>
  </si>
  <si>
    <r>
      <t>V</t>
    </r>
    <r>
      <rPr>
        <b/>
        <vertAlign val="subscript"/>
        <sz val="11"/>
        <rFont val="Calibri"/>
        <family val="2"/>
        <scheme val="minor"/>
      </rPr>
      <t>u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</rPr>
      <t>≥</t>
    </r>
    <r>
      <rPr>
        <b/>
        <sz val="11"/>
        <rFont val="Calibri"/>
        <family val="2"/>
        <scheme val="minor"/>
      </rPr>
      <t xml:space="preserve"> </t>
    </r>
    <r>
      <rPr>
        <b/>
        <i/>
        <sz val="11"/>
        <rFont val="Calibri"/>
        <family val="2"/>
        <scheme val="minor"/>
      </rPr>
      <t>φ</t>
    </r>
    <r>
      <rPr>
        <b/>
        <sz val="11"/>
        <rFont val="Calibri"/>
        <family val="2"/>
        <scheme val="minor"/>
      </rPr>
      <t>*(V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 xml:space="preserve"> + 2/3*√f</t>
    </r>
    <r>
      <rPr>
        <b/>
        <vertAlign val="subscript"/>
        <sz val="11"/>
        <rFont val="Calibri"/>
        <family val="2"/>
        <scheme val="minor"/>
      </rPr>
      <t>c</t>
    </r>
    <r>
      <rPr>
        <b/>
        <sz val="11"/>
        <rFont val="Calibri"/>
        <family val="2"/>
        <scheme val="minor"/>
      </rPr>
      <t>'*b*d)</t>
    </r>
  </si>
  <si>
    <t>Kesimpulan untuk kondisi tulangan geser,</t>
  </si>
  <si>
    <t>Kondisi</t>
  </si>
  <si>
    <t>Keterangan</t>
  </si>
  <si>
    <t>Gaya Geser Tulangan</t>
  </si>
  <si>
    <t>Jarak sengkang</t>
  </si>
  <si>
    <t>TDK PERLU</t>
  </si>
  <si>
    <r>
      <t>V</t>
    </r>
    <r>
      <rPr>
        <vertAlign val="subscript"/>
        <sz val="11"/>
        <rFont val="Calibri"/>
        <family val="2"/>
        <scheme val="minor"/>
      </rPr>
      <t>s-min</t>
    </r>
  </si>
  <si>
    <t>&lt; d/2</t>
  </si>
  <si>
    <t>&lt; 600</t>
  </si>
  <si>
    <t>&lt; d/4</t>
  </si>
  <si>
    <t>&lt; 300</t>
  </si>
  <si>
    <t>Ubah dimensi penampang</t>
  </si>
  <si>
    <r>
      <rPr>
        <i/>
        <sz val="10"/>
        <rFont val="Calibri"/>
        <family val="2"/>
        <scheme val="minor"/>
      </rPr>
      <t>φ</t>
    </r>
    <r>
      <rPr>
        <sz val="10"/>
        <rFont val="Calibri"/>
        <family val="2"/>
        <scheme val="minor"/>
      </rPr>
      <t>*V</t>
    </r>
    <r>
      <rPr>
        <vertAlign val="subscript"/>
        <sz val="10"/>
        <rFont val="Calibri"/>
        <family val="2"/>
        <scheme val="minor"/>
      </rPr>
      <t>s</t>
    </r>
    <r>
      <rPr>
        <sz val="10"/>
        <rFont val="Calibri"/>
        <family val="2"/>
        <scheme val="minor"/>
      </rPr>
      <t xml:space="preserve"> = V</t>
    </r>
    <r>
      <rPr>
        <vertAlign val="subscript"/>
        <sz val="10"/>
        <rFont val="Calibri"/>
        <family val="2"/>
        <scheme val="minor"/>
      </rPr>
      <t>u</t>
    </r>
    <r>
      <rPr>
        <sz val="10"/>
        <rFont val="Calibri"/>
        <family val="2"/>
        <scheme val="minor"/>
      </rPr>
      <t xml:space="preserve"> - </t>
    </r>
    <r>
      <rPr>
        <i/>
        <sz val="10"/>
        <rFont val="Calibri"/>
        <family val="2"/>
        <scheme val="minor"/>
      </rPr>
      <t>φ</t>
    </r>
    <r>
      <rPr>
        <sz val="10"/>
        <rFont val="Calibri"/>
        <family val="2"/>
        <scheme val="minor"/>
      </rPr>
      <t>*V</t>
    </r>
    <r>
      <rPr>
        <vertAlign val="subscript"/>
        <sz val="10"/>
        <rFont val="Calibri"/>
        <family val="2"/>
        <scheme val="minor"/>
      </rPr>
      <t>c</t>
    </r>
  </si>
  <si>
    <t>C.3.</t>
  </si>
  <si>
    <t>Penulangan geser</t>
  </si>
  <si>
    <t>Tahanan geser sengkang,</t>
  </si>
  <si>
    <t>Kuat geser sengkang,</t>
  </si>
  <si>
    <r>
      <t>V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</si>
  <si>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Digunakan sengkang berpenampang :</t>
  </si>
  <si>
    <t>Luas tulangan geser sengkang,</t>
  </si>
  <si>
    <t>Jarak sengkang yang diperlukan :</t>
  </si>
  <si>
    <t>Digunakan sengkang sebelum torsi,</t>
  </si>
  <si>
    <t>D.</t>
  </si>
  <si>
    <t>PERENCANAAN TULANGAN TORSI</t>
  </si>
  <si>
    <t>Gaya torsi ultimit rencana,</t>
  </si>
  <si>
    <t>Faktor reduksi kekuatan torsi,</t>
  </si>
  <si>
    <t>Gaya torsi nominal rencana,</t>
  </si>
  <si>
    <r>
      <t>T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 T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/ </t>
    </r>
    <r>
      <rPr>
        <i/>
        <sz val="11"/>
        <rFont val="Calibri"/>
        <family val="2"/>
        <scheme val="minor"/>
      </rPr>
      <t>φ</t>
    </r>
    <r>
      <rPr>
        <sz val="11"/>
        <rFont val="Calibri"/>
        <family val="2"/>
        <scheme val="minor"/>
      </rPr>
      <t xml:space="preserve"> =</t>
    </r>
  </si>
  <si>
    <t>Tegangan leleh tulangan torsi,</t>
  </si>
  <si>
    <t>Jarak sengkang tulangan transversal,</t>
  </si>
  <si>
    <r>
      <t>s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</t>
    </r>
  </si>
  <si>
    <r>
      <t>s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=</t>
    </r>
  </si>
  <si>
    <t>s =</t>
  </si>
  <si>
    <t>Torsi terkecil yang terdeteksi (threshold)</t>
  </si>
  <si>
    <t xml:space="preserve">Syarat dimensi penampang </t>
  </si>
  <si>
    <r>
      <t>(( V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/ (b * d) )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+ ( T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* P</t>
    </r>
    <r>
      <rPr>
        <vertAlign val="subscript"/>
        <sz val="11"/>
        <rFont val="Calibri"/>
        <family val="2"/>
        <scheme val="minor"/>
      </rPr>
      <t>h</t>
    </r>
    <r>
      <rPr>
        <sz val="11"/>
        <rFont val="Calibri"/>
        <family val="2"/>
        <scheme val="minor"/>
      </rPr>
      <t xml:space="preserve"> / ( 1,7 * A</t>
    </r>
    <r>
      <rPr>
        <vertAlign val="subscript"/>
        <sz val="11"/>
        <rFont val="Calibri"/>
        <family val="2"/>
        <scheme val="minor"/>
      </rPr>
      <t>oh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))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)</t>
    </r>
    <r>
      <rPr>
        <vertAlign val="superscript"/>
        <sz val="11"/>
        <rFont val="Calibri"/>
        <family val="2"/>
        <scheme val="minor"/>
      </rPr>
      <t>0,5</t>
    </r>
    <r>
      <rPr>
        <sz val="11"/>
        <rFont val="Calibri"/>
        <family val="2"/>
        <scheme val="minor"/>
      </rPr>
      <t xml:space="preserve">      ≤            </t>
    </r>
    <r>
      <rPr>
        <sz val="11"/>
        <rFont val="Calibri"/>
        <family val="2"/>
      </rPr>
      <t>φ *</t>
    </r>
    <r>
      <rPr>
        <sz val="11"/>
        <rFont val="Calibri"/>
        <family val="2"/>
        <scheme val="minor"/>
      </rPr>
      <t xml:space="preserve"> ( 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/ ( b * d ) + 2/3 * √ fc' )</t>
    </r>
  </si>
  <si>
    <t>Luas tulangan torsi tranversal pakai,</t>
  </si>
  <si>
    <r>
      <t>A</t>
    </r>
    <r>
      <rPr>
        <vertAlign val="subscript"/>
        <sz val="11"/>
        <rFont val="Calibri"/>
        <family val="2"/>
        <scheme val="minor"/>
      </rPr>
      <t>t</t>
    </r>
    <r>
      <rPr>
        <sz val="11"/>
        <rFont val="Calibri"/>
        <family val="2"/>
        <scheme val="minor"/>
      </rPr>
      <t xml:space="preserve"> / s =</t>
    </r>
  </si>
  <si>
    <t>syarat :</t>
  </si>
  <si>
    <t>At/s</t>
  </si>
  <si>
    <t>&gt;</t>
  </si>
  <si>
    <t>Luas tulangan torsi longitudinal pakai,</t>
  </si>
  <si>
    <r>
      <t>A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=</t>
    </r>
  </si>
  <si>
    <t>E.</t>
  </si>
  <si>
    <t>REKAP TULANGAN TRANSVERSAL &amp; LONGITUDINAL</t>
  </si>
  <si>
    <t>E.1.</t>
  </si>
  <si>
    <t>Rekapitulasi tulangan transversal untuk tepi</t>
  </si>
  <si>
    <t>Kombinasi tulangan transversal,</t>
  </si>
  <si>
    <t>Jarak sengkang yang  harus digunakan,</t>
  </si>
  <si>
    <t>Digunakan tulangan transversal,</t>
  </si>
  <si>
    <t>Rekapitulasi tulangan longitudinal untuk tepi</t>
  </si>
  <si>
    <t>Diameter tulangan pakai utama,</t>
  </si>
  <si>
    <t>Luas tulangan pakai utama per satu bar,</t>
  </si>
  <si>
    <t>Diameter tulangan pakai untuk badan,</t>
  </si>
  <si>
    <t>Jumlah tulangan pakai untuk badan,</t>
  </si>
  <si>
    <t>Luas tulangan pakai untuk badan,</t>
  </si>
  <si>
    <t>Luas tulangan torsi perlu,</t>
  </si>
  <si>
    <t>Jumlah tulangan torsi perlu untuk tulangan utama,</t>
  </si>
  <si>
    <t>bar</t>
  </si>
  <si>
    <t>Jumlah tulangan momen,</t>
  </si>
  <si>
    <r>
      <t>n</t>
    </r>
    <r>
      <rPr>
        <vertAlign val="sub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=</t>
    </r>
  </si>
  <si>
    <t>Jumlah tulangan perlu total,</t>
  </si>
  <si>
    <r>
      <t>n</t>
    </r>
    <r>
      <rPr>
        <vertAlign val="subscript"/>
        <sz val="11"/>
        <rFont val="Calibri"/>
        <family val="2"/>
        <scheme val="minor"/>
      </rPr>
      <t>total</t>
    </r>
    <r>
      <rPr>
        <sz val="11"/>
        <rFont val="Calibri"/>
        <family val="2"/>
        <scheme val="minor"/>
      </rPr>
      <t xml:space="preserve"> = n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+ n</t>
    </r>
    <r>
      <rPr>
        <vertAlign val="subscript"/>
        <sz val="11"/>
        <rFont val="Calibri"/>
        <family val="2"/>
        <scheme val="minor"/>
      </rPr>
      <t>m</t>
    </r>
    <r>
      <rPr>
        <sz val="11"/>
        <rFont val="Calibri"/>
        <family val="2"/>
        <scheme val="minor"/>
      </rPr>
      <t xml:space="preserve"> =</t>
    </r>
  </si>
  <si>
    <r>
      <t>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/ mm</t>
    </r>
  </si>
  <si>
    <t>E.2.</t>
  </si>
  <si>
    <t>Tulangan untuk momen negatif</t>
  </si>
  <si>
    <t>Tulangan untuk momen positif</t>
  </si>
  <si>
    <t>Gaya tekan aksial ultimit,</t>
  </si>
  <si>
    <t>Gaya geser ultimate,</t>
  </si>
  <si>
    <t>Gaya torsi ultimit,</t>
  </si>
  <si>
    <t>Gaya momen negatif ultimit,</t>
  </si>
  <si>
    <t>Gaya momen positif ultimit,</t>
  </si>
  <si>
    <t>Input nilai gaya reaksi akibat kombinasi beban terfaktor</t>
  </si>
  <si>
    <t>B.5.</t>
  </si>
  <si>
    <r>
      <t>S</t>
    </r>
    <r>
      <rPr>
        <b/>
        <vertAlign val="subscript"/>
        <sz val="11"/>
        <color theme="0"/>
        <rFont val="Calibri Light"/>
        <family val="2"/>
        <scheme val="major"/>
      </rPr>
      <t>maks-1</t>
    </r>
  </si>
  <si>
    <r>
      <t>S</t>
    </r>
    <r>
      <rPr>
        <b/>
        <vertAlign val="subscript"/>
        <sz val="11"/>
        <color theme="0"/>
        <rFont val="Calibri Light"/>
        <family val="2"/>
        <scheme val="major"/>
      </rPr>
      <t>maks-2</t>
    </r>
  </si>
  <si>
    <r>
      <t>n</t>
    </r>
    <r>
      <rPr>
        <b/>
        <vertAlign val="subscript"/>
        <sz val="11"/>
        <color theme="0"/>
        <rFont val="Calibri"/>
        <family val="2"/>
        <scheme val="minor"/>
      </rPr>
      <t>i</t>
    </r>
  </si>
  <si>
    <r>
      <t>y</t>
    </r>
    <r>
      <rPr>
        <b/>
        <vertAlign val="subscript"/>
        <sz val="11"/>
        <color theme="0"/>
        <rFont val="Calibri"/>
        <family val="2"/>
        <scheme val="minor"/>
      </rPr>
      <t>i</t>
    </r>
  </si>
  <si>
    <r>
      <t>n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 xml:space="preserve"> * y</t>
    </r>
    <r>
      <rPr>
        <b/>
        <vertAlign val="subscript"/>
        <sz val="11"/>
        <color theme="0"/>
        <rFont val="Calibri"/>
        <family val="2"/>
        <scheme val="minor"/>
      </rPr>
      <t>i</t>
    </r>
  </si>
  <si>
    <t xml:space="preserve"> </t>
  </si>
  <si>
    <r>
      <t>ρ</t>
    </r>
    <r>
      <rPr>
        <vertAlign val="subscript"/>
        <sz val="11"/>
        <rFont val="Calibri"/>
        <family val="2"/>
        <scheme val="minor"/>
      </rPr>
      <t>min</t>
    </r>
    <r>
      <rPr>
        <sz val="11"/>
        <rFont val="Calibri"/>
        <family val="2"/>
        <scheme val="minor"/>
      </rPr>
      <t xml:space="preserve">   &lt;</t>
    </r>
  </si>
  <si>
    <r>
      <t>&lt;   ρ</t>
    </r>
    <r>
      <rPr>
        <vertAlign val="subscript"/>
        <sz val="11"/>
        <rFont val="Calibri"/>
        <family val="2"/>
        <scheme val="minor"/>
      </rPr>
      <t>maks</t>
    </r>
  </si>
  <si>
    <t xml:space="preserve">Tegangan leleh baja untuk tulangan lentur, </t>
  </si>
  <si>
    <t xml:space="preserve">Tegangan leleh baja untuk tulangan geser, </t>
  </si>
  <si>
    <r>
      <t>mm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/mm</t>
    </r>
  </si>
  <si>
    <t>d =</t>
  </si>
  <si>
    <r>
      <t>ρ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</si>
  <si>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r>
      <t>d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</si>
  <si>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t>m =</t>
  </si>
  <si>
    <r>
      <t>ρ</t>
    </r>
    <r>
      <rPr>
        <sz val="11"/>
        <rFont val="Calibri"/>
        <family val="2"/>
        <scheme val="minor"/>
      </rPr>
      <t xml:space="preserve"> =</t>
    </r>
  </si>
  <si>
    <t>d' =</t>
  </si>
  <si>
    <r>
      <t>ε</t>
    </r>
    <r>
      <rPr>
        <vertAlign val="subscript"/>
        <sz val="11"/>
        <rFont val="Calibri"/>
        <family val="2"/>
        <scheme val="minor"/>
      </rPr>
      <t>s</t>
    </r>
  </si>
  <si>
    <r>
      <t>ε</t>
    </r>
    <r>
      <rPr>
        <vertAlign val="subscript"/>
        <sz val="11"/>
        <rFont val="Calibri"/>
        <family val="2"/>
        <scheme val="minor"/>
      </rPr>
      <t>s-yield</t>
    </r>
  </si>
  <si>
    <r>
      <t>ε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>'</t>
    </r>
  </si>
  <si>
    <r>
      <t>M</t>
    </r>
    <r>
      <rPr>
        <vertAlign val="subscript"/>
        <sz val="11"/>
        <rFont val="Calibri"/>
        <family val="2"/>
        <scheme val="minor"/>
      </rPr>
      <t>n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</si>
  <si>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s-min</t>
    </r>
    <r>
      <rPr>
        <sz val="11"/>
        <rFont val="Calibri"/>
        <family val="2"/>
        <scheme val="minor"/>
      </rPr>
      <t xml:space="preserve"> =</t>
    </r>
  </si>
  <si>
    <r>
      <t>V</t>
    </r>
    <r>
      <rPr>
        <vertAlign val="subscript"/>
        <sz val="11"/>
        <rFont val="Calibri"/>
        <family val="2"/>
        <scheme val="minor"/>
      </rPr>
      <t>c</t>
    </r>
    <r>
      <rPr>
        <sz val="11"/>
        <rFont val="Calibri"/>
        <family val="2"/>
        <scheme val="minor"/>
      </rPr>
      <t xml:space="preserve"> =</t>
    </r>
  </si>
  <si>
    <r>
      <t>φ * V</t>
    </r>
    <r>
      <rPr>
        <vertAlign val="subscript"/>
        <sz val="11"/>
        <rFont val="Calibri"/>
        <family val="2"/>
        <scheme val="minor"/>
      </rPr>
      <t>s</t>
    </r>
    <r>
      <rPr>
        <sz val="11"/>
        <rFont val="Calibri"/>
        <family val="2"/>
        <scheme val="minor"/>
      </rPr>
      <t xml:space="preserve"> =</t>
    </r>
  </si>
  <si>
    <r>
      <t>A</t>
    </r>
    <r>
      <rPr>
        <vertAlign val="subscript"/>
        <sz val="11"/>
        <rFont val="Calibri"/>
        <family val="2"/>
        <scheme val="minor"/>
      </rPr>
      <t>v</t>
    </r>
    <r>
      <rPr>
        <sz val="11"/>
        <rFont val="Calibri"/>
        <family val="2"/>
        <scheme val="minor"/>
      </rPr>
      <t xml:space="preserve"> =</t>
    </r>
  </si>
  <si>
    <r>
      <t>T</t>
    </r>
    <r>
      <rPr>
        <vertAlign val="subscript"/>
        <sz val="11"/>
        <rFont val="Calibri"/>
        <family val="2"/>
        <scheme val="minor"/>
      </rPr>
      <t>u</t>
    </r>
    <r>
      <rPr>
        <sz val="11"/>
        <rFont val="Calibri"/>
        <family val="2"/>
        <scheme val="minor"/>
      </rPr>
      <t xml:space="preserve"> &lt; T</t>
    </r>
    <r>
      <rPr>
        <vertAlign val="subscript"/>
        <sz val="11"/>
        <rFont val="Calibri"/>
        <family val="2"/>
        <scheme val="minor"/>
      </rPr>
      <t>u-max</t>
    </r>
    <r>
      <rPr>
        <sz val="11"/>
        <rFont val="Calibri"/>
        <family val="2"/>
        <scheme val="minor"/>
      </rPr>
      <t xml:space="preserve"> =</t>
    </r>
  </si>
  <si>
    <t>At/s maks</t>
  </si>
  <si>
    <r>
      <t>A</t>
    </r>
    <r>
      <rPr>
        <vertAlign val="subscript"/>
        <sz val="11"/>
        <rFont val="Calibri"/>
        <family val="2"/>
        <scheme val="minor"/>
      </rPr>
      <t>vt</t>
    </r>
    <r>
      <rPr>
        <sz val="11"/>
        <rFont val="Calibri"/>
        <family val="2"/>
        <scheme val="minor"/>
      </rPr>
      <t xml:space="preserve"> / s =</t>
    </r>
  </si>
  <si>
    <r>
      <t>A</t>
    </r>
    <r>
      <rPr>
        <vertAlign val="subscript"/>
        <sz val="11"/>
        <rFont val="Calibri"/>
        <family val="2"/>
        <scheme val="minor"/>
      </rPr>
      <t>s-badan</t>
    </r>
    <r>
      <rPr>
        <sz val="11"/>
        <rFont val="Calibri"/>
        <family val="2"/>
        <scheme val="minor"/>
      </rPr>
      <t xml:space="preserve"> =</t>
    </r>
  </si>
  <si>
    <r>
      <t>n</t>
    </r>
    <r>
      <rPr>
        <vertAlign val="subscript"/>
        <sz val="11"/>
        <rFont val="Calibri"/>
        <family val="2"/>
        <scheme val="minor"/>
      </rPr>
      <t>l</t>
    </r>
    <r>
      <rPr>
        <sz val="11"/>
        <rFont val="Calibri"/>
        <family val="2"/>
        <scheme val="minor"/>
      </rPr>
      <t xml:space="preserve">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</si>
</sst>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2"/>
      <color theme="0"/>
      <name val="Calibri Light"/>
      <family val="2"/>
      <scheme val="major"/>
    </font>
    <font>
      <sz val="11"/>
      <name val="Calibri"/>
      <family val="2"/>
    </font>
    <font>
      <i/>
      <sz val="1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sz val="11"/>
      <name val="Calibri"/>
      <family val="2"/>
    </font>
    <font>
      <i/>
      <sz val="11"/>
      <name val="Calibri"/>
      <family val="2"/>
    </font>
    <font>
      <b/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b/>
      <vertAlign val="subscript"/>
      <sz val="11"/>
      <color theme="0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/>
      <diagonal/>
    </border>
  </borders>
  <cellStyleXfs count="2">
    <xf numFmtId="0" fontId="0" fillId="0" borderId="0"/>
    <xf numFmtId="0" fontId="2" fillId="0" borderId="0"/>
  </cellStyleXfs>
  <cellXfs count="144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2" fontId="6" fillId="3" borderId="2" xfId="1" applyNumberFormat="1" applyFont="1" applyFill="1" applyBorder="1" applyAlignment="1" applyProtection="1">
      <alignment horizontal="center" vertical="center"/>
      <protection locked="0"/>
    </xf>
    <xf numFmtId="1" fontId="6" fillId="3" borderId="2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3" fillId="2" borderId="6" xfId="1" applyFont="1" applyFill="1" applyBorder="1" applyAlignment="1">
      <alignment horizontal="left" vertical="center" inden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6" xfId="1" applyFont="1" applyBorder="1" applyAlignment="1">
      <alignment horizontal="left" vertical="center" inden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 vertical="center"/>
    </xf>
    <xf numFmtId="2" fontId="4" fillId="0" borderId="0" xfId="1" applyNumberFormat="1" applyFont="1" applyAlignment="1">
      <alignment horizontal="center" vertical="center"/>
    </xf>
    <xf numFmtId="0" fontId="0" fillId="0" borderId="6" xfId="0" applyBorder="1"/>
    <xf numFmtId="0" fontId="3" fillId="0" borderId="0" xfId="1" applyFont="1" applyAlignment="1">
      <alignment horizontal="left" vertical="center"/>
    </xf>
    <xf numFmtId="2" fontId="3" fillId="0" borderId="0" xfId="1" applyNumberFormat="1" applyFont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right" vertical="center"/>
    </xf>
    <xf numFmtId="2" fontId="3" fillId="0" borderId="8" xfId="1" applyNumberFormat="1" applyFont="1" applyBorder="1" applyAlignment="1">
      <alignment horizontal="center" vertical="center"/>
    </xf>
    <xf numFmtId="2" fontId="3" fillId="0" borderId="8" xfId="1" applyNumberFormat="1" applyFont="1" applyBorder="1" applyAlignment="1" applyProtection="1">
      <alignment horizontal="center" vertical="center"/>
      <protection locked="0"/>
    </xf>
    <xf numFmtId="0" fontId="3" fillId="0" borderId="9" xfId="1" applyFont="1" applyBorder="1" applyAlignment="1">
      <alignment horizontal="left" vertical="center" indent="1"/>
    </xf>
    <xf numFmtId="0" fontId="8" fillId="4" borderId="0" xfId="1" applyFont="1" applyFill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4" fillId="5" borderId="0" xfId="1" applyFont="1" applyFill="1" applyAlignment="1">
      <alignment vertical="center"/>
    </xf>
    <xf numFmtId="0" fontId="3" fillId="5" borderId="0" xfId="1" applyFont="1" applyFill="1" applyAlignment="1">
      <alignment vertical="center"/>
    </xf>
    <xf numFmtId="0" fontId="3" fillId="5" borderId="0" xfId="1" applyFont="1" applyFill="1" applyAlignment="1">
      <alignment horizontal="right" vertical="center"/>
    </xf>
    <xf numFmtId="0" fontId="3" fillId="5" borderId="0" xfId="1" applyFont="1" applyFill="1" applyAlignment="1">
      <alignment horizontal="center" vertical="center"/>
    </xf>
    <xf numFmtId="0" fontId="3" fillId="5" borderId="0" xfId="1" applyFont="1" applyFill="1" applyAlignment="1">
      <alignment horizontal="left" vertical="center" indent="1"/>
    </xf>
    <xf numFmtId="0" fontId="3" fillId="0" borderId="2" xfId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center"/>
    </xf>
    <xf numFmtId="2" fontId="3" fillId="0" borderId="2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2" fontId="3" fillId="0" borderId="3" xfId="1" applyNumberFormat="1" applyFont="1" applyBorder="1" applyAlignment="1">
      <alignment horizontal="center" vertical="center"/>
    </xf>
    <xf numFmtId="0" fontId="3" fillId="2" borderId="11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164" fontId="11" fillId="0" borderId="0" xfId="1" applyNumberFormat="1" applyFont="1" applyAlignment="1">
      <alignment vertical="center"/>
    </xf>
    <xf numFmtId="164" fontId="4" fillId="0" borderId="12" xfId="1" applyNumberFormat="1" applyFont="1" applyBorder="1" applyAlignment="1">
      <alignment horizontal="center" vertical="center"/>
    </xf>
    <xf numFmtId="2" fontId="3" fillId="0" borderId="12" xfId="1" applyNumberFormat="1" applyFont="1" applyBorder="1" applyAlignment="1">
      <alignment horizontal="center" vertical="center"/>
    </xf>
    <xf numFmtId="1" fontId="3" fillId="0" borderId="12" xfId="1" applyNumberFormat="1" applyFont="1" applyBorder="1" applyAlignment="1">
      <alignment horizontal="center" vertical="center"/>
    </xf>
    <xf numFmtId="1" fontId="3" fillId="0" borderId="13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4" fillId="0" borderId="2" xfId="1" applyFont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vertical="center"/>
    </xf>
    <xf numFmtId="0" fontId="11" fillId="0" borderId="0" xfId="1" applyFont="1" applyAlignment="1">
      <alignment horizontal="left" vertical="center" indent="1"/>
    </xf>
    <xf numFmtId="0" fontId="19" fillId="0" borderId="2" xfId="1" applyFont="1" applyBorder="1" applyAlignment="1">
      <alignment horizontal="center" vertical="center"/>
    </xf>
    <xf numFmtId="2" fontId="11" fillId="0" borderId="0" xfId="1" applyNumberFormat="1" applyFont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1" fontId="11" fillId="0" borderId="0" xfId="1" applyNumberFormat="1" applyFont="1" applyAlignment="1">
      <alignment vertical="center"/>
    </xf>
    <xf numFmtId="2" fontId="0" fillId="0" borderId="0" xfId="0" applyNumberFormat="1"/>
    <xf numFmtId="0" fontId="0" fillId="0" borderId="7" xfId="0" applyBorder="1"/>
    <xf numFmtId="0" fontId="4" fillId="5" borderId="4" xfId="1" applyFont="1" applyFill="1" applyBorder="1" applyAlignment="1">
      <alignment vertical="center"/>
    </xf>
    <xf numFmtId="0" fontId="3" fillId="5" borderId="4" xfId="1" applyFont="1" applyFill="1" applyBorder="1" applyAlignment="1">
      <alignment vertical="center"/>
    </xf>
    <xf numFmtId="0" fontId="3" fillId="5" borderId="4" xfId="1" applyFont="1" applyFill="1" applyBorder="1" applyAlignment="1">
      <alignment horizontal="right" vertical="center"/>
    </xf>
    <xf numFmtId="0" fontId="3" fillId="5" borderId="4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left" vertical="center"/>
    </xf>
    <xf numFmtId="0" fontId="3" fillId="5" borderId="5" xfId="1" applyFont="1" applyFill="1" applyBorder="1" applyAlignment="1">
      <alignment horizontal="left" vertical="center" indent="1"/>
    </xf>
    <xf numFmtId="0" fontId="10" fillId="0" borderId="0" xfId="1" applyFont="1" applyAlignment="1">
      <alignment horizontal="right" vertical="center"/>
    </xf>
    <xf numFmtId="0" fontId="3" fillId="0" borderId="6" xfId="1" applyFont="1" applyBorder="1" applyAlignment="1">
      <alignment horizontal="left" vertical="center"/>
    </xf>
    <xf numFmtId="165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3" fillId="0" borderId="6" xfId="1" applyNumberFormat="1" applyFont="1" applyBorder="1" applyAlignment="1">
      <alignment horizontal="left" vertical="center" indent="1"/>
    </xf>
    <xf numFmtId="0" fontId="4" fillId="2" borderId="0" xfId="1" applyFont="1" applyFill="1" applyAlignment="1">
      <alignment horizontal="left" vertical="center"/>
    </xf>
    <xf numFmtId="2" fontId="3" fillId="2" borderId="0" xfId="1" applyNumberFormat="1" applyFont="1" applyFill="1" applyAlignment="1">
      <alignment horizontal="center" vertical="center"/>
    </xf>
    <xf numFmtId="164" fontId="3" fillId="2" borderId="6" xfId="1" applyNumberFormat="1" applyFont="1" applyFill="1" applyBorder="1" applyAlignment="1">
      <alignment horizontal="left" vertical="center" indent="1"/>
    </xf>
    <xf numFmtId="1" fontId="3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2" fontId="3" fillId="0" borderId="0" xfId="1" applyNumberFormat="1" applyFont="1" applyAlignment="1">
      <alignment horizontal="right" vertical="center"/>
    </xf>
    <xf numFmtId="0" fontId="3" fillId="0" borderId="6" xfId="1" applyFont="1" applyBorder="1" applyAlignment="1">
      <alignment vertical="center"/>
    </xf>
    <xf numFmtId="164" fontId="3" fillId="0" borderId="0" xfId="1" applyNumberFormat="1" applyFont="1" applyAlignment="1">
      <alignment horizontal="left" vertical="center"/>
    </xf>
    <xf numFmtId="164" fontId="3" fillId="0" borderId="0" xfId="1" quotePrefix="1" applyNumberFormat="1" applyFont="1" applyAlignment="1">
      <alignment horizontal="left" vertical="center" indent="4"/>
    </xf>
    <xf numFmtId="0" fontId="4" fillId="0" borderId="0" xfId="1" applyFont="1" applyAlignment="1">
      <alignment vertical="center"/>
    </xf>
    <xf numFmtId="164" fontId="3" fillId="0" borderId="0" xfId="1" quotePrefix="1" applyNumberFormat="1" applyFont="1" applyAlignment="1">
      <alignment horizontal="left" vertical="center" indent="2"/>
    </xf>
    <xf numFmtId="0" fontId="3" fillId="5" borderId="6" xfId="1" applyFont="1" applyFill="1" applyBorder="1" applyAlignment="1">
      <alignment horizontal="left" vertical="center" indent="1"/>
    </xf>
    <xf numFmtId="0" fontId="16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6" fillId="2" borderId="0" xfId="1" applyFont="1" applyFill="1" applyAlignment="1">
      <alignment horizontal="center" vertical="center"/>
    </xf>
    <xf numFmtId="0" fontId="16" fillId="2" borderId="0" xfId="1" applyFont="1" applyFill="1" applyAlignment="1">
      <alignment vertical="center"/>
    </xf>
    <xf numFmtId="164" fontId="3" fillId="2" borderId="0" xfId="1" applyNumberFormat="1" applyFont="1" applyFill="1" applyAlignment="1">
      <alignment horizontal="center" vertical="center"/>
    </xf>
    <xf numFmtId="0" fontId="4" fillId="0" borderId="6" xfId="1" applyFont="1" applyBorder="1" applyAlignment="1">
      <alignment horizontal="left" vertical="center" indent="1"/>
    </xf>
    <xf numFmtId="2" fontId="3" fillId="5" borderId="0" xfId="1" applyNumberFormat="1" applyFont="1" applyFill="1" applyAlignment="1">
      <alignment vertical="center"/>
    </xf>
    <xf numFmtId="0" fontId="0" fillId="0" borderId="8" xfId="0" applyBorder="1"/>
    <xf numFmtId="0" fontId="0" fillId="0" borderId="9" xfId="0" applyBorder="1"/>
    <xf numFmtId="164" fontId="22" fillId="6" borderId="2" xfId="1" applyNumberFormat="1" applyFont="1" applyFill="1" applyBorder="1" applyAlignment="1">
      <alignment horizontal="center" vertical="center"/>
    </xf>
    <xf numFmtId="0" fontId="24" fillId="6" borderId="11" xfId="1" applyFont="1" applyFill="1" applyBorder="1" applyAlignment="1">
      <alignment horizontal="center" vertical="center"/>
    </xf>
    <xf numFmtId="0" fontId="24" fillId="6" borderId="2" xfId="1" applyFont="1" applyFill="1" applyBorder="1" applyAlignment="1">
      <alignment horizontal="center" vertical="center"/>
    </xf>
    <xf numFmtId="0" fontId="4" fillId="7" borderId="0" xfId="1" applyFont="1" applyFill="1" applyAlignment="1">
      <alignment horizontal="left" vertical="center"/>
    </xf>
    <xf numFmtId="0" fontId="3" fillId="7" borderId="0" xfId="1" applyFont="1" applyFill="1" applyAlignment="1">
      <alignment horizontal="center" vertical="center"/>
    </xf>
    <xf numFmtId="0" fontId="3" fillId="7" borderId="0" xfId="1" applyFont="1" applyFill="1" applyAlignment="1">
      <alignment vertical="center"/>
    </xf>
    <xf numFmtId="0" fontId="3" fillId="7" borderId="0" xfId="1" applyFont="1" applyFill="1" applyAlignment="1">
      <alignment horizontal="right" vertical="center"/>
    </xf>
    <xf numFmtId="0" fontId="4" fillId="7" borderId="11" xfId="1" applyFont="1" applyFill="1" applyBorder="1" applyAlignment="1">
      <alignment horizontal="right" vertical="center"/>
    </xf>
    <xf numFmtId="2" fontId="4" fillId="7" borderId="2" xfId="1" applyNumberFormat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right" vertical="center"/>
    </xf>
    <xf numFmtId="164" fontId="3" fillId="7" borderId="6" xfId="1" applyNumberFormat="1" applyFont="1" applyFill="1" applyBorder="1" applyAlignment="1">
      <alignment horizontal="left" vertical="center" indent="1"/>
    </xf>
    <xf numFmtId="0" fontId="3" fillId="5" borderId="11" xfId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center" vertical="center"/>
    </xf>
    <xf numFmtId="0" fontId="1" fillId="0" borderId="0" xfId="0" applyFont="1"/>
    <xf numFmtId="2" fontId="3" fillId="0" borderId="6" xfId="1" applyNumberFormat="1" applyFont="1" applyBorder="1" applyAlignment="1">
      <alignment horizontal="right" vertical="center"/>
    </xf>
    <xf numFmtId="2" fontId="3" fillId="0" borderId="2" xfId="1" applyNumberFormat="1" applyFont="1" applyBorder="1" applyAlignment="1">
      <alignment horizontal="right" vertical="center" indent="2"/>
    </xf>
    <xf numFmtId="1" fontId="3" fillId="0" borderId="12" xfId="1" applyNumberFormat="1" applyFont="1" applyBorder="1" applyAlignment="1" applyProtection="1">
      <alignment horizontal="center" vertical="center"/>
      <protection locked="0"/>
    </xf>
    <xf numFmtId="0" fontId="3" fillId="0" borderId="0" xfId="1" applyFont="1" applyAlignment="1">
      <alignment horizontal="left" vertical="center" indent="3"/>
    </xf>
    <xf numFmtId="0" fontId="3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 indent="3"/>
    </xf>
    <xf numFmtId="0" fontId="18" fillId="8" borderId="2" xfId="1" applyFont="1" applyFill="1" applyBorder="1" applyAlignment="1">
      <alignment horizontal="center" vertical="center"/>
    </xf>
    <xf numFmtId="1" fontId="26" fillId="8" borderId="2" xfId="0" applyNumberFormat="1" applyFont="1" applyFill="1" applyBorder="1" applyAlignment="1">
      <alignment horizontal="center"/>
    </xf>
    <xf numFmtId="0" fontId="26" fillId="8" borderId="2" xfId="0" applyFont="1" applyFill="1" applyBorder="1" applyAlignment="1">
      <alignment horizontal="center"/>
    </xf>
    <xf numFmtId="0" fontId="18" fillId="7" borderId="12" xfId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0" fillId="0" borderId="2" xfId="1" applyNumberFormat="1" applyFont="1" applyBorder="1" applyAlignment="1" applyProtection="1">
      <alignment horizontal="center" vertical="center"/>
      <protection locked="0"/>
    </xf>
    <xf numFmtId="165" fontId="3" fillId="0" borderId="0" xfId="1" applyNumberFormat="1" applyFont="1" applyAlignment="1">
      <alignment horizontal="right" vertical="center"/>
    </xf>
    <xf numFmtId="165" fontId="3" fillId="0" borderId="0" xfId="1" applyNumberFormat="1" applyFont="1" applyAlignment="1">
      <alignment horizontal="left" vertical="center"/>
    </xf>
    <xf numFmtId="0" fontId="4" fillId="5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2" fillId="0" borderId="1" xfId="0" applyFont="1" applyBorder="1"/>
    <xf numFmtId="0" fontId="4" fillId="5" borderId="3" xfId="1" applyFont="1" applyFill="1" applyBorder="1" applyAlignment="1">
      <alignment horizontal="center" vertical="center"/>
    </xf>
    <xf numFmtId="0" fontId="8" fillId="4" borderId="0" xfId="1" applyFont="1" applyFill="1" applyAlignment="1">
      <alignment horizontal="center" vertical="center"/>
    </xf>
    <xf numFmtId="0" fontId="17" fillId="6" borderId="11" xfId="1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indent="5"/>
    </xf>
    <xf numFmtId="0" fontId="22" fillId="6" borderId="11" xfId="1" applyFont="1" applyFill="1" applyBorder="1" applyAlignment="1">
      <alignment horizontal="center" vertical="center"/>
    </xf>
    <xf numFmtId="164" fontId="22" fillId="6" borderId="2" xfId="1" applyNumberFormat="1" applyFont="1" applyFill="1" applyBorder="1" applyAlignment="1">
      <alignment horizontal="center" vertical="center"/>
    </xf>
    <xf numFmtId="0" fontId="22" fillId="6" borderId="2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5" xfId="1" applyFont="1" applyBorder="1" applyAlignment="1">
      <alignment vertical="center"/>
    </xf>
  </cellXfs>
  <cellStyles count="2">
    <cellStyle name="Normal" xfId="0" builtinId="0"/>
    <cellStyle name="Normal 2" xfId="1" xr:uid="{93247638-96DF-4FA9-93D6-AEB42A5A3E3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327660</xdr:colOff>
      <xdr:row>129</xdr:row>
      <xdr:rowOff>0</xdr:rowOff>
    </xdr:from>
    <xdr:to>
      <xdr:col>4</xdr:col>
      <xdr:colOff>725805</xdr:colOff>
      <xdr:row>130</xdr:row>
      <xdr:rowOff>30481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923893F4-3CA4-47DC-B488-81C395D54DC4}"/>
            </a:ext>
          </a:extLst>
        </xdr:cNvPr>
        <xdr:cNvSpPr txBox="1"/>
      </xdr:nvSpPr>
      <xdr:spPr>
        <a:xfrm>
          <a:off x="3489960" y="22545675"/>
          <a:ext cx="398145" cy="259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/>
        </a:p>
      </xdr:txBody>
    </xdr:sp>
    <xdr:clientData/>
  </xdr:twoCellAnchor>
  <xdr:twoCellAnchor>
    <xdr:from>
      <xdr:col>4</xdr:col>
      <xdr:colOff>337185</xdr:colOff>
      <xdr:row>132</xdr:row>
      <xdr:rowOff>0</xdr:rowOff>
    </xdr:from>
    <xdr:to>
      <xdr:col>4</xdr:col>
      <xdr:colOff>735330</xdr:colOff>
      <xdr:row>133</xdr:row>
      <xdr:rowOff>30481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41722CE3-DE6E-4338-A15A-BD35D06DE932}"/>
            </a:ext>
          </a:extLst>
        </xdr:cNvPr>
        <xdr:cNvSpPr txBox="1"/>
      </xdr:nvSpPr>
      <xdr:spPr>
        <a:xfrm>
          <a:off x="3499485" y="23155275"/>
          <a:ext cx="398145" cy="2590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160</xdr:row>
      <xdr:rowOff>0</xdr:rowOff>
    </xdr:from>
    <xdr:to>
      <xdr:col>4</xdr:col>
      <xdr:colOff>887730</xdr:colOff>
      <xdr:row>161</xdr:row>
      <xdr:rowOff>30481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6FF0628B-92C7-4347-9340-BEC57DE2C1D5}"/>
            </a:ext>
          </a:extLst>
        </xdr:cNvPr>
        <xdr:cNvSpPr txBox="1"/>
      </xdr:nvSpPr>
      <xdr:spPr>
        <a:xfrm>
          <a:off x="3509010" y="33575625"/>
          <a:ext cx="54102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&lt;</a:t>
          </a:r>
          <a:endParaRPr lang="id-ID" sz="1100"/>
        </a:p>
      </xdr:txBody>
    </xdr:sp>
    <xdr:clientData/>
  </xdr:twoCellAnchor>
  <xdr:twoCellAnchor>
    <xdr:from>
      <xdr:col>4</xdr:col>
      <xdr:colOff>346710</xdr:colOff>
      <xdr:row>163</xdr:row>
      <xdr:rowOff>0</xdr:rowOff>
    </xdr:from>
    <xdr:to>
      <xdr:col>4</xdr:col>
      <xdr:colOff>887730</xdr:colOff>
      <xdr:row>164</xdr:row>
      <xdr:rowOff>30481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292B8F1F-C5DE-47E5-B614-63DC2CD7B1E9}"/>
            </a:ext>
          </a:extLst>
        </xdr:cNvPr>
        <xdr:cNvSpPr txBox="1"/>
      </xdr:nvSpPr>
      <xdr:spPr>
        <a:xfrm>
          <a:off x="3509010" y="34290000"/>
          <a:ext cx="541020" cy="2686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&gt;</a:t>
          </a:r>
          <a:endParaRPr lang="id-ID" sz="1100"/>
        </a:p>
      </xdr:txBody>
    </xdr:sp>
    <xdr:clientData/>
  </xdr:twoCellAnchor>
  <xdr:twoCellAnchor editAs="oneCell">
    <xdr:from>
      <xdr:col>1</xdr:col>
      <xdr:colOff>60960</xdr:colOff>
      <xdr:row>64</xdr:row>
      <xdr:rowOff>95250</xdr:rowOff>
    </xdr:from>
    <xdr:to>
      <xdr:col>6</xdr:col>
      <xdr:colOff>148349</xdr:colOff>
      <xdr:row>73</xdr:row>
      <xdr:rowOff>148319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D8B22DB3-750B-43EC-822A-795492E805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493" b="15886"/>
        <a:stretch/>
      </xdr:blipFill>
      <xdr:spPr>
        <a:xfrm>
          <a:off x="510540" y="11670030"/>
          <a:ext cx="4606049" cy="2163810"/>
        </a:xfrm>
        <a:prstGeom prst="rect">
          <a:avLst/>
        </a:prstGeom>
      </xdr:spPr>
    </xdr:pic>
    <xdr:clientData/>
  </xdr:twoCellAnchor>
  <xdr:twoCellAnchor editAs="oneCell">
    <xdr:from>
      <xdr:col>1</xdr:col>
      <xdr:colOff>87630</xdr:colOff>
      <xdr:row>97</xdr:row>
      <xdr:rowOff>80010</xdr:rowOff>
    </xdr:from>
    <xdr:to>
      <xdr:col>6</xdr:col>
      <xdr:colOff>301842</xdr:colOff>
      <xdr:row>106</xdr:row>
      <xdr:rowOff>115935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F5381F87-3C3C-47A5-9A47-DDB935114A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7286" b="17134"/>
        <a:stretch/>
      </xdr:blipFill>
      <xdr:spPr>
        <a:xfrm>
          <a:off x="537210" y="20867370"/>
          <a:ext cx="4740492" cy="216190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147</xdr:row>
      <xdr:rowOff>76200</xdr:rowOff>
    </xdr:from>
    <xdr:to>
      <xdr:col>6</xdr:col>
      <xdr:colOff>871815</xdr:colOff>
      <xdr:row>156</xdr:row>
      <xdr:rowOff>228372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8EB840E2-77BF-4248-B425-33A9544B5C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0814" b="17219"/>
        <a:stretch/>
      </xdr:blipFill>
      <xdr:spPr>
        <a:xfrm>
          <a:off x="447675" y="36747450"/>
          <a:ext cx="5396190" cy="2295297"/>
        </a:xfrm>
        <a:prstGeom prst="rect">
          <a:avLst/>
        </a:prstGeom>
      </xdr:spPr>
    </xdr:pic>
    <xdr:clientData/>
  </xdr:twoCellAnchor>
  <xdr:twoCellAnchor editAs="oneCell">
    <xdr:from>
      <xdr:col>1</xdr:col>
      <xdr:colOff>118110</xdr:colOff>
      <xdr:row>117</xdr:row>
      <xdr:rowOff>38100</xdr:rowOff>
    </xdr:from>
    <xdr:to>
      <xdr:col>7</xdr:col>
      <xdr:colOff>85050</xdr:colOff>
      <xdr:row>126</xdr:row>
      <xdr:rowOff>41911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063E8A9E-980B-4A9C-A030-C283C89129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t="15438" b="16996"/>
        <a:stretch/>
      </xdr:blipFill>
      <xdr:spPr>
        <a:xfrm>
          <a:off x="565785" y="26946225"/>
          <a:ext cx="5396190" cy="2146936"/>
        </a:xfrm>
        <a:prstGeom prst="rect">
          <a:avLst/>
        </a:prstGeom>
      </xdr:spPr>
    </xdr:pic>
    <xdr:clientData/>
  </xdr:twoCellAnchor>
  <xdr:twoCellAnchor editAs="oneCell">
    <xdr:from>
      <xdr:col>2</xdr:col>
      <xdr:colOff>411480</xdr:colOff>
      <xdr:row>9</xdr:row>
      <xdr:rowOff>47625</xdr:rowOff>
    </xdr:from>
    <xdr:to>
      <xdr:col>7</xdr:col>
      <xdr:colOff>334204</xdr:colOff>
      <xdr:row>18</xdr:row>
      <xdr:rowOff>87360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6E6143-31ED-47AD-8D0B-AE5F05B7FE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5106" b="15401"/>
        <a:stretch/>
      </xdr:blipFill>
      <xdr:spPr>
        <a:xfrm>
          <a:off x="1827530" y="2162175"/>
          <a:ext cx="4653474" cy="215428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EE1C2-57C2-4D5A-9509-B9FF71880E16}">
  <sheetPr>
    <tabColor rgb="FFC00000"/>
  </sheetPr>
  <dimension ref="A1:N262"/>
  <sheetViews>
    <sheetView showGridLines="0" tabSelected="1" zoomScaleNormal="100" workbookViewId="0">
      <pane xSplit="1" ySplit="1" topLeftCell="B10" activePane="bottomRight" state="frozen"/>
      <selection pane="topRight" activeCell="B1" sqref="B1"/>
      <selection pane="bottomLeft" activeCell="A2" sqref="A2"/>
      <selection pane="bottomRight" activeCell="H20" sqref="H20"/>
    </sheetView>
  </sheetViews>
  <sheetFormatPr defaultRowHeight="18.75" customHeight="1" x14ac:dyDescent="0.35"/>
  <cols>
    <col min="1" max="1" width="6.7265625" customWidth="1"/>
    <col min="2" max="9" width="13.54296875" customWidth="1"/>
  </cols>
  <sheetData>
    <row r="1" spans="1:9" ht="18.75" customHeight="1" x14ac:dyDescent="0.35">
      <c r="A1" s="28" t="s">
        <v>0</v>
      </c>
      <c r="B1" s="127" t="s">
        <v>1</v>
      </c>
      <c r="C1" s="127"/>
      <c r="D1" s="127"/>
      <c r="E1" s="127"/>
      <c r="F1" s="127"/>
      <c r="G1" s="28" t="s">
        <v>2</v>
      </c>
      <c r="H1" s="28" t="s">
        <v>3</v>
      </c>
      <c r="I1" s="28" t="s">
        <v>4</v>
      </c>
    </row>
    <row r="2" spans="1:9" ht="18.75" customHeight="1" x14ac:dyDescent="0.35">
      <c r="A2" s="122" t="s">
        <v>76</v>
      </c>
      <c r="B2" s="30" t="s">
        <v>77</v>
      </c>
      <c r="C2" s="31"/>
      <c r="D2" s="31"/>
      <c r="E2" s="31"/>
      <c r="F2" s="31"/>
      <c r="G2" s="32"/>
      <c r="H2" s="33"/>
      <c r="I2" s="34"/>
    </row>
    <row r="3" spans="1:9" ht="18.75" customHeight="1" x14ac:dyDescent="0.35">
      <c r="A3" s="123" t="s">
        <v>5</v>
      </c>
      <c r="B3" s="7" t="s">
        <v>6</v>
      </c>
      <c r="C3" s="8"/>
      <c r="D3" s="8"/>
      <c r="E3" s="8"/>
      <c r="F3" s="8"/>
      <c r="G3" s="9"/>
      <c r="H3" s="10"/>
      <c r="I3" s="11"/>
    </row>
    <row r="4" spans="1:9" ht="18.75" customHeight="1" x14ac:dyDescent="0.35">
      <c r="A4" s="124"/>
      <c r="B4" s="12" t="s">
        <v>7</v>
      </c>
      <c r="C4" s="12"/>
      <c r="D4" s="12"/>
      <c r="E4" s="12"/>
      <c r="F4" s="12"/>
      <c r="G4" s="13" t="s">
        <v>8</v>
      </c>
      <c r="H4" s="3">
        <v>25</v>
      </c>
      <c r="I4" s="14" t="s">
        <v>9</v>
      </c>
    </row>
    <row r="5" spans="1:9" ht="18.75" customHeight="1" x14ac:dyDescent="0.35">
      <c r="A5" s="124"/>
      <c r="B5" s="12" t="s">
        <v>214</v>
      </c>
      <c r="C5" s="12"/>
      <c r="D5" s="12"/>
      <c r="E5" s="12"/>
      <c r="F5" s="12"/>
      <c r="G5" s="13" t="s">
        <v>11</v>
      </c>
      <c r="H5" s="3">
        <v>390</v>
      </c>
      <c r="I5" s="14" t="s">
        <v>9</v>
      </c>
    </row>
    <row r="6" spans="1:9" ht="18.75" customHeight="1" x14ac:dyDescent="0.35">
      <c r="A6" s="124"/>
      <c r="B6" s="12" t="s">
        <v>215</v>
      </c>
      <c r="C6" s="12"/>
      <c r="D6" s="12"/>
      <c r="E6" s="12"/>
      <c r="F6" s="12"/>
      <c r="G6" s="13" t="s">
        <v>11</v>
      </c>
      <c r="H6" s="3">
        <v>390</v>
      </c>
      <c r="I6" s="14" t="s">
        <v>9</v>
      </c>
    </row>
    <row r="7" spans="1:9" ht="18.75" customHeight="1" x14ac:dyDescent="0.35">
      <c r="A7" s="124"/>
      <c r="B7" s="12" t="s">
        <v>12</v>
      </c>
      <c r="C7" s="12"/>
      <c r="D7" s="12"/>
      <c r="E7" s="12"/>
      <c r="F7" s="12"/>
      <c r="G7" s="13" t="s">
        <v>13</v>
      </c>
      <c r="H7" s="3">
        <v>200000</v>
      </c>
      <c r="I7" s="14" t="s">
        <v>9</v>
      </c>
    </row>
    <row r="8" spans="1:9" ht="18.75" customHeight="1" x14ac:dyDescent="0.35">
      <c r="A8" s="124"/>
      <c r="B8" s="12"/>
      <c r="C8" s="12"/>
      <c r="D8" s="12"/>
      <c r="E8" s="12"/>
      <c r="F8" s="12"/>
      <c r="G8" s="13"/>
      <c r="H8" s="15"/>
      <c r="I8" s="14"/>
    </row>
    <row r="9" spans="1:9" ht="18.75" customHeight="1" x14ac:dyDescent="0.35">
      <c r="A9" s="123" t="s">
        <v>14</v>
      </c>
      <c r="B9" s="7" t="s">
        <v>15</v>
      </c>
      <c r="C9" s="8"/>
      <c r="D9" s="8"/>
      <c r="E9" s="8"/>
      <c r="F9" s="8"/>
      <c r="G9" s="9"/>
      <c r="H9" s="10"/>
      <c r="I9" s="11"/>
    </row>
    <row r="10" spans="1:9" ht="18.75" customHeight="1" x14ac:dyDescent="0.35">
      <c r="A10" s="124"/>
      <c r="B10" s="82"/>
      <c r="C10" s="12"/>
      <c r="D10" s="12"/>
      <c r="E10" s="12"/>
      <c r="F10" s="12"/>
      <c r="G10" s="13"/>
      <c r="H10" s="15"/>
      <c r="I10" s="14"/>
    </row>
    <row r="11" spans="1:9" ht="18.75" customHeight="1" x14ac:dyDescent="0.35">
      <c r="A11" s="124"/>
      <c r="B11" s="82"/>
      <c r="C11" s="12"/>
      <c r="D11" s="12"/>
      <c r="E11" s="12"/>
      <c r="F11" s="12"/>
      <c r="G11" s="13"/>
      <c r="H11" s="15"/>
      <c r="I11" s="14"/>
    </row>
    <row r="12" spans="1:9" ht="18.75" customHeight="1" x14ac:dyDescent="0.35">
      <c r="A12" s="124"/>
      <c r="B12" s="82"/>
      <c r="C12" s="12"/>
      <c r="D12" s="12"/>
      <c r="E12" s="12"/>
      <c r="F12" s="12"/>
      <c r="G12" s="13"/>
      <c r="H12" s="15"/>
      <c r="I12" s="14"/>
    </row>
    <row r="13" spans="1:9" ht="18.75" customHeight="1" x14ac:dyDescent="0.35">
      <c r="A13" s="124"/>
      <c r="B13" s="82"/>
      <c r="C13" s="12"/>
      <c r="D13" s="12"/>
      <c r="E13" s="12"/>
      <c r="F13" s="12"/>
      <c r="G13" s="13"/>
      <c r="H13" s="15"/>
      <c r="I13" s="14"/>
    </row>
    <row r="14" spans="1:9" ht="18.75" customHeight="1" x14ac:dyDescent="0.35">
      <c r="A14" s="124"/>
      <c r="B14" s="82"/>
      <c r="C14" s="12"/>
      <c r="D14" s="12"/>
      <c r="E14" s="12"/>
      <c r="F14" s="12"/>
      <c r="G14" s="13"/>
      <c r="H14" s="15"/>
      <c r="I14" s="14"/>
    </row>
    <row r="15" spans="1:9" ht="18.75" customHeight="1" x14ac:dyDescent="0.35">
      <c r="A15" s="124"/>
      <c r="B15" s="82"/>
      <c r="C15" s="12"/>
      <c r="D15" s="12"/>
      <c r="E15" s="12"/>
      <c r="F15" s="12"/>
      <c r="G15" s="13"/>
      <c r="H15" s="15"/>
      <c r="I15" s="14"/>
    </row>
    <row r="16" spans="1:9" ht="18.75" customHeight="1" x14ac:dyDescent="0.35">
      <c r="A16" s="124"/>
      <c r="B16" s="82"/>
      <c r="C16" s="12"/>
      <c r="D16" s="12"/>
      <c r="E16" s="12"/>
      <c r="F16" s="12"/>
      <c r="G16" s="13"/>
      <c r="H16" s="15"/>
      <c r="I16" s="14"/>
    </row>
    <row r="17" spans="1:14" ht="18.75" customHeight="1" x14ac:dyDescent="0.35">
      <c r="A17" s="124"/>
      <c r="B17" s="82"/>
      <c r="C17" s="12"/>
      <c r="D17" s="12"/>
      <c r="E17" s="12"/>
      <c r="F17" s="12"/>
      <c r="G17" s="13"/>
      <c r="H17" s="15"/>
      <c r="I17" s="14"/>
    </row>
    <row r="18" spans="1:14" ht="18.75" customHeight="1" x14ac:dyDescent="0.35">
      <c r="A18" s="124"/>
      <c r="B18" s="82"/>
      <c r="C18" s="12"/>
      <c r="D18" s="12"/>
      <c r="E18" s="12"/>
      <c r="F18" s="12"/>
      <c r="G18" s="13"/>
      <c r="H18" s="15"/>
      <c r="I18" s="14"/>
    </row>
    <row r="19" spans="1:14" ht="18.75" customHeight="1" x14ac:dyDescent="0.35">
      <c r="A19" s="124"/>
      <c r="B19" s="82"/>
      <c r="C19" s="12"/>
      <c r="D19" s="12"/>
      <c r="E19" s="12"/>
      <c r="F19" s="12"/>
      <c r="G19" s="13"/>
      <c r="H19" s="15"/>
      <c r="I19" s="14"/>
    </row>
    <row r="20" spans="1:14" ht="18.75" customHeight="1" x14ac:dyDescent="0.35">
      <c r="A20" s="124"/>
      <c r="B20" s="12" t="s">
        <v>16</v>
      </c>
      <c r="C20" s="15"/>
      <c r="D20" s="15"/>
      <c r="E20" s="16"/>
      <c r="F20" s="17"/>
      <c r="G20" s="13" t="s">
        <v>17</v>
      </c>
      <c r="H20" s="4">
        <v>300</v>
      </c>
      <c r="I20" s="14" t="s">
        <v>18</v>
      </c>
    </row>
    <row r="21" spans="1:14" ht="18.75" customHeight="1" x14ac:dyDescent="0.35">
      <c r="A21" s="124"/>
      <c r="B21" s="12" t="s">
        <v>19</v>
      </c>
      <c r="C21" s="15"/>
      <c r="D21" s="15"/>
      <c r="E21" s="16"/>
      <c r="F21" s="17"/>
      <c r="G21" s="13" t="s">
        <v>20</v>
      </c>
      <c r="H21" s="4">
        <v>500</v>
      </c>
      <c r="I21" s="14" t="s">
        <v>18</v>
      </c>
    </row>
    <row r="22" spans="1:14" ht="18.75" customHeight="1" x14ac:dyDescent="0.35">
      <c r="A22" s="124"/>
      <c r="B22" s="12" t="s">
        <v>21</v>
      </c>
      <c r="C22" s="15"/>
      <c r="D22" s="15"/>
      <c r="E22" s="16"/>
      <c r="F22" s="17"/>
      <c r="G22" s="13" t="s">
        <v>22</v>
      </c>
      <c r="H22" s="5">
        <v>19</v>
      </c>
      <c r="I22" s="14" t="s">
        <v>18</v>
      </c>
    </row>
    <row r="23" spans="1:14" ht="18.75" customHeight="1" x14ac:dyDescent="0.35">
      <c r="A23" s="124"/>
      <c r="B23" s="12" t="s">
        <v>23</v>
      </c>
      <c r="C23" s="15"/>
      <c r="D23" s="15"/>
      <c r="E23" s="16"/>
      <c r="F23" s="17"/>
      <c r="G23" s="13" t="s">
        <v>22</v>
      </c>
      <c r="H23" s="5">
        <v>13</v>
      </c>
      <c r="I23" s="14" t="s">
        <v>18</v>
      </c>
    </row>
    <row r="24" spans="1:14" ht="18.75" customHeight="1" x14ac:dyDescent="0.35">
      <c r="A24" s="124"/>
      <c r="B24" s="12" t="s">
        <v>24</v>
      </c>
      <c r="C24" s="12"/>
      <c r="D24" s="15"/>
      <c r="E24" s="16"/>
      <c r="F24" s="17"/>
      <c r="G24" s="13" t="s">
        <v>25</v>
      </c>
      <c r="H24" s="4">
        <v>40</v>
      </c>
      <c r="I24" s="14" t="s">
        <v>18</v>
      </c>
    </row>
    <row r="25" spans="1:14" ht="18.75" customHeight="1" x14ac:dyDescent="0.35">
      <c r="A25" s="125"/>
      <c r="I25" s="18"/>
    </row>
    <row r="26" spans="1:14" ht="18.75" customHeight="1" x14ac:dyDescent="0.35">
      <c r="A26" s="123" t="s">
        <v>33</v>
      </c>
      <c r="B26" s="7" t="s">
        <v>204</v>
      </c>
      <c r="C26" s="8"/>
      <c r="D26" s="8"/>
      <c r="E26" s="8"/>
      <c r="F26" s="8"/>
      <c r="G26" s="9"/>
      <c r="H26" s="10"/>
      <c r="I26" s="11"/>
    </row>
    <row r="27" spans="1:14" ht="18.75" customHeight="1" x14ac:dyDescent="0.35">
      <c r="A27" s="2"/>
      <c r="B27" s="12" t="s">
        <v>199</v>
      </c>
      <c r="C27" s="12"/>
      <c r="D27" s="12"/>
      <c r="E27" s="12"/>
      <c r="F27" s="12"/>
      <c r="G27" s="13" t="s">
        <v>26</v>
      </c>
      <c r="H27" s="3">
        <v>2.65</v>
      </c>
      <c r="I27" s="14" t="s">
        <v>27</v>
      </c>
    </row>
    <row r="28" spans="1:14" ht="18.75" customHeight="1" x14ac:dyDescent="0.35">
      <c r="A28" s="2"/>
      <c r="B28" s="12" t="s">
        <v>200</v>
      </c>
      <c r="C28" s="12"/>
      <c r="D28" s="12"/>
      <c r="E28" s="12"/>
      <c r="F28" s="12"/>
      <c r="G28" s="13" t="s">
        <v>28</v>
      </c>
      <c r="H28" s="3">
        <v>44.62</v>
      </c>
      <c r="I28" s="14" t="s">
        <v>27</v>
      </c>
      <c r="N28" t="s">
        <v>211</v>
      </c>
    </row>
    <row r="29" spans="1:14" ht="18.75" customHeight="1" x14ac:dyDescent="0.35">
      <c r="A29" s="2"/>
      <c r="B29" s="12" t="s">
        <v>201</v>
      </c>
      <c r="C29" s="12"/>
      <c r="D29" s="12"/>
      <c r="E29" s="12"/>
      <c r="F29" s="12"/>
      <c r="G29" s="13" t="s">
        <v>29</v>
      </c>
      <c r="H29" s="3">
        <v>23.65</v>
      </c>
      <c r="I29" s="14" t="s">
        <v>30</v>
      </c>
    </row>
    <row r="30" spans="1:14" ht="18.75" customHeight="1" x14ac:dyDescent="0.35">
      <c r="A30" s="2"/>
      <c r="B30" s="19" t="s">
        <v>202</v>
      </c>
      <c r="C30" s="15"/>
      <c r="D30" s="15"/>
      <c r="E30" s="13"/>
      <c r="F30" s="20"/>
      <c r="G30" s="13" t="s">
        <v>31</v>
      </c>
      <c r="H30" s="3">
        <v>190.62</v>
      </c>
      <c r="I30" s="14" t="s">
        <v>30</v>
      </c>
    </row>
    <row r="31" spans="1:14" ht="18.75" customHeight="1" x14ac:dyDescent="0.35">
      <c r="A31" s="2"/>
      <c r="B31" s="19" t="s">
        <v>203</v>
      </c>
      <c r="C31" s="15"/>
      <c r="D31" s="15"/>
      <c r="E31" s="13"/>
      <c r="F31" s="20"/>
      <c r="G31" s="13" t="s">
        <v>32</v>
      </c>
      <c r="H31" s="4">
        <v>72.33</v>
      </c>
      <c r="I31" s="14" t="s">
        <v>30</v>
      </c>
    </row>
    <row r="32" spans="1:14" ht="18.75" customHeight="1" x14ac:dyDescent="0.35">
      <c r="A32" s="21"/>
      <c r="B32" s="22"/>
      <c r="C32" s="22"/>
      <c r="D32" s="23"/>
      <c r="E32" s="24"/>
      <c r="F32" s="25"/>
      <c r="G32" s="24"/>
      <c r="H32" s="26"/>
      <c r="I32" s="27"/>
    </row>
    <row r="33" spans="1:9" ht="18.5" customHeight="1" x14ac:dyDescent="0.35">
      <c r="A33" s="126" t="s">
        <v>34</v>
      </c>
      <c r="B33" s="62" t="s">
        <v>35</v>
      </c>
      <c r="C33" s="63"/>
      <c r="D33" s="64"/>
      <c r="E33" s="65"/>
      <c r="F33" s="66"/>
      <c r="G33" s="64"/>
      <c r="H33" s="65"/>
      <c r="I33" s="67"/>
    </row>
    <row r="34" spans="1:9" ht="18.75" customHeight="1" x14ac:dyDescent="0.35">
      <c r="A34" s="2"/>
      <c r="B34" s="12" t="s">
        <v>7</v>
      </c>
      <c r="C34" s="12"/>
      <c r="D34" s="12"/>
      <c r="E34" s="12"/>
      <c r="F34" s="12"/>
      <c r="G34" s="13" t="s">
        <v>8</v>
      </c>
      <c r="H34" s="36">
        <f>H4</f>
        <v>25</v>
      </c>
      <c r="I34" s="14" t="s">
        <v>9</v>
      </c>
    </row>
    <row r="35" spans="1:9" ht="18.75" customHeight="1" x14ac:dyDescent="0.35">
      <c r="A35" s="2"/>
      <c r="B35" s="12" t="s">
        <v>10</v>
      </c>
      <c r="C35" s="12"/>
      <c r="D35" s="12"/>
      <c r="E35" s="12"/>
      <c r="F35" s="12"/>
      <c r="G35" s="13" t="s">
        <v>11</v>
      </c>
      <c r="H35" s="36">
        <f>H5</f>
        <v>390</v>
      </c>
      <c r="I35" s="14" t="s">
        <v>9</v>
      </c>
    </row>
    <row r="36" spans="1:9" ht="18.75" customHeight="1" x14ac:dyDescent="0.35">
      <c r="A36" s="2"/>
      <c r="B36" s="12" t="s">
        <v>102</v>
      </c>
      <c r="C36" s="12"/>
      <c r="D36" s="12"/>
      <c r="E36" s="12"/>
      <c r="F36" s="12"/>
      <c r="G36" s="13" t="s">
        <v>13</v>
      </c>
      <c r="H36" s="36">
        <f>H7</f>
        <v>200000</v>
      </c>
      <c r="I36" s="14" t="s">
        <v>9</v>
      </c>
    </row>
    <row r="37" spans="1:9" ht="18.75" customHeight="1" x14ac:dyDescent="0.35">
      <c r="A37" s="2"/>
      <c r="B37" s="12" t="s">
        <v>36</v>
      </c>
      <c r="C37" s="12"/>
      <c r="D37" s="12"/>
      <c r="E37" s="12"/>
      <c r="F37" s="12"/>
      <c r="G37" s="13" t="s">
        <v>217</v>
      </c>
      <c r="H37" s="35">
        <f>H21-H24-H23-0.5*H22</f>
        <v>437.5</v>
      </c>
      <c r="I37" s="14" t="s">
        <v>18</v>
      </c>
    </row>
    <row r="38" spans="1:9" ht="18.75" customHeight="1" x14ac:dyDescent="0.35">
      <c r="A38" s="6"/>
      <c r="I38" s="18"/>
    </row>
    <row r="39" spans="1:9" ht="18.75" customHeight="1" x14ac:dyDescent="0.35">
      <c r="A39" s="2"/>
      <c r="B39" s="12" t="s">
        <v>39</v>
      </c>
      <c r="C39" s="12"/>
      <c r="D39" s="12"/>
      <c r="E39" s="12"/>
      <c r="F39" s="16"/>
      <c r="G39" s="13" t="s">
        <v>38</v>
      </c>
      <c r="H39" s="36">
        <f>MAX(IF(H34&gt;=17,IF(H34&lt;=28,0.85,0),0),IF(H34&gt;28,IF(H34&lt;55,0.85-0.05*(H34-28)/7,0),0),IF(H34&gt;=55,0.65,0))</f>
        <v>0.85</v>
      </c>
      <c r="I39" s="14"/>
    </row>
    <row r="40" spans="1:9" ht="18.75" customHeight="1" x14ac:dyDescent="0.35">
      <c r="A40" s="2"/>
      <c r="B40" s="12" t="s">
        <v>41</v>
      </c>
      <c r="C40" s="12"/>
      <c r="D40" s="12"/>
      <c r="E40" s="12"/>
      <c r="F40" s="16"/>
      <c r="G40" s="13" t="s">
        <v>218</v>
      </c>
      <c r="H40" s="37">
        <f>H39*0.85*H34/H35*(600/(600+H35))</f>
        <v>2.8069153069153061E-2</v>
      </c>
      <c r="I40" s="14"/>
    </row>
    <row r="41" spans="1:9" ht="18.75" customHeight="1" x14ac:dyDescent="0.35">
      <c r="A41" s="2"/>
      <c r="B41" s="12" t="s">
        <v>42</v>
      </c>
      <c r="C41" s="12"/>
      <c r="D41" s="12"/>
      <c r="E41" s="12"/>
      <c r="F41" s="12"/>
      <c r="G41" s="13" t="s">
        <v>219</v>
      </c>
      <c r="H41" s="38">
        <f>H24+H23+0.5*H22</f>
        <v>62.5</v>
      </c>
      <c r="I41" s="14" t="s">
        <v>18</v>
      </c>
    </row>
    <row r="42" spans="1:9" ht="18.75" customHeight="1" x14ac:dyDescent="0.35">
      <c r="A42" s="2"/>
      <c r="B42" s="12" t="s">
        <v>43</v>
      </c>
      <c r="C42" s="12"/>
      <c r="D42" s="12"/>
      <c r="E42" s="12"/>
      <c r="F42" s="12"/>
      <c r="G42" s="13" t="s">
        <v>44</v>
      </c>
      <c r="H42" s="39">
        <f>IF((H20-ROUNDDOWN((H20-2*H41)/(25+H22)+1,0)*H22-2*H41)/(ROUNDDOWN((H20-2*H41)/(25+H22)+1,0)-1)&gt;25,ROUNDDOWN((H20-2*H41)/(25+H22)+1,0),(ROUNDDOWN((H20-2*H41)/(25+H22)+1,0)-1))</f>
        <v>4</v>
      </c>
      <c r="I42" s="14" t="s">
        <v>45</v>
      </c>
    </row>
    <row r="43" spans="1:9" ht="18.75" customHeight="1" x14ac:dyDescent="0.35">
      <c r="A43" s="2"/>
      <c r="B43" s="12" t="s">
        <v>46</v>
      </c>
      <c r="C43" s="12"/>
      <c r="D43" s="12"/>
      <c r="E43" s="12"/>
      <c r="F43" s="12"/>
      <c r="G43" s="13" t="s">
        <v>220</v>
      </c>
      <c r="H43" s="36">
        <f>H35/0.85/H34</f>
        <v>18.352941176470587</v>
      </c>
      <c r="I43" s="14"/>
    </row>
    <row r="44" spans="1:9" ht="18.75" customHeight="1" x14ac:dyDescent="0.35">
      <c r="A44" s="6"/>
      <c r="I44" s="18"/>
    </row>
    <row r="45" spans="1:9" ht="18.75" customHeight="1" x14ac:dyDescent="0.35">
      <c r="A45" s="123" t="s">
        <v>47</v>
      </c>
      <c r="B45" s="7" t="s">
        <v>48</v>
      </c>
      <c r="C45" s="8"/>
      <c r="D45" s="8"/>
      <c r="E45" s="8"/>
      <c r="F45" s="9"/>
      <c r="G45" s="9"/>
      <c r="H45" s="10"/>
      <c r="I45" s="11"/>
    </row>
    <row r="46" spans="1:9" ht="18.75" customHeight="1" x14ac:dyDescent="0.35">
      <c r="A46" s="124"/>
      <c r="B46" s="12" t="s">
        <v>50</v>
      </c>
      <c r="C46" s="20"/>
      <c r="D46" s="12"/>
      <c r="E46" s="12"/>
      <c r="F46" s="12"/>
      <c r="G46" s="68" t="s">
        <v>221</v>
      </c>
      <c r="H46" s="37">
        <f>1/H43*(1-(1-2*H43*((H30/0.85)*10^6/(H20*H37^2))/H35)^0.5)</f>
        <v>1.1156087208331221E-2</v>
      </c>
      <c r="I46" s="69"/>
    </row>
    <row r="47" spans="1:9" ht="18.75" customHeight="1" x14ac:dyDescent="0.35">
      <c r="A47" s="124"/>
      <c r="B47" s="12" t="s">
        <v>51</v>
      </c>
      <c r="C47" s="12"/>
      <c r="D47" s="12"/>
      <c r="E47" s="12"/>
      <c r="F47" s="12"/>
      <c r="G47" s="13"/>
      <c r="H47" s="70"/>
      <c r="I47" s="14"/>
    </row>
    <row r="48" spans="1:9" ht="18.75" customHeight="1" x14ac:dyDescent="0.35">
      <c r="A48" s="124"/>
      <c r="B48" s="12"/>
      <c r="C48" s="12" t="s">
        <v>52</v>
      </c>
      <c r="D48" s="13" t="s">
        <v>212</v>
      </c>
      <c r="E48" s="15" t="s">
        <v>53</v>
      </c>
      <c r="F48" s="19" t="s">
        <v>213</v>
      </c>
      <c r="G48" s="13"/>
      <c r="H48" s="70"/>
      <c r="I48" s="14"/>
    </row>
    <row r="49" spans="1:9" ht="18.75" customHeight="1" x14ac:dyDescent="0.35">
      <c r="A49" s="124"/>
      <c r="B49" s="12"/>
      <c r="C49" s="12"/>
      <c r="D49" s="120" t="str">
        <f>TEXT(MIN(H34^0.5/4/H35,1.4/H35),"0,000")&amp;"   &lt;"</f>
        <v>0,000   &lt;</v>
      </c>
      <c r="E49" s="70">
        <f>H46</f>
        <v>1.1156087208331221E-2</v>
      </c>
      <c r="F49" s="121" t="str">
        <f>"&lt;   "&amp;TEXT(0.75*$H$40,"0,000")</f>
        <v>&lt;   0,000</v>
      </c>
      <c r="G49" s="16" t="s">
        <v>40</v>
      </c>
      <c r="H49" s="71" t="str">
        <f>IF(MIN(H34^0.5/4/$H$35,1.4*$H$35)&lt;E49,(IF(E49&lt;0.75*$H$40,"[ OK ]","[ NOT OK ]")),"[ Pakai ρmin ]")</f>
        <v>[ OK ]</v>
      </c>
      <c r="I49" s="14"/>
    </row>
    <row r="50" spans="1:9" ht="18.75" customHeight="1" x14ac:dyDescent="0.35">
      <c r="A50" s="124"/>
      <c r="B50" s="12"/>
      <c r="C50" s="12"/>
      <c r="D50" s="12"/>
      <c r="E50" s="12"/>
      <c r="F50" s="12"/>
      <c r="G50" s="13"/>
      <c r="H50" s="15"/>
      <c r="I50" s="14"/>
    </row>
    <row r="51" spans="1:9" ht="18.75" customHeight="1" x14ac:dyDescent="0.35">
      <c r="A51" s="124"/>
      <c r="B51" s="12" t="s">
        <v>54</v>
      </c>
      <c r="C51" s="12"/>
      <c r="D51" s="12"/>
      <c r="E51" s="12"/>
      <c r="F51" s="12"/>
      <c r="G51" s="13" t="s">
        <v>55</v>
      </c>
      <c r="H51" s="37">
        <f>IF(MIN(H34^0.5/4/$H$35,1.4*$H$35)&lt;0.75*$H$40,(IF(E49&lt;0.75*$H$40,E49,"[ NOT OK ]")),MIN(H34^0.5/4/$H$35,1.4*$H$35))</f>
        <v>1.1156087208331221E-2</v>
      </c>
      <c r="I51" s="14"/>
    </row>
    <row r="52" spans="1:9" ht="18.75" customHeight="1" x14ac:dyDescent="0.35">
      <c r="A52" s="124"/>
      <c r="B52" s="15"/>
      <c r="C52" s="15"/>
      <c r="D52" s="20"/>
      <c r="E52" s="20"/>
      <c r="F52" s="12"/>
      <c r="G52" s="13"/>
      <c r="H52" s="15"/>
      <c r="I52" s="72"/>
    </row>
    <row r="53" spans="1:9" ht="18.75" customHeight="1" x14ac:dyDescent="0.35">
      <c r="A53" s="123" t="s">
        <v>78</v>
      </c>
      <c r="B53" s="73" t="s">
        <v>56</v>
      </c>
      <c r="C53" s="10"/>
      <c r="D53" s="74"/>
      <c r="E53" s="74"/>
      <c r="F53" s="8"/>
      <c r="G53" s="9"/>
      <c r="H53" s="10"/>
      <c r="I53" s="75"/>
    </row>
    <row r="54" spans="1:9" ht="18.75" customHeight="1" x14ac:dyDescent="0.35">
      <c r="A54" s="124"/>
      <c r="B54" s="19" t="s">
        <v>57</v>
      </c>
      <c r="C54" s="15"/>
      <c r="D54" s="13"/>
      <c r="E54" s="15"/>
      <c r="F54" s="12"/>
      <c r="G54" s="13" t="s">
        <v>73</v>
      </c>
      <c r="H54" s="36">
        <f>H51*H20*$H$37</f>
        <v>1464.2364460934728</v>
      </c>
      <c r="I54" s="14" t="s">
        <v>37</v>
      </c>
    </row>
    <row r="55" spans="1:9" ht="18.75" customHeight="1" x14ac:dyDescent="0.35">
      <c r="A55" s="2"/>
      <c r="B55" s="19" t="s">
        <v>58</v>
      </c>
      <c r="C55" s="20"/>
      <c r="D55" s="15"/>
      <c r="E55" s="76"/>
      <c r="F55" s="12"/>
      <c r="G55" s="108"/>
      <c r="H55" s="118" t="str">
        <f>TEXT(H54/(PI()/4*H22^2),"0")&amp;" D"&amp;H22</f>
        <v>5 D19</v>
      </c>
      <c r="I55" s="72"/>
    </row>
    <row r="56" spans="1:9" ht="18.75" customHeight="1" x14ac:dyDescent="0.35">
      <c r="A56" s="2"/>
      <c r="B56" s="19" t="s">
        <v>59</v>
      </c>
      <c r="C56" s="12"/>
      <c r="D56" s="12"/>
      <c r="E56" s="12"/>
      <c r="F56" s="12"/>
      <c r="G56" s="13" t="s">
        <v>60</v>
      </c>
      <c r="H56" s="39">
        <f>ROUNDUP((H54/(PI()/4*H22^2))/$H$42,0)</f>
        <v>2</v>
      </c>
      <c r="I56" s="72"/>
    </row>
    <row r="57" spans="1:9" ht="18.75" customHeight="1" x14ac:dyDescent="0.35">
      <c r="A57" s="2"/>
      <c r="B57" s="12"/>
      <c r="C57" s="12" t="s">
        <v>61</v>
      </c>
      <c r="D57" s="13" t="s">
        <v>62</v>
      </c>
      <c r="E57" s="15" t="s">
        <v>75</v>
      </c>
      <c r="F57" s="12"/>
      <c r="G57" s="16" t="s">
        <v>40</v>
      </c>
      <c r="H57" s="71" t="str">
        <f>IF(H56&lt;=3,"[OK]","[NOT OK]")</f>
        <v>[OK]</v>
      </c>
      <c r="I57" s="72"/>
    </row>
    <row r="58" spans="1:9" ht="18.75" customHeight="1" x14ac:dyDescent="0.35">
      <c r="A58" s="2"/>
      <c r="B58" s="12"/>
      <c r="C58" s="12"/>
      <c r="D58" s="12"/>
      <c r="E58" s="12"/>
      <c r="F58" s="12"/>
      <c r="G58" s="13"/>
      <c r="H58" s="77"/>
      <c r="I58" s="72"/>
    </row>
    <row r="59" spans="1:9" ht="18.75" customHeight="1" x14ac:dyDescent="0.35">
      <c r="A59" s="2"/>
      <c r="B59" s="95" t="s">
        <v>64</v>
      </c>
      <c r="C59" s="96" t="s">
        <v>65</v>
      </c>
      <c r="D59" s="96" t="s">
        <v>66</v>
      </c>
      <c r="E59" s="96" t="s">
        <v>67</v>
      </c>
      <c r="F59" s="12"/>
      <c r="G59" s="13"/>
      <c r="H59" s="77"/>
      <c r="I59" s="72"/>
    </row>
    <row r="60" spans="1:9" ht="18.75" customHeight="1" x14ac:dyDescent="0.35">
      <c r="A60" s="2"/>
      <c r="B60" s="95" t="s">
        <v>68</v>
      </c>
      <c r="C60" s="96" t="s">
        <v>208</v>
      </c>
      <c r="D60" s="96" t="s">
        <v>209</v>
      </c>
      <c r="E60" s="96" t="s">
        <v>210</v>
      </c>
      <c r="F60" s="12"/>
      <c r="G60" s="13"/>
      <c r="H60" s="77"/>
      <c r="I60" s="72"/>
    </row>
    <row r="61" spans="1:9" ht="18.75" customHeight="1" x14ac:dyDescent="0.35">
      <c r="A61" s="2"/>
      <c r="B61" s="41">
        <v>1</v>
      </c>
      <c r="C61" s="38">
        <f>IF((H54/(PI()/4*H22^2))&gt;H42,H42,(H54/(PI()/4*H22^2)))</f>
        <v>4</v>
      </c>
      <c r="D61" s="38">
        <f>IF(C61=0,0,H41)</f>
        <v>62.5</v>
      </c>
      <c r="E61" s="38">
        <f>C61*D61</f>
        <v>250</v>
      </c>
      <c r="F61" s="12"/>
      <c r="G61" s="13"/>
      <c r="H61" s="77"/>
      <c r="I61" s="72"/>
    </row>
    <row r="62" spans="1:9" ht="18.75" customHeight="1" x14ac:dyDescent="0.35">
      <c r="A62" s="2"/>
      <c r="B62" s="41">
        <v>2</v>
      </c>
      <c r="C62" s="38">
        <f>IF((H54/(PI()/4*H22^2))-H42&gt;0,IF((H54/(PI()/4*H22^2))-$H$42&gt;$H$42,$H$42,(H54/(PI()/4*H22^2))-$H$42),0)</f>
        <v>1.1643317063952523</v>
      </c>
      <c r="D62" s="38">
        <f>IF(C62=0,0,H41+H22+25)</f>
        <v>106.5</v>
      </c>
      <c r="E62" s="38">
        <f>C62*D62</f>
        <v>124.00132673109437</v>
      </c>
      <c r="F62" s="12"/>
      <c r="G62" s="13"/>
      <c r="H62" s="77"/>
      <c r="I62" s="72"/>
    </row>
    <row r="63" spans="1:9" ht="18.75" customHeight="1" x14ac:dyDescent="0.35">
      <c r="A63" s="2"/>
      <c r="B63" s="41">
        <v>3</v>
      </c>
      <c r="C63" s="38">
        <f>IF((H54/(PI()/4*H22^2))&gt;2*H42,(H54/(PI()/4*H22^2))-2*H42,0)</f>
        <v>0</v>
      </c>
      <c r="D63" s="38">
        <f>IF(C63=0,0,H41+2*H22+25)</f>
        <v>0</v>
      </c>
      <c r="E63" s="38">
        <f>C63*D63</f>
        <v>0</v>
      </c>
      <c r="F63" s="12"/>
      <c r="G63" s="13"/>
      <c r="H63" s="77"/>
      <c r="I63" s="72"/>
    </row>
    <row r="64" spans="1:9" ht="18.75" customHeight="1" x14ac:dyDescent="0.35">
      <c r="A64" s="2"/>
      <c r="B64" s="101" t="s">
        <v>69</v>
      </c>
      <c r="C64" s="102">
        <f>SUM(C61:C63)</f>
        <v>5.1643317063952523</v>
      </c>
      <c r="D64" s="103" t="s">
        <v>70</v>
      </c>
      <c r="E64" s="102">
        <f>SUM(E61:E63)</f>
        <v>374.00132673109437</v>
      </c>
      <c r="F64" s="12"/>
      <c r="G64" s="13"/>
      <c r="H64" s="77"/>
      <c r="I64" s="72"/>
    </row>
    <row r="65" spans="1:9" ht="18.75" customHeight="1" x14ac:dyDescent="0.35">
      <c r="A65" s="2"/>
      <c r="B65" s="16"/>
      <c r="C65" s="17"/>
      <c r="D65" s="16"/>
      <c r="E65" s="17"/>
      <c r="F65" s="12"/>
      <c r="G65" s="13"/>
      <c r="H65" s="77"/>
      <c r="I65" s="72"/>
    </row>
    <row r="66" spans="1:9" ht="18.75" customHeight="1" x14ac:dyDescent="0.35">
      <c r="A66" s="2"/>
      <c r="B66" s="16"/>
      <c r="C66" s="17"/>
      <c r="D66" s="16"/>
      <c r="E66" s="17"/>
      <c r="F66" s="12"/>
      <c r="G66" s="13"/>
      <c r="H66" s="77"/>
      <c r="I66" s="72"/>
    </row>
    <row r="67" spans="1:9" ht="18.75" customHeight="1" x14ac:dyDescent="0.35">
      <c r="A67" s="2"/>
      <c r="B67" s="16"/>
      <c r="C67" s="17"/>
      <c r="D67" s="16"/>
      <c r="E67" s="17"/>
      <c r="F67" s="12"/>
      <c r="G67" s="13"/>
      <c r="H67" s="77"/>
      <c r="I67" s="72"/>
    </row>
    <row r="68" spans="1:9" ht="18.75" customHeight="1" x14ac:dyDescent="0.35">
      <c r="A68" s="2"/>
      <c r="B68" s="16"/>
      <c r="C68" s="17"/>
      <c r="D68" s="16"/>
      <c r="E68" s="17"/>
      <c r="F68" s="12"/>
      <c r="G68" s="13"/>
      <c r="H68" s="77"/>
      <c r="I68" s="72"/>
    </row>
    <row r="69" spans="1:9" ht="18.75" customHeight="1" x14ac:dyDescent="0.35">
      <c r="A69" s="2"/>
      <c r="B69" s="16"/>
      <c r="C69" s="17"/>
      <c r="D69" s="16"/>
      <c r="E69" s="17"/>
      <c r="F69" s="12"/>
      <c r="G69" s="13"/>
      <c r="H69" s="77"/>
      <c r="I69" s="72"/>
    </row>
    <row r="70" spans="1:9" ht="18.75" customHeight="1" x14ac:dyDescent="0.35">
      <c r="A70" s="2"/>
      <c r="B70" s="16"/>
      <c r="C70" s="17"/>
      <c r="D70" s="16"/>
      <c r="E70" s="17"/>
      <c r="F70" s="12"/>
      <c r="G70" s="13"/>
      <c r="H70" s="77"/>
      <c r="I70" s="72"/>
    </row>
    <row r="71" spans="1:9" ht="18.75" customHeight="1" x14ac:dyDescent="0.35">
      <c r="A71" s="2"/>
      <c r="B71" s="16"/>
      <c r="C71" s="17"/>
      <c r="D71" s="16"/>
      <c r="E71" s="17"/>
      <c r="F71" s="12"/>
      <c r="G71" s="13"/>
      <c r="H71" s="77"/>
      <c r="I71" s="72"/>
    </row>
    <row r="72" spans="1:9" ht="18.75" customHeight="1" x14ac:dyDescent="0.35">
      <c r="A72" s="2"/>
      <c r="B72" s="16"/>
      <c r="C72" s="17"/>
      <c r="D72" s="16"/>
      <c r="E72" s="17"/>
      <c r="F72" s="12"/>
      <c r="G72" s="13"/>
      <c r="H72" s="77"/>
      <c r="I72" s="72"/>
    </row>
    <row r="73" spans="1:9" ht="18.75" customHeight="1" x14ac:dyDescent="0.35">
      <c r="A73" s="2"/>
      <c r="B73" s="16"/>
      <c r="C73" s="17"/>
      <c r="D73" s="16"/>
      <c r="E73" s="17"/>
      <c r="F73" s="12"/>
      <c r="G73" s="13"/>
      <c r="H73" s="77"/>
      <c r="I73" s="72"/>
    </row>
    <row r="74" spans="1:9" ht="18.75" customHeight="1" x14ac:dyDescent="0.35">
      <c r="A74" s="2"/>
      <c r="B74" s="12"/>
      <c r="C74" s="12"/>
      <c r="D74" s="12"/>
      <c r="E74" s="12"/>
      <c r="F74" s="12"/>
      <c r="G74" s="13"/>
      <c r="H74" s="15"/>
      <c r="I74" s="14"/>
    </row>
    <row r="75" spans="1:9" ht="18.75" customHeight="1" x14ac:dyDescent="0.35">
      <c r="A75" s="2"/>
      <c r="B75" s="12" t="s">
        <v>63</v>
      </c>
      <c r="C75" s="12"/>
      <c r="D75" s="12"/>
      <c r="E75" s="71"/>
      <c r="F75" s="12"/>
      <c r="G75" s="13" t="s">
        <v>217</v>
      </c>
      <c r="H75" s="38">
        <f>H21-E64/C64</f>
        <v>427.57991779111524</v>
      </c>
      <c r="I75" s="72" t="s">
        <v>18</v>
      </c>
    </row>
    <row r="76" spans="1:9" ht="18.75" customHeight="1" x14ac:dyDescent="0.35">
      <c r="A76" s="2"/>
      <c r="B76" s="12" t="s">
        <v>74</v>
      </c>
      <c r="C76" s="12"/>
      <c r="D76" s="12"/>
      <c r="E76" s="71"/>
      <c r="F76" s="12"/>
      <c r="G76" s="13" t="s">
        <v>222</v>
      </c>
      <c r="H76" s="38">
        <f>E64/C64</f>
        <v>72.420082208884779</v>
      </c>
      <c r="I76" s="72" t="s">
        <v>18</v>
      </c>
    </row>
    <row r="77" spans="1:9" ht="18.75" customHeight="1" x14ac:dyDescent="0.35">
      <c r="A77" s="6"/>
      <c r="I77" s="18"/>
    </row>
    <row r="78" spans="1:9" ht="18.75" customHeight="1" x14ac:dyDescent="0.35">
      <c r="A78" s="1" t="s">
        <v>79</v>
      </c>
      <c r="B78" s="7" t="s">
        <v>71</v>
      </c>
      <c r="C78" s="8"/>
      <c r="D78" s="8"/>
      <c r="E78" s="8"/>
      <c r="F78" s="9"/>
      <c r="G78" s="9"/>
      <c r="H78" s="10"/>
      <c r="I78" s="11"/>
    </row>
    <row r="79" spans="1:9" ht="18.75" customHeight="1" x14ac:dyDescent="0.35">
      <c r="A79" s="2"/>
      <c r="B79" s="12" t="s">
        <v>50</v>
      </c>
      <c r="C79" s="20"/>
      <c r="D79" s="12"/>
      <c r="E79" s="12"/>
      <c r="F79" s="12"/>
      <c r="G79" s="68" t="s">
        <v>221</v>
      </c>
      <c r="H79" s="37">
        <f>1/H43*(1-(1-2*H43*(H31/0.85*10^6/(H20*'Input + Process'!H37^2))/H35)^0.5)</f>
        <v>3.9423974922213516E-3</v>
      </c>
      <c r="I79" s="69"/>
    </row>
    <row r="80" spans="1:9" ht="18.75" customHeight="1" x14ac:dyDescent="0.35">
      <c r="A80" s="2"/>
      <c r="B80" s="12" t="s">
        <v>51</v>
      </c>
      <c r="C80" s="12"/>
      <c r="D80" s="12"/>
      <c r="E80" s="12"/>
      <c r="F80" s="12"/>
      <c r="G80" s="13"/>
      <c r="H80" s="70"/>
      <c r="I80" s="14"/>
    </row>
    <row r="81" spans="1:9" ht="18.75" customHeight="1" x14ac:dyDescent="0.35">
      <c r="A81" s="2"/>
      <c r="B81" s="12"/>
      <c r="C81" s="12" t="s">
        <v>52</v>
      </c>
      <c r="D81" s="13" t="s">
        <v>212</v>
      </c>
      <c r="E81" s="15" t="s">
        <v>53</v>
      </c>
      <c r="F81" s="19" t="s">
        <v>213</v>
      </c>
      <c r="G81" s="13"/>
      <c r="H81" s="70"/>
      <c r="I81" s="14"/>
    </row>
    <row r="82" spans="1:9" ht="18.75" customHeight="1" x14ac:dyDescent="0.35">
      <c r="A82" s="2"/>
      <c r="B82" s="12"/>
      <c r="C82" s="12"/>
      <c r="D82" s="120" t="str">
        <f>D49</f>
        <v>0,000   &lt;</v>
      </c>
      <c r="E82" s="70">
        <f>H79</f>
        <v>3.9423974922213516E-3</v>
      </c>
      <c r="F82" s="121" t="str">
        <f>F49</f>
        <v>&lt;   0,000</v>
      </c>
      <c r="G82" s="16" t="s">
        <v>40</v>
      </c>
      <c r="H82" s="71" t="str">
        <f>IF(MIN(H34^0.5/4/$H$35,1.4*$H$35)&lt;E82,(IF(E82&lt;0.75*$H$40,"[ OK ]","[ NOT OK ]")),"[ Pakai ρmin ]")</f>
        <v>[ OK ]</v>
      </c>
      <c r="I82" s="14"/>
    </row>
    <row r="83" spans="1:9" ht="18.75" customHeight="1" x14ac:dyDescent="0.35">
      <c r="A83" s="2"/>
      <c r="B83" s="12"/>
      <c r="C83" s="12"/>
      <c r="D83" s="12"/>
      <c r="E83" s="12"/>
      <c r="F83" s="12"/>
      <c r="G83" s="13"/>
      <c r="H83" s="15"/>
      <c r="I83" s="14"/>
    </row>
    <row r="84" spans="1:9" ht="18.75" customHeight="1" x14ac:dyDescent="0.35">
      <c r="A84" s="2"/>
      <c r="B84" s="12" t="s">
        <v>54</v>
      </c>
      <c r="C84" s="12"/>
      <c r="D84" s="12"/>
      <c r="E84" s="12"/>
      <c r="F84" s="12"/>
      <c r="G84" s="13" t="s">
        <v>55</v>
      </c>
      <c r="H84" s="37">
        <f>IF(MIN(H34^0.5/4/$H$35,1.4*$H$35)&lt;0.75*$H$40,(IF(E82&lt;0.75*$H$40,E82,"[ NOT OK ]")),MIN(H34^0.5/4/$H$35,1.4*$H$35))</f>
        <v>3.9423974922213516E-3</v>
      </c>
      <c r="I84" s="14"/>
    </row>
    <row r="85" spans="1:9" ht="18.75" customHeight="1" x14ac:dyDescent="0.35">
      <c r="A85" s="2"/>
      <c r="B85" s="12"/>
      <c r="C85" s="12"/>
      <c r="D85" s="12"/>
      <c r="E85" s="12"/>
      <c r="F85" s="12"/>
      <c r="G85" s="13"/>
      <c r="H85" s="70"/>
      <c r="I85" s="14"/>
    </row>
    <row r="86" spans="1:9" ht="18.75" customHeight="1" x14ac:dyDescent="0.35">
      <c r="A86" s="1" t="s">
        <v>80</v>
      </c>
      <c r="B86" s="73" t="s">
        <v>72</v>
      </c>
      <c r="C86" s="10"/>
      <c r="D86" s="74"/>
      <c r="E86" s="74"/>
      <c r="F86" s="8"/>
      <c r="G86" s="9"/>
      <c r="H86" s="10"/>
      <c r="I86" s="75"/>
    </row>
    <row r="87" spans="1:9" ht="18.75" customHeight="1" x14ac:dyDescent="0.35">
      <c r="A87" s="2"/>
      <c r="B87" s="19" t="s">
        <v>57</v>
      </c>
      <c r="C87" s="15"/>
      <c r="D87" s="13"/>
      <c r="E87" s="15"/>
      <c r="F87" s="12"/>
      <c r="G87" s="13" t="s">
        <v>84</v>
      </c>
      <c r="H87" s="36">
        <f>H84*H20*$H$37</f>
        <v>517.43967085405234</v>
      </c>
      <c r="I87" s="14" t="s">
        <v>37</v>
      </c>
    </row>
    <row r="88" spans="1:9" ht="18.75" customHeight="1" x14ac:dyDescent="0.35">
      <c r="A88" s="2"/>
      <c r="B88" s="19" t="s">
        <v>58</v>
      </c>
      <c r="C88" s="20"/>
      <c r="D88" s="15"/>
      <c r="E88" s="76"/>
      <c r="F88" s="12"/>
      <c r="G88" s="108"/>
      <c r="H88" s="118" t="str">
        <f>TEXT(H87/(PI()/4*H22^2),"0")&amp;" D"&amp;H22</f>
        <v>2 D19</v>
      </c>
      <c r="I88" s="72"/>
    </row>
    <row r="89" spans="1:9" ht="18.75" customHeight="1" x14ac:dyDescent="0.35">
      <c r="A89" s="2"/>
      <c r="B89" s="19" t="s">
        <v>59</v>
      </c>
      <c r="C89" s="12"/>
      <c r="D89" s="12"/>
      <c r="E89" s="12"/>
      <c r="F89" s="12"/>
      <c r="G89" s="13" t="s">
        <v>60</v>
      </c>
      <c r="H89" s="39">
        <f>ROUNDUP((H87/(PI()/4*H22^2))/H42,0)</f>
        <v>1</v>
      </c>
      <c r="I89" s="72"/>
    </row>
    <row r="90" spans="1:9" ht="18.75" customHeight="1" x14ac:dyDescent="0.35">
      <c r="A90" s="2"/>
      <c r="B90" s="12"/>
      <c r="C90" s="12" t="s">
        <v>61</v>
      </c>
      <c r="D90" s="13" t="s">
        <v>62</v>
      </c>
      <c r="E90" s="15" t="s">
        <v>75</v>
      </c>
      <c r="F90" s="19"/>
      <c r="G90" s="16" t="s">
        <v>40</v>
      </c>
      <c r="H90" s="71" t="str">
        <f>IF(H89&lt;=3,"[OK]","[NOT OK]")</f>
        <v>[OK]</v>
      </c>
      <c r="I90" s="72"/>
    </row>
    <row r="91" spans="1:9" ht="18.75" customHeight="1" x14ac:dyDescent="0.35">
      <c r="A91" s="2"/>
      <c r="B91" s="12"/>
      <c r="C91" s="12"/>
      <c r="D91" s="12"/>
      <c r="E91" s="12"/>
      <c r="F91" s="12"/>
      <c r="G91" s="13"/>
      <c r="H91" s="77"/>
      <c r="I91" s="72"/>
    </row>
    <row r="92" spans="1:9" ht="18.75" customHeight="1" x14ac:dyDescent="0.35">
      <c r="A92" s="2"/>
      <c r="B92" s="95" t="s">
        <v>64</v>
      </c>
      <c r="C92" s="96" t="s">
        <v>65</v>
      </c>
      <c r="D92" s="96" t="s">
        <v>66</v>
      </c>
      <c r="E92" s="96" t="s">
        <v>67</v>
      </c>
      <c r="F92" s="12"/>
      <c r="G92" s="13"/>
      <c r="H92" s="77"/>
      <c r="I92" s="72"/>
    </row>
    <row r="93" spans="1:9" ht="18.75" customHeight="1" x14ac:dyDescent="0.35">
      <c r="A93" s="2"/>
      <c r="B93" s="95" t="s">
        <v>68</v>
      </c>
      <c r="C93" s="96" t="s">
        <v>208</v>
      </c>
      <c r="D93" s="96" t="s">
        <v>209</v>
      </c>
      <c r="E93" s="96" t="s">
        <v>210</v>
      </c>
      <c r="F93" s="12"/>
      <c r="G93" s="13"/>
      <c r="H93" s="77"/>
      <c r="I93" s="72"/>
    </row>
    <row r="94" spans="1:9" ht="18.75" customHeight="1" x14ac:dyDescent="0.35">
      <c r="A94" s="2"/>
      <c r="B94" s="41">
        <v>1</v>
      </c>
      <c r="C94" s="38">
        <f>IF((H87/(PI()/4*H22^2))&gt;H42,H42,H87/(PI()/4*H22^2))</f>
        <v>1.824999033091762</v>
      </c>
      <c r="D94" s="38">
        <f>IF(C94=0,0,H41)</f>
        <v>62.5</v>
      </c>
      <c r="E94" s="38">
        <f>C94*D94</f>
        <v>114.06243956823512</v>
      </c>
      <c r="F94" s="12"/>
      <c r="G94" s="13"/>
      <c r="H94" s="77"/>
      <c r="I94" s="72"/>
    </row>
    <row r="95" spans="1:9" ht="18.75" customHeight="1" x14ac:dyDescent="0.35">
      <c r="A95" s="2"/>
      <c r="B95" s="41">
        <v>2</v>
      </c>
      <c r="C95" s="38">
        <f>IF((H87/(PI()/4*H22^2))-H42&gt;0,IF((H87/(PI()/4*H22^2))-$H$42&gt;$H$42,$H$42,(H87/(PI()/4*H22^2))-$H$42),0)</f>
        <v>0</v>
      </c>
      <c r="D95" s="38">
        <f>IF(C95=0,0,H41+H22+25)</f>
        <v>0</v>
      </c>
      <c r="E95" s="38">
        <f>C95*D95</f>
        <v>0</v>
      </c>
      <c r="F95" s="12"/>
      <c r="G95" s="13"/>
      <c r="H95" s="77"/>
      <c r="I95" s="72"/>
    </row>
    <row r="96" spans="1:9" ht="18.75" customHeight="1" x14ac:dyDescent="0.35">
      <c r="A96" s="2"/>
      <c r="B96" s="41">
        <v>3</v>
      </c>
      <c r="C96" s="38">
        <f>IF((H87/(PI()/4*H22^2))&gt;2*H42,(H87/(PI()/4*H22^2))-2*H42,0)</f>
        <v>0</v>
      </c>
      <c r="D96" s="38">
        <f>IF(C96=0,0,H41+2*H22+25)</f>
        <v>0</v>
      </c>
      <c r="E96" s="38">
        <f>C96*D96</f>
        <v>0</v>
      </c>
      <c r="F96" s="12"/>
      <c r="G96" s="13"/>
      <c r="H96" s="77"/>
      <c r="I96" s="72"/>
    </row>
    <row r="97" spans="1:9" ht="18.75" customHeight="1" x14ac:dyDescent="0.35">
      <c r="A97" s="2"/>
      <c r="B97" s="101" t="s">
        <v>69</v>
      </c>
      <c r="C97" s="102">
        <f>SUM(C94:C96)</f>
        <v>1.824999033091762</v>
      </c>
      <c r="D97" s="103" t="s">
        <v>70</v>
      </c>
      <c r="E97" s="102">
        <f>SUM(E94:E96)</f>
        <v>114.06243956823512</v>
      </c>
      <c r="F97" s="12"/>
      <c r="G97" s="13"/>
      <c r="H97" s="77"/>
      <c r="I97" s="72"/>
    </row>
    <row r="98" spans="1:9" ht="18.75" customHeight="1" x14ac:dyDescent="0.35">
      <c r="A98" s="2"/>
      <c r="B98" s="12"/>
      <c r="C98" s="12"/>
      <c r="D98" s="12"/>
      <c r="E98" s="12"/>
      <c r="F98" s="12"/>
      <c r="G98" s="13"/>
      <c r="H98" s="77"/>
      <c r="I98" s="72"/>
    </row>
    <row r="99" spans="1:9" ht="18.75" customHeight="1" x14ac:dyDescent="0.35">
      <c r="A99" s="2"/>
      <c r="B99" s="12"/>
      <c r="C99" s="12"/>
      <c r="D99" s="12"/>
      <c r="E99" s="12"/>
      <c r="F99" s="12"/>
      <c r="G99" s="13"/>
      <c r="H99" s="77"/>
      <c r="I99" s="72"/>
    </row>
    <row r="100" spans="1:9" ht="18.75" customHeight="1" x14ac:dyDescent="0.35">
      <c r="A100" s="2"/>
      <c r="B100" s="12"/>
      <c r="C100" s="12"/>
      <c r="D100" s="12"/>
      <c r="E100" s="12"/>
      <c r="F100" s="12"/>
      <c r="G100" s="13"/>
      <c r="H100" s="77"/>
      <c r="I100" s="72"/>
    </row>
    <row r="101" spans="1:9" ht="18.75" customHeight="1" x14ac:dyDescent="0.35">
      <c r="A101" s="2"/>
      <c r="B101" s="12"/>
      <c r="C101" s="12"/>
      <c r="D101" s="12"/>
      <c r="E101" s="12"/>
      <c r="F101" s="12"/>
      <c r="G101" s="13"/>
      <c r="H101" s="77"/>
      <c r="I101" s="72"/>
    </row>
    <row r="102" spans="1:9" ht="18.75" customHeight="1" x14ac:dyDescent="0.35">
      <c r="A102" s="2"/>
      <c r="B102" s="12"/>
      <c r="C102" s="12"/>
      <c r="D102" s="12"/>
      <c r="E102" s="12"/>
      <c r="F102" s="12"/>
      <c r="G102" s="13"/>
      <c r="H102" s="77"/>
      <c r="I102" s="72"/>
    </row>
    <row r="103" spans="1:9" ht="18.75" customHeight="1" x14ac:dyDescent="0.35">
      <c r="A103" s="2"/>
      <c r="B103" s="12"/>
      <c r="C103" s="12"/>
      <c r="D103" s="12"/>
      <c r="E103" s="12"/>
      <c r="F103" s="12"/>
      <c r="G103" s="13"/>
      <c r="H103" s="77"/>
      <c r="I103" s="72"/>
    </row>
    <row r="104" spans="1:9" ht="18.75" customHeight="1" x14ac:dyDescent="0.35">
      <c r="A104" s="2"/>
      <c r="B104" s="12"/>
      <c r="C104" s="12"/>
      <c r="D104" s="12"/>
      <c r="E104" s="12"/>
      <c r="F104" s="12"/>
      <c r="G104" s="13"/>
      <c r="H104" s="77"/>
      <c r="I104" s="72"/>
    </row>
    <row r="105" spans="1:9" ht="18.75" customHeight="1" x14ac:dyDescent="0.35">
      <c r="A105" s="2"/>
      <c r="B105" s="12"/>
      <c r="C105" s="12"/>
      <c r="D105" s="12"/>
      <c r="E105" s="12"/>
      <c r="F105" s="12"/>
      <c r="G105" s="13"/>
      <c r="H105" s="77"/>
      <c r="I105" s="72"/>
    </row>
    <row r="106" spans="1:9" ht="18.75" customHeight="1" x14ac:dyDescent="0.35">
      <c r="A106" s="2"/>
      <c r="B106" s="12"/>
      <c r="C106" s="12"/>
      <c r="D106" s="12"/>
      <c r="E106" s="12"/>
      <c r="F106" s="12"/>
      <c r="G106" s="13"/>
      <c r="H106" s="77"/>
      <c r="I106" s="72"/>
    </row>
    <row r="107" spans="1:9" ht="18.75" customHeight="1" x14ac:dyDescent="0.35">
      <c r="A107" s="2"/>
      <c r="B107" s="12"/>
      <c r="C107" s="12"/>
      <c r="D107" s="12"/>
      <c r="E107" s="12"/>
      <c r="F107" s="12"/>
      <c r="G107" s="13"/>
      <c r="H107" s="77"/>
      <c r="I107" s="72"/>
    </row>
    <row r="108" spans="1:9" ht="18.75" customHeight="1" x14ac:dyDescent="0.35">
      <c r="A108" s="2"/>
      <c r="B108" s="12" t="s">
        <v>63</v>
      </c>
      <c r="C108" s="12"/>
      <c r="D108" s="12"/>
      <c r="E108" s="71"/>
      <c r="F108" s="12"/>
      <c r="G108" s="13" t="s">
        <v>217</v>
      </c>
      <c r="H108" s="38">
        <f>H21-E97/C97</f>
        <v>437.5</v>
      </c>
      <c r="I108" s="72" t="s">
        <v>18</v>
      </c>
    </row>
    <row r="109" spans="1:9" ht="18.75" customHeight="1" x14ac:dyDescent="0.35">
      <c r="A109" s="2"/>
      <c r="B109" s="12" t="s">
        <v>74</v>
      </c>
      <c r="C109" s="12"/>
      <c r="D109" s="12"/>
      <c r="E109" s="71"/>
      <c r="F109" s="12"/>
      <c r="G109" s="13" t="s">
        <v>222</v>
      </c>
      <c r="H109" s="38">
        <f>E97/C97</f>
        <v>62.499999999999993</v>
      </c>
      <c r="I109" s="72" t="s">
        <v>18</v>
      </c>
    </row>
    <row r="110" spans="1:9" ht="18.75" customHeight="1" x14ac:dyDescent="0.35">
      <c r="A110" s="6"/>
      <c r="I110" s="18"/>
    </row>
    <row r="111" spans="1:9" ht="18.75" customHeight="1" x14ac:dyDescent="0.35">
      <c r="A111" s="1" t="s">
        <v>205</v>
      </c>
      <c r="B111" s="73" t="s">
        <v>81</v>
      </c>
      <c r="C111" s="10"/>
      <c r="D111" s="10"/>
      <c r="E111" s="10"/>
      <c r="F111" s="8"/>
      <c r="G111" s="9"/>
      <c r="H111" s="10"/>
      <c r="I111" s="75"/>
    </row>
    <row r="112" spans="1:9" ht="18.75" customHeight="1" x14ac:dyDescent="0.35">
      <c r="A112" s="2"/>
      <c r="B112" s="97" t="s">
        <v>82</v>
      </c>
      <c r="C112" s="98"/>
      <c r="D112" s="98"/>
      <c r="E112" s="98"/>
      <c r="F112" s="99"/>
      <c r="G112" s="100"/>
      <c r="H112" s="98"/>
      <c r="I112" s="104"/>
    </row>
    <row r="113" spans="1:12" ht="18.75" customHeight="1" x14ac:dyDescent="0.35">
      <c r="A113" s="2"/>
      <c r="B113" s="19" t="s">
        <v>83</v>
      </c>
      <c r="C113" s="15"/>
      <c r="D113" s="20"/>
      <c r="E113" s="78"/>
      <c r="F113" s="76" t="str">
        <f>TEXT(H54/(PI()/4*H22^2),"0,00")&amp;" D"&amp;H22</f>
        <v>005 D19</v>
      </c>
      <c r="G113" s="13" t="s">
        <v>73</v>
      </c>
      <c r="H113" s="109">
        <f>H54</f>
        <v>1464.2364460934728</v>
      </c>
      <c r="I113" s="14" t="s">
        <v>37</v>
      </c>
    </row>
    <row r="114" spans="1:12" ht="18.75" customHeight="1" x14ac:dyDescent="0.35">
      <c r="A114" s="2"/>
      <c r="B114" s="19" t="s">
        <v>85</v>
      </c>
      <c r="C114" s="15"/>
      <c r="D114" s="20"/>
      <c r="E114" s="78"/>
      <c r="F114" s="76" t="str">
        <f>TEXT(H87/(PI()/4*H22^2),"0,00")&amp;" D"&amp;H22</f>
        <v>002 D19</v>
      </c>
      <c r="G114" s="13" t="s">
        <v>84</v>
      </c>
      <c r="H114" s="109">
        <f>H87</f>
        <v>517.43967085405234</v>
      </c>
      <c r="I114" s="14" t="s">
        <v>37</v>
      </c>
    </row>
    <row r="115" spans="1:12" ht="18.75" customHeight="1" x14ac:dyDescent="0.35">
      <c r="A115" s="2"/>
      <c r="B115" s="19"/>
      <c r="C115" s="15"/>
      <c r="D115" s="20"/>
      <c r="E115" s="20"/>
      <c r="F115" s="12"/>
      <c r="G115" s="13"/>
      <c r="H115" s="15"/>
      <c r="I115" s="72"/>
    </row>
    <row r="116" spans="1:12" ht="18.75" customHeight="1" x14ac:dyDescent="0.35">
      <c r="A116" s="2"/>
      <c r="B116" s="12" t="s">
        <v>86</v>
      </c>
      <c r="C116" s="12"/>
      <c r="D116" s="12"/>
      <c r="E116" s="12"/>
      <c r="F116" s="12"/>
      <c r="G116" s="13" t="s">
        <v>88</v>
      </c>
      <c r="H116" s="40">
        <f>H113*H35/1000</f>
        <v>571.05221397645437</v>
      </c>
      <c r="I116" s="72" t="s">
        <v>87</v>
      </c>
    </row>
    <row r="117" spans="1:12" ht="18.75" customHeight="1" x14ac:dyDescent="0.35">
      <c r="A117" s="2"/>
      <c r="B117" s="19"/>
      <c r="C117" s="20"/>
      <c r="D117" s="15"/>
      <c r="E117" s="76"/>
      <c r="F117" s="12"/>
      <c r="G117" s="12"/>
      <c r="H117" s="143"/>
      <c r="I117" s="79"/>
    </row>
    <row r="118" spans="1:12" ht="18.75" customHeight="1" x14ac:dyDescent="0.35">
      <c r="A118" s="2"/>
      <c r="B118" s="19"/>
      <c r="C118" s="12"/>
      <c r="D118" s="12"/>
      <c r="E118" s="12"/>
      <c r="F118" s="80"/>
      <c r="G118" s="20"/>
      <c r="H118" s="81"/>
      <c r="I118" s="72"/>
      <c r="L118" s="43"/>
    </row>
    <row r="119" spans="1:12" ht="18.75" customHeight="1" x14ac:dyDescent="0.35">
      <c r="A119" s="2"/>
      <c r="B119" s="19"/>
      <c r="C119" s="12"/>
      <c r="D119" s="12"/>
      <c r="E119" s="12"/>
      <c r="F119" s="80"/>
      <c r="G119" s="20"/>
      <c r="H119" s="81"/>
      <c r="I119" s="72"/>
      <c r="L119" s="43"/>
    </row>
    <row r="120" spans="1:12" ht="18.75" customHeight="1" x14ac:dyDescent="0.35">
      <c r="A120" s="2"/>
      <c r="B120" s="19"/>
      <c r="C120" s="12"/>
      <c r="D120" s="12"/>
      <c r="E120" s="12"/>
      <c r="F120" s="80"/>
      <c r="G120" s="20"/>
      <c r="H120" s="81"/>
      <c r="I120" s="72"/>
      <c r="L120" s="43"/>
    </row>
    <row r="121" spans="1:12" ht="18.75" customHeight="1" x14ac:dyDescent="0.35">
      <c r="A121" s="2"/>
      <c r="B121" s="19"/>
      <c r="C121" s="12"/>
      <c r="D121" s="12"/>
      <c r="E121" s="12"/>
      <c r="F121" s="80"/>
      <c r="G121" s="20"/>
      <c r="H121" s="81"/>
      <c r="I121" s="72"/>
      <c r="L121" s="43"/>
    </row>
    <row r="122" spans="1:12" ht="18.75" customHeight="1" x14ac:dyDescent="0.35">
      <c r="A122" s="2"/>
      <c r="B122" s="19"/>
      <c r="C122" s="12"/>
      <c r="D122" s="12"/>
      <c r="E122" s="12"/>
      <c r="F122" s="80"/>
      <c r="G122" s="20"/>
      <c r="H122" s="81"/>
      <c r="I122" s="72"/>
      <c r="L122" s="43"/>
    </row>
    <row r="123" spans="1:12" ht="18.75" customHeight="1" x14ac:dyDescent="0.35">
      <c r="A123" s="2"/>
      <c r="B123" s="19"/>
      <c r="C123" s="12"/>
      <c r="D123" s="12"/>
      <c r="E123" s="12"/>
      <c r="F123" s="80"/>
      <c r="G123" s="20"/>
      <c r="H123" s="81"/>
      <c r="I123" s="72"/>
      <c r="L123" s="43"/>
    </row>
    <row r="124" spans="1:12" ht="18.75" customHeight="1" x14ac:dyDescent="0.35">
      <c r="A124" s="2"/>
      <c r="B124" s="19"/>
      <c r="C124" s="12"/>
      <c r="D124" s="12"/>
      <c r="E124" s="12"/>
      <c r="F124" s="80"/>
      <c r="G124" s="20"/>
      <c r="H124" s="81"/>
      <c r="I124" s="72"/>
      <c r="L124" s="43"/>
    </row>
    <row r="125" spans="1:12" ht="18.75" customHeight="1" x14ac:dyDescent="0.35">
      <c r="A125" s="2"/>
      <c r="B125" s="19"/>
      <c r="C125" s="12"/>
      <c r="D125" s="12"/>
      <c r="E125" s="12"/>
      <c r="F125" s="80"/>
      <c r="G125" s="20"/>
      <c r="H125" s="81"/>
      <c r="I125" s="72"/>
      <c r="L125" s="43"/>
    </row>
    <row r="126" spans="1:12" ht="18.75" customHeight="1" x14ac:dyDescent="0.35">
      <c r="A126" s="2"/>
      <c r="B126" s="19"/>
      <c r="C126" s="12"/>
      <c r="D126" s="12"/>
      <c r="E126" s="12"/>
      <c r="F126" s="80"/>
      <c r="G126" s="20"/>
      <c r="H126" s="81"/>
      <c r="I126" s="72"/>
      <c r="L126" s="43"/>
    </row>
    <row r="127" spans="1:12" ht="18.75" customHeight="1" x14ac:dyDescent="0.35">
      <c r="A127" s="2"/>
      <c r="B127" s="19"/>
      <c r="C127" s="12"/>
      <c r="D127" s="12"/>
      <c r="E127" s="12"/>
      <c r="F127" s="80"/>
      <c r="G127" s="20"/>
      <c r="H127" s="81"/>
      <c r="I127" s="72"/>
      <c r="L127" s="43"/>
    </row>
    <row r="128" spans="1:12" ht="18.75" customHeight="1" x14ac:dyDescent="0.35">
      <c r="A128" s="2"/>
      <c r="B128" s="19" t="s">
        <v>89</v>
      </c>
      <c r="C128" s="12"/>
      <c r="D128" s="12"/>
      <c r="E128" s="12"/>
      <c r="F128" s="12"/>
      <c r="G128" s="13"/>
      <c r="H128" s="15"/>
      <c r="I128" s="14"/>
    </row>
    <row r="129" spans="1:9" ht="18.75" customHeight="1" x14ac:dyDescent="0.35">
      <c r="A129" s="2"/>
      <c r="B129" s="12"/>
      <c r="C129" s="19" t="s">
        <v>90</v>
      </c>
      <c r="D129" s="12"/>
      <c r="E129" s="12"/>
      <c r="F129" s="12"/>
      <c r="G129" s="13"/>
      <c r="H129" s="15"/>
      <c r="I129" s="14"/>
    </row>
    <row r="130" spans="1:9" ht="18.75" customHeight="1" x14ac:dyDescent="0.35">
      <c r="A130" s="2"/>
      <c r="B130" s="12"/>
      <c r="C130" s="19"/>
      <c r="D130" s="15" t="s">
        <v>223</v>
      </c>
      <c r="E130" s="12"/>
      <c r="F130" s="15" t="s">
        <v>224</v>
      </c>
      <c r="G130" s="13"/>
      <c r="H130" s="15"/>
      <c r="I130" s="14"/>
    </row>
    <row r="131" spans="1:9" ht="18.75" customHeight="1" x14ac:dyDescent="0.35">
      <c r="A131" s="2"/>
      <c r="B131" s="19"/>
      <c r="C131" s="12"/>
      <c r="D131" s="70">
        <f>((IF(MIN((-(-(H116-H114*0.003*$H$36/1000)/(0.85*$H$34*$H$39*H20/1000))+SQRT((-(H116-H114*0.003*$H$36/1000)/(0.85*$H$34*$H$39*H20/1000))^2-4*1*(-H114*0.003*$H$36/1000*H76/(0.85*$H$34*$H$39*H20/1000))))/2,(-(-(H116-H114*0.003*$H$36/1000)/(0.85*$H$34*$H$39*$H$20/1000))+SQRT((-(H116-H114*0.003*$H$36/1000)/(0.85*$H$34*$H$39*$H$20/1000))^2-4*1*(-H114*0.003*$H$36/1000*H76/(0.85*$H$34*$H$39*$H$20/1000))))/2)&gt;=0,MIN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,MAX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))-$H$76)/(IF(MIN((-(-(H116-H114*0.003*$H$36/1000)/(0.85*$H$34*$H$39*H20/1000))+SQRT((-(H116-H114*0.003*$H$36/1000)/(0.85*$H$34*$H$39*H20/1000))^2-4*1*(-H114*0.003*$H$36/1000*H76/(0.85*$H$34*$H$39*H20/1000))))/2,(-(-(H116-H114*0.003*$H$36/1000)/(0.85*$H$34*$H$39*$H$20/1000))+SQRT((-(H116-H114*0.003*$H$36/1000)/(0.85*$H$34*$H$39*$H$20/1000))^2-4*1*(-H114*0.003*$H$36/1000*H76/(0.85*$H$34*$H$39*$H$20/1000))))/2)&gt;=0,MIN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,MAX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))*0.003</f>
        <v>6.5886776742170566E-4</v>
      </c>
      <c r="E131" s="15" t="str">
        <f>IF(D131&lt;F131,"&lt;","&gt;")</f>
        <v>&lt;</v>
      </c>
      <c r="F131" s="70">
        <f>$H$35/$H$36</f>
        <v>1.9499999999999999E-3</v>
      </c>
      <c r="G131" s="16" t="s">
        <v>40</v>
      </c>
      <c r="H131" s="82" t="str">
        <f>IF(D131&lt;F131,"AMAN  (OK)","BAHAYA  (NG)")</f>
        <v>AMAN  (OK)</v>
      </c>
      <c r="I131" s="14"/>
    </row>
    <row r="132" spans="1:9" ht="18.75" customHeight="1" x14ac:dyDescent="0.35">
      <c r="A132" s="2"/>
      <c r="B132" s="19"/>
      <c r="C132" s="19" t="s">
        <v>91</v>
      </c>
      <c r="D132" s="12"/>
      <c r="E132" s="12"/>
      <c r="F132" s="12"/>
      <c r="G132" s="13"/>
      <c r="H132" s="15"/>
      <c r="I132" s="14"/>
    </row>
    <row r="133" spans="1:9" ht="18.75" customHeight="1" x14ac:dyDescent="0.35">
      <c r="A133" s="2"/>
      <c r="B133" s="19"/>
      <c r="C133" s="19"/>
      <c r="D133" s="15" t="s">
        <v>225</v>
      </c>
      <c r="E133" s="12"/>
      <c r="F133" s="15" t="s">
        <v>224</v>
      </c>
      <c r="G133" s="13"/>
      <c r="H133" s="15"/>
      <c r="I133" s="14"/>
    </row>
    <row r="134" spans="1:9" ht="18.75" customHeight="1" x14ac:dyDescent="0.35">
      <c r="A134" s="2"/>
      <c r="B134" s="19"/>
      <c r="C134" s="12"/>
      <c r="D134" s="70">
        <f>($H$75-(IF(MIN((-(-(H116-H114*0.003*$H$36/1000)/(0.85*$H$34*$H$39*H20/1000))+SQRT((-(H116-H114*0.003*$H$36/1000)/(0.85*$H$34*$H$39*H20/1000))^2-4*1*(-H114*0.003*$H$36/1000*H76/(0.85*$H$34*$H$39*H20/1000))))/2,(-(-(H116-H114*0.003*$H$36/1000)/(0.85*$H$34*$H$39*$H$20/1000))+SQRT((-(H116-H114*0.003*$H$36/1000)/(0.85*$H$34*$H$39*$H$20/1000))^2-4*1*(-H114*0.003*$H$36/1000*H76/(0.85*$H$34*$H$39*$H$20/1000))))/2)&gt;=0,MIN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,MAX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)))/(IF(MIN((-(-(H116-H114*0.003*$H$36/1000)/(0.85*$H$34*$H$39*H20/1000))+SQRT((-(H116-H114*0.003*$H$36/1000)/(0.85*$H$34*$H$39*H20/1000))^2-4*1*(-H114*0.003*$H$36/1000*H76/(0.85*$H$34*$H$39*H20/1000))))/2,(-(-(H116-H114*0.003*$H$36/1000)/(0.85*$H$34*$H$39*$H$20/1000))+SQRT((-(H116-H114*0.003*$H$36/1000)/(0.85*$H$34*$H$39*$H$20/1000))^2-4*1*(-H114*0.003*$H$36/1000*H76/(0.85*$H$34*$H$39*$H$20/1000))))/2)&gt;=0,MIN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,MAX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))*0.003</f>
        <v>1.0822424623278707E-2</v>
      </c>
      <c r="E134" s="15" t="str">
        <f>IF(D134&lt;F134,"&lt;","&gt;")</f>
        <v>&gt;</v>
      </c>
      <c r="F134" s="70">
        <f>F131</f>
        <v>1.9499999999999999E-3</v>
      </c>
      <c r="G134" s="16" t="s">
        <v>40</v>
      </c>
      <c r="H134" s="82" t="str">
        <f>IF(D134&gt;F134,"AMAN  (OK)","BAHAYA  (NG)")</f>
        <v>AMAN  (OK)</v>
      </c>
      <c r="I134" s="14"/>
    </row>
    <row r="135" spans="1:9" ht="18.75" customHeight="1" x14ac:dyDescent="0.35">
      <c r="A135" s="2"/>
      <c r="B135" s="19"/>
      <c r="C135" s="12"/>
      <c r="D135" s="12"/>
      <c r="E135" s="12"/>
      <c r="F135" s="12"/>
      <c r="G135" s="13"/>
      <c r="H135" s="15"/>
      <c r="I135" s="14"/>
    </row>
    <row r="136" spans="1:9" ht="18.75" customHeight="1" x14ac:dyDescent="0.35">
      <c r="A136" s="2"/>
      <c r="B136" s="19" t="s">
        <v>92</v>
      </c>
      <c r="C136" s="12"/>
      <c r="D136" s="12"/>
      <c r="E136" s="12"/>
      <c r="F136" s="12"/>
      <c r="G136" s="16" t="s">
        <v>40</v>
      </c>
      <c r="H136" s="82" t="str">
        <f>IF(D134&lt;=F134,"Tekanan Terkontrol",IF(D134&lt;0.005,"Transisi",IF(D134&gt;0.005,"Tegangan Terkontrol","EROR")))</f>
        <v>Tegangan Terkontrol</v>
      </c>
      <c r="I136" s="14"/>
    </row>
    <row r="137" spans="1:9" ht="18.75" customHeight="1" x14ac:dyDescent="0.35">
      <c r="A137" s="2"/>
      <c r="B137" s="19"/>
      <c r="C137" s="12"/>
      <c r="D137" s="12"/>
      <c r="E137" s="12"/>
      <c r="F137" s="12"/>
      <c r="G137" s="16"/>
      <c r="H137" s="82"/>
      <c r="I137" s="14"/>
    </row>
    <row r="138" spans="1:9" ht="18.75" customHeight="1" x14ac:dyDescent="0.35">
      <c r="A138" s="2"/>
      <c r="B138" s="19" t="s">
        <v>93</v>
      </c>
      <c r="C138" s="12"/>
      <c r="D138" s="12"/>
      <c r="E138" s="12"/>
      <c r="F138" s="12"/>
      <c r="G138" s="13" t="str">
        <f>IF(D134&lt;=F134,"φ =",IF(D134&lt;0.005,"φ = 0,65 + 0,25 * (εs' - εs-yield)/(0,005 - εs-yield) =",IF(D134&gt;0.005,"φ =","EROR")))</f>
        <v>φ =</v>
      </c>
      <c r="H138" s="38">
        <f>IF(D134&lt;=F134,0.65,IF(D134&lt;0.005,0.65+0.25*(D134-F134)/(0.005-F134),IF(D134&gt;0.005,0.9,"EROR")))</f>
        <v>0.9</v>
      </c>
      <c r="I138" s="14"/>
    </row>
    <row r="139" spans="1:9" ht="18.75" customHeight="1" x14ac:dyDescent="0.35">
      <c r="A139" s="2"/>
      <c r="B139" s="19" t="s">
        <v>94</v>
      </c>
      <c r="C139" s="12"/>
      <c r="D139" s="12"/>
      <c r="E139" s="12"/>
      <c r="F139" s="12"/>
      <c r="G139" s="13" t="s">
        <v>226</v>
      </c>
      <c r="H139" s="36">
        <f>((0.85*H34*$H$39*H20/1000*(IF(MIN((-(-(H116-H114*0.003*$H$36/1000)/(0.85*$H$34*$H$39*H20/1000))+SQRT((-(H116-H114*0.003*$H$36/1000)/(0.85*$H$34*$H$39*H20/1000))^2-4*1*(-H114*0.003*$H$36/1000*H76/(0.85*$H$34*$H$39*H20/1000))))/2,(-(-(H116-H114*0.003*$H$36/1000)/(0.85*$H$34*$H$39*$H$20/1000))+SQRT((-(H116-H114*0.003*$H$36/1000)/(0.85*$H$34*$H$39*$H$20/1000))^2-4*1*(-H114*0.003*$H$36/1000*H76/(0.85*$H$34*$H$39*$H$20/1000))))/2)&gt;=0,MIN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,MAX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)))*($H$75-H39*(IF(MIN((-(-(H116-H114*0.003*$H$36/1000)/(0.85*$H$34*$H$39*H20/1000))+SQRT((-(H116-H114*0.003*$H$36/1000)/(0.85*$H$34*$H$39*H20/1000))^2-4*1*(-H114*0.003*$H$36/1000*H76/(0.85*$H$34*$H$39*H20/1000))))/2,(-(-(H116-H114*0.003*$H$36/1000)/(0.85*$H$34*$H$39*$H$20/1000))+SQRT((-(H116-H114*0.003*$H$36/1000)/(0.85*$H$34*$H$39*$H$20/1000))^2-4*1*(-H114*0.003*$H$36/1000*H76/(0.85*$H$34*$H$39*$H$20/1000))))/2)&gt;=0,MIN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,MAX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))/2)+(H114*0.003*H36/1000*((IF(MIN((-(-(H116-H114*0.003*$H$36/1000)/(0.85*$H$34*$H$39*H20/1000))+SQRT((-(H116-H114*0.003*$H$36/1000)/(0.85*$H$34*$H$39*H20/1000))^2-4*1*(-H114*0.003*$H$36/1000*H76/(0.85*$H$34*$H$39*H20/1000))))/2,(-(-(H116-H114*0.003*$H$36/1000)/(0.85*$H$34*$H$39*$H$20/1000))+SQRT((-(H116-H114*0.003*$H$36/1000)/(0.85*$H$34*$H$39*$H$20/1000))^2-4*1*(-H114*0.003*$H$36/1000*H76/(0.85*$H$34*$H$39*$H$20/1000))))/2)&gt;=0,MIN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,MAX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))-H76)/(IF(MIN((-(-(H116-H114*0.003*$H$36/1000)/(0.85*$H$34*$H$39*H20/1000))+SQRT((-(H116-H114*0.003*$H$36/1000)/(0.85*$H$34*$H$39*H20/1000))^2-4*1*(-H114*0.003*$H$36/1000*H76/(0.85*$H$34*$H$39*H20/1000))))/2,(-(-(H116-H114*0.003*$H$36/1000)/(0.85*$H$34*$H$39*$H$20/1000))+SQRT((-(H116-H114*0.003*$H$36/1000)/(0.85*$H$34*$H$39*$H$20/1000))^2-4*1*(-H114*0.003*$H$36/1000*H76/(0.85*$H$34*$H$39*$H$20/1000))))/2)&gt;=0,MIN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,MAX((-(-(H116-H114*0.003*$H$36/1000)/(0.85*$H$34*$H$39*$H$20/1000))+SQRT((-(H116-H114*0.003*$H$36/1000)/(0.85*$H$34*$H$39*$H$20/1000))^2-4*1*(-H114*0.003*$H$36/1000*H76/(0.85*$H$34*$H$39*$H$20/1000))))/2,(-(-(H116-H114*0.003*$H$36/1000)/(0.85*$H$34*$H$39*$H$20/1000))+SQRT((-(H116-H114*0.003*$H$36/1000)/(0.85*$H$34*$H$39*$H$20/1000))^2-4*1*(-H114*0.003*$H$36/1000*H76/(0.85*$H$34*$H$39*$H$20/1000))))/2))))*(H75-H76))/1000</f>
        <v>219.39912708074414</v>
      </c>
      <c r="I139" s="14" t="s">
        <v>87</v>
      </c>
    </row>
    <row r="140" spans="1:9" ht="18.75" customHeight="1" x14ac:dyDescent="0.35">
      <c r="A140" s="2"/>
      <c r="B140" s="12" t="s">
        <v>52</v>
      </c>
      <c r="C140" s="12"/>
      <c r="D140" s="15" t="s">
        <v>95</v>
      </c>
      <c r="E140" s="15" t="s">
        <v>96</v>
      </c>
      <c r="F140" s="15" t="s">
        <v>97</v>
      </c>
      <c r="G140" s="12"/>
      <c r="H140" s="12"/>
      <c r="I140" s="14"/>
    </row>
    <row r="141" spans="1:9" ht="18.75" customHeight="1" x14ac:dyDescent="0.35">
      <c r="A141" s="2"/>
      <c r="B141" s="12"/>
      <c r="C141" s="12"/>
      <c r="D141" s="77">
        <f>H138*H139</f>
        <v>197.45921437266972</v>
      </c>
      <c r="E141" s="15" t="str">
        <f>IF(D141&gt;F141,"&gt;","&lt;")</f>
        <v>&gt;</v>
      </c>
      <c r="F141" s="77">
        <f>H30</f>
        <v>190.62</v>
      </c>
      <c r="G141" s="16" t="s">
        <v>40</v>
      </c>
      <c r="H141" s="82" t="str">
        <f>IF(D141&gt;=F141,"AMAN  (OK)","BAHAYA  (NG)")</f>
        <v>AMAN  (OK)</v>
      </c>
      <c r="I141" s="14"/>
    </row>
    <row r="142" spans="1:9" ht="18.75" customHeight="1" x14ac:dyDescent="0.35">
      <c r="A142" s="2"/>
      <c r="B142" s="19"/>
      <c r="C142" s="12"/>
      <c r="D142" s="12"/>
      <c r="E142" s="12"/>
      <c r="F142" s="12"/>
      <c r="G142" s="13"/>
      <c r="H142" s="20"/>
      <c r="I142" s="14"/>
    </row>
    <row r="143" spans="1:9" ht="18.75" customHeight="1" x14ac:dyDescent="0.35">
      <c r="A143" s="2"/>
      <c r="B143" s="97" t="s">
        <v>98</v>
      </c>
      <c r="C143" s="98"/>
      <c r="D143" s="98"/>
      <c r="E143" s="98"/>
      <c r="F143" s="99"/>
      <c r="G143" s="100"/>
      <c r="H143" s="98"/>
      <c r="I143" s="104"/>
    </row>
    <row r="144" spans="1:9" ht="18.75" customHeight="1" x14ac:dyDescent="0.35">
      <c r="A144" s="2"/>
      <c r="B144" s="19" t="s">
        <v>83</v>
      </c>
      <c r="C144" s="15"/>
      <c r="D144" s="20"/>
      <c r="E144" s="78"/>
      <c r="F144" s="76" t="str">
        <f>H88</f>
        <v>2 D19</v>
      </c>
      <c r="G144" s="13" t="s">
        <v>84</v>
      </c>
      <c r="H144" s="38">
        <f>H114</f>
        <v>517.43967085405234</v>
      </c>
      <c r="I144" s="14" t="s">
        <v>37</v>
      </c>
    </row>
    <row r="145" spans="1:12" ht="18.75" customHeight="1" x14ac:dyDescent="0.35">
      <c r="A145" s="2"/>
      <c r="B145" s="19" t="s">
        <v>85</v>
      </c>
      <c r="C145" s="15"/>
      <c r="D145" s="20"/>
      <c r="E145" s="78"/>
      <c r="F145" s="76" t="str">
        <f>H55</f>
        <v>5 D19</v>
      </c>
      <c r="G145" s="13" t="s">
        <v>73</v>
      </c>
      <c r="H145" s="38">
        <f>H113</f>
        <v>1464.2364460934728</v>
      </c>
      <c r="I145" s="14" t="s">
        <v>37</v>
      </c>
    </row>
    <row r="146" spans="1:12" ht="18.75" customHeight="1" x14ac:dyDescent="0.35">
      <c r="A146" s="2"/>
      <c r="B146" s="19"/>
      <c r="C146" s="15"/>
      <c r="D146" s="20"/>
      <c r="E146" s="20"/>
      <c r="F146" s="12"/>
      <c r="G146" s="13"/>
      <c r="H146" s="15"/>
      <c r="I146" s="72"/>
    </row>
    <row r="147" spans="1:12" ht="18.75" customHeight="1" x14ac:dyDescent="0.35">
      <c r="A147" s="2"/>
      <c r="B147" s="12" t="s">
        <v>86</v>
      </c>
      <c r="C147" s="12"/>
      <c r="D147" s="12"/>
      <c r="E147" s="12"/>
      <c r="F147" s="12"/>
      <c r="G147" s="13" t="s">
        <v>88</v>
      </c>
      <c r="H147" s="36">
        <f>H144*H35/1000</f>
        <v>201.80147163308041</v>
      </c>
      <c r="I147" s="72" t="s">
        <v>87</v>
      </c>
    </row>
    <row r="148" spans="1:12" ht="18.75" customHeight="1" x14ac:dyDescent="0.35">
      <c r="A148" s="2"/>
      <c r="B148" s="19"/>
      <c r="C148" s="12"/>
      <c r="D148" s="12"/>
      <c r="E148" s="12"/>
      <c r="F148" s="20"/>
      <c r="G148" s="20"/>
      <c r="H148" s="83"/>
      <c r="I148" s="72"/>
      <c r="L148" s="43"/>
    </row>
    <row r="149" spans="1:12" ht="18.75" customHeight="1" x14ac:dyDescent="0.35">
      <c r="A149" s="2"/>
      <c r="B149" s="19"/>
      <c r="C149" s="12"/>
      <c r="D149" s="12"/>
      <c r="E149" s="12"/>
      <c r="F149" s="20"/>
      <c r="G149" s="20"/>
      <c r="H149" s="83"/>
      <c r="I149" s="72"/>
      <c r="L149" s="43"/>
    </row>
    <row r="150" spans="1:12" ht="18.75" customHeight="1" x14ac:dyDescent="0.35">
      <c r="A150" s="2"/>
      <c r="B150" s="19"/>
      <c r="C150" s="12"/>
      <c r="D150" s="12"/>
      <c r="E150" s="12"/>
      <c r="F150" s="20"/>
      <c r="G150" s="20"/>
      <c r="H150" s="83"/>
      <c r="I150" s="72"/>
      <c r="L150" s="43"/>
    </row>
    <row r="151" spans="1:12" ht="18.75" customHeight="1" x14ac:dyDescent="0.35">
      <c r="A151" s="2"/>
      <c r="B151" s="19"/>
      <c r="C151" s="12"/>
      <c r="D151" s="12"/>
      <c r="E151" s="12"/>
      <c r="F151" s="20"/>
      <c r="G151" s="20"/>
      <c r="H151" s="83"/>
      <c r="I151" s="72"/>
      <c r="L151" s="43"/>
    </row>
    <row r="152" spans="1:12" ht="18.75" customHeight="1" x14ac:dyDescent="0.35">
      <c r="A152" s="2"/>
      <c r="B152" s="19"/>
      <c r="C152" s="12"/>
      <c r="D152" s="12"/>
      <c r="E152" s="12"/>
      <c r="F152" s="20"/>
      <c r="G152" s="20"/>
      <c r="H152" s="83"/>
      <c r="I152" s="72"/>
      <c r="L152" s="43"/>
    </row>
    <row r="153" spans="1:12" ht="18.75" customHeight="1" x14ac:dyDescent="0.35">
      <c r="A153" s="2"/>
      <c r="B153" s="19"/>
      <c r="C153" s="12"/>
      <c r="D153" s="12"/>
      <c r="E153" s="12"/>
      <c r="F153" s="20"/>
      <c r="G153" s="20"/>
      <c r="H153" s="83"/>
      <c r="I153" s="72"/>
      <c r="L153" s="43"/>
    </row>
    <row r="154" spans="1:12" ht="18.75" customHeight="1" x14ac:dyDescent="0.35">
      <c r="A154" s="2"/>
      <c r="B154" s="19"/>
      <c r="C154" s="12"/>
      <c r="D154" s="12"/>
      <c r="E154" s="12"/>
      <c r="F154" s="20"/>
      <c r="G154" s="20"/>
      <c r="H154" s="83"/>
      <c r="I154" s="72"/>
      <c r="L154" s="43"/>
    </row>
    <row r="155" spans="1:12" ht="18.75" customHeight="1" x14ac:dyDescent="0.35">
      <c r="A155" s="2"/>
      <c r="B155" s="19"/>
      <c r="C155" s="12"/>
      <c r="D155" s="12"/>
      <c r="E155" s="12"/>
      <c r="F155" s="20"/>
      <c r="G155" s="20"/>
      <c r="H155" s="83"/>
      <c r="I155" s="72"/>
      <c r="L155" s="43"/>
    </row>
    <row r="156" spans="1:12" ht="18.75" customHeight="1" x14ac:dyDescent="0.35">
      <c r="A156" s="2"/>
      <c r="B156" s="19"/>
      <c r="C156" s="12"/>
      <c r="D156" s="12"/>
      <c r="E156" s="12"/>
      <c r="F156" s="20"/>
      <c r="G156" s="20"/>
      <c r="H156" s="83"/>
      <c r="I156" s="72"/>
      <c r="L156" s="43"/>
    </row>
    <row r="157" spans="1:12" ht="18.75" customHeight="1" x14ac:dyDescent="0.35">
      <c r="A157" s="2"/>
      <c r="B157" s="19"/>
      <c r="C157" s="12"/>
      <c r="D157" s="12"/>
      <c r="E157" s="12"/>
      <c r="F157" s="20"/>
      <c r="G157" s="20"/>
      <c r="H157" s="83"/>
      <c r="I157" s="72"/>
      <c r="L157" s="43"/>
    </row>
    <row r="158" spans="1:12" ht="18.75" customHeight="1" x14ac:dyDescent="0.35">
      <c r="A158" s="2"/>
      <c r="B158" s="19"/>
      <c r="C158" s="12"/>
      <c r="D158" s="12"/>
      <c r="E158" s="12"/>
      <c r="F158" s="12"/>
      <c r="G158" s="13"/>
      <c r="H158" s="15"/>
      <c r="I158" s="14"/>
    </row>
    <row r="159" spans="1:12" ht="18.75" customHeight="1" x14ac:dyDescent="0.35">
      <c r="A159" s="2"/>
      <c r="B159" s="19" t="s">
        <v>99</v>
      </c>
      <c r="C159" s="12"/>
      <c r="D159" s="12"/>
      <c r="E159" s="12"/>
      <c r="F159" s="12"/>
      <c r="G159" s="13"/>
      <c r="H159" s="15"/>
      <c r="I159" s="14"/>
    </row>
    <row r="160" spans="1:12" ht="18.75" customHeight="1" x14ac:dyDescent="0.35">
      <c r="A160" s="2"/>
      <c r="B160" s="12"/>
      <c r="C160" s="19" t="s">
        <v>90</v>
      </c>
      <c r="D160" s="12"/>
      <c r="E160" s="12"/>
      <c r="F160" s="12"/>
      <c r="G160" s="13"/>
      <c r="H160" s="15"/>
      <c r="I160" s="14"/>
    </row>
    <row r="161" spans="1:9" ht="18.75" customHeight="1" x14ac:dyDescent="0.35">
      <c r="A161" s="2"/>
      <c r="B161" s="12"/>
      <c r="C161" s="19"/>
      <c r="D161" s="15" t="s">
        <v>225</v>
      </c>
      <c r="E161" s="15"/>
      <c r="F161" s="15" t="s">
        <v>224</v>
      </c>
      <c r="G161" s="13"/>
      <c r="H161" s="15"/>
      <c r="I161" s="14"/>
    </row>
    <row r="162" spans="1:9" ht="18.75" customHeight="1" x14ac:dyDescent="0.35">
      <c r="A162" s="2"/>
      <c r="B162" s="19"/>
      <c r="C162" s="12"/>
      <c r="D162" s="70">
        <f>((IF(MIN((-(-(H147-H145*0.003*$H$36/1000)/(0.85*$H$34*$H$39*H20/1000))+SQRT((-(H147-H145*0.003*$H$36/1000)/(0.85*$H$34*$H$39*H20/1000))^2-4*1*(-H145*0.003*$H$36/1000*H109/(0.85*$H$34*$H$39*H20/1000))))/2,(-(-(H147-H145*0.003*$H$36/1000)/(0.85*$H$34*$H$39*$H$20/1000))+SQRT((-(H147-H145*0.003*$H$36/1000)/(0.85*$H$34*$H$39*$H$20/1000))^2-4*1*(-H145*0.003*$H$36/1000*H109/(0.85*$H$34*$H$39*$H$20/1000))))/2)&gt;=0,MIN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,MAX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))-H109)/(IF(MIN((-(-(H147-H145*0.003*$H$36/1000)/(0.85*$H$34*$H$39*H20/1000))+SQRT((-(H147-H145*0.003*$H$36/1000)/(0.85*$H$34*$H$39*H20/1000))^2-4*1*(-H145*0.003*$H$36/1000*H109/(0.85*$H$34*$H$39*H20/1000))))/2,(-(-(H147-H145*0.003*$H$36/1000)/(0.85*$H$34*$H$39*$H$20/1000))+SQRT((-(H147-H145*0.003*$H$36/1000)/(0.85*$H$34*$H$39*$H$20/1000))^2-4*1*(-H145*0.003*$H$36/1000*H109/(0.85*$H$34*$H$39*$H$20/1000))))/2)&gt;=0,MIN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,MAX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))*0.003</f>
        <v>-3.4736661758059554E-4</v>
      </c>
      <c r="E162" s="15" t="str">
        <f>IF(D162&lt;F162,"&lt;","&gt;")</f>
        <v>&lt;</v>
      </c>
      <c r="F162" s="70">
        <f>F131</f>
        <v>1.9499999999999999E-3</v>
      </c>
      <c r="G162" s="16" t="s">
        <v>40</v>
      </c>
      <c r="H162" s="82" t="str">
        <f>IF(D162&lt;F162,"AMAN  (OK)","BAHAYA  (NG)")</f>
        <v>AMAN  (OK)</v>
      </c>
      <c r="I162" s="14"/>
    </row>
    <row r="163" spans="1:9" ht="18.75" customHeight="1" x14ac:dyDescent="0.35">
      <c r="A163" s="2"/>
      <c r="B163" s="19"/>
      <c r="C163" s="19" t="s">
        <v>91</v>
      </c>
      <c r="D163" s="12"/>
      <c r="E163" s="12"/>
      <c r="F163" s="12"/>
      <c r="G163" s="13"/>
      <c r="H163" s="15"/>
      <c r="I163" s="14"/>
    </row>
    <row r="164" spans="1:9" ht="18.75" customHeight="1" x14ac:dyDescent="0.35">
      <c r="A164" s="2"/>
      <c r="B164" s="19"/>
      <c r="C164" s="19"/>
      <c r="D164" s="15" t="s">
        <v>223</v>
      </c>
      <c r="E164" s="15"/>
      <c r="F164" s="15" t="s">
        <v>224</v>
      </c>
      <c r="G164" s="13"/>
      <c r="H164" s="15"/>
      <c r="I164" s="14"/>
    </row>
    <row r="165" spans="1:9" ht="18.75" customHeight="1" x14ac:dyDescent="0.35">
      <c r="A165" s="2"/>
      <c r="B165" s="19"/>
      <c r="C165" s="12"/>
      <c r="D165" s="70">
        <f>(H108-(IF(MIN((-(-(H147-H145*0.003*$H$36/1000)/(0.85*$H$34*$H$39*H20/1000))+SQRT((-(H147-H145*0.003*$H$36/1000)/(0.85*$H$34*$H$39*H20/1000))^2-4*1*(-H145*0.003*$H$36/1000*H109/(0.85*$H$34*$H$39*H20/1000))))/2,(-(-(H147-H145*0.003*$H$36/1000)/(0.85*$H$34*$H$39*$H$20/1000))+SQRT((-(H147-H145*0.003*$H$36/1000)/(0.85*$H$34*$H$39*$H$20/1000))^2-4*1*(-H145*0.003*$H$36/1000*H109/(0.85*$H$34*$H$39*$H$20/1000))))/2)&gt;=0,MIN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,MAX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)))/(IF(MIN((-(-(H147-H145*0.003*$H$36/1000)/(0.85*$H$34*$H$39*H20/1000))+SQRT((-(H147-H145*0.003*$H$36/1000)/(0.85*$H$34*$H$39*H20/1000))^2-4*1*(-H145*0.003*$H$36/1000*H109/(0.85*$H$34*$H$39*H20/1000))))/2,(-(-(H147-H145*0.003*$H$36/1000)/(0.85*$H$34*$H$39*$H$20/1000))+SQRT((-(H147-H145*0.003*$H$36/1000)/(0.85*$H$34*$H$39*$H$20/1000))^2-4*1*(-H145*0.003*$H$36/1000*H109/(0.85*$H$34*$H$39*$H$20/1000))))/2)&gt;=0,MIN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,MAX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))*0.003</f>
        <v>2.0431566323064171E-2</v>
      </c>
      <c r="E165" s="15" t="str">
        <f>IF(D165&lt;F165,"&lt;","&gt;")</f>
        <v>&gt;</v>
      </c>
      <c r="F165" s="70">
        <f>F134</f>
        <v>1.9499999999999999E-3</v>
      </c>
      <c r="G165" s="16" t="s">
        <v>40</v>
      </c>
      <c r="H165" s="82" t="str">
        <f>IF(D165&gt;F165,"AMAN  (OK)","BAHAYA  (NG)")</f>
        <v>AMAN  (OK)</v>
      </c>
      <c r="I165" s="14"/>
    </row>
    <row r="166" spans="1:9" ht="18.75" customHeight="1" x14ac:dyDescent="0.35">
      <c r="A166" s="2"/>
      <c r="B166" s="19"/>
      <c r="C166" s="12"/>
      <c r="D166" s="12"/>
      <c r="E166" s="12"/>
      <c r="F166" s="12"/>
      <c r="G166" s="13"/>
      <c r="H166" s="15"/>
      <c r="I166" s="14"/>
    </row>
    <row r="167" spans="1:9" ht="18.75" customHeight="1" x14ac:dyDescent="0.35">
      <c r="A167" s="2"/>
      <c r="B167" s="19" t="s">
        <v>92</v>
      </c>
      <c r="C167" s="12"/>
      <c r="D167" s="12"/>
      <c r="E167" s="12"/>
      <c r="F167" s="12"/>
      <c r="G167" s="16" t="s">
        <v>40</v>
      </c>
      <c r="H167" s="82" t="str">
        <f>IF(D165&lt;=F165,"Tekanan Terkontrol",IF(D165&lt;0.005,"Transisi",IF(D165&gt;0.005,"Tegangan Terkontrol","EROR")))</f>
        <v>Tegangan Terkontrol</v>
      </c>
      <c r="I167" s="14"/>
    </row>
    <row r="168" spans="1:9" ht="18.75" customHeight="1" x14ac:dyDescent="0.35">
      <c r="A168" s="2"/>
      <c r="B168" s="19"/>
      <c r="C168" s="12"/>
      <c r="D168" s="12"/>
      <c r="E168" s="12"/>
      <c r="F168" s="12"/>
      <c r="G168" s="16"/>
      <c r="H168" s="82"/>
      <c r="I168" s="14"/>
    </row>
    <row r="169" spans="1:9" ht="18.75" customHeight="1" x14ac:dyDescent="0.35">
      <c r="A169" s="2"/>
      <c r="B169" s="19" t="s">
        <v>93</v>
      </c>
      <c r="C169" s="12"/>
      <c r="D169" s="12"/>
      <c r="E169" s="12"/>
      <c r="F169" s="12"/>
      <c r="G169" s="13" t="str">
        <f>IF(D165&lt;=F165,"φ =",IF(D165&lt;0.005,"φ = 0,65 + 0,25 * (εs' - εs-yield)/(0,005 - εs-yield) =",IF(D165&gt;0.005,"φ =","EROR")))</f>
        <v>φ =</v>
      </c>
      <c r="H169" s="38">
        <f>IF(D165&lt;=F165,0.65,IF(D165&lt;0.005,0.65+0.25*(D165-F165)/(0.005-F165),IF(D165&gt;0.005,0.9,"EROR")))</f>
        <v>0.9</v>
      </c>
      <c r="I169" s="14"/>
    </row>
    <row r="170" spans="1:9" ht="18.75" customHeight="1" x14ac:dyDescent="0.35">
      <c r="A170" s="2"/>
      <c r="B170" s="19" t="s">
        <v>94</v>
      </c>
      <c r="C170" s="12"/>
      <c r="D170" s="12"/>
      <c r="E170" s="12"/>
      <c r="F170" s="12"/>
      <c r="G170" s="13" t="s">
        <v>226</v>
      </c>
      <c r="H170" s="36">
        <f>((0.85*H34*$H$39*H20/1000*(IF(MIN((-(-(H147-H145*0.003*$H$36/1000)/(0.85*$H$34*$H$39*H20/1000))+SQRT((-(H147-H145*0.003*$H$36/1000)/(0.85*$H$34*$H$39*H20/1000))^2-4*1*(-H145*0.003*$H$36/1000*H109/(0.85*$H$34*$H$39*H20/1000))))/2,(-(-(H147-H145*0.003*$H$36/1000)/(0.85*$H$34*$H$39*$H$20/1000))+SQRT((-(H147-H145*0.003*$H$36/1000)/(0.85*$H$34*$H$39*$H$20/1000))^2-4*1*(-H145*0.003*$H$36/1000*H109/(0.85*$H$34*$H$39*$H$20/1000))))/2)&gt;=0,MIN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,MAX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)))*(H108-H39*(IF(MIN((-(-(H147-H145*0.003*$H$36/1000)/(0.85*$H$34*$H$39*H20/1000))+SQRT((-(H147-H145*0.003*$H$36/1000)/(0.85*$H$34*$H$39*H20/1000))^2-4*1*(-H145*0.003*$H$36/1000*H109/(0.85*$H$34*$H$39*H20/1000))))/2,(-(-(H147-H145*0.003*$H$36/1000)/(0.85*$H$34*$H$39*$H$20/1000))+SQRT((-(H147-H145*0.003*$H$36/1000)/(0.85*$H$34*$H$39*$H$20/1000))^2-4*1*(-H145*0.003*$H$36/1000*H109/(0.85*$H$34*$H$39*$H$20/1000))))/2)&gt;=0,MIN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,MAX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))/2)+(H145*0.003*H36/1000*((IF(MIN((-(-(H147-H145*0.003*$H$36/1000)/(0.85*$H$34*$H$39*H20/1000))+SQRT((-(H147-H145*0.003*$H$36/1000)/(0.85*$H$34*$H$39*H20/1000))^2-4*1*(-H145*0.003*$H$36/1000*H109/(0.85*$H$34*$H$39*H20/1000))))/2,(-(-(H147-H145*0.003*$H$36/1000)/(0.85*$H$34*$H$39*$H$20/1000))+SQRT((-(H147-H145*0.003*$H$36/1000)/(0.85*$H$34*$H$39*$H$20/1000))^2-4*1*(-H145*0.003*$H$36/1000*H109/(0.85*$H$34*$H$39*$H$20/1000))))/2)&gt;=0,MIN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,MAX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))-H109)/(IF(MIN((-(-(H147-H145*0.003*$H$36/1000)/(0.85*$H$34*$H$39*H20/1000))+SQRT((-(H147-H145*0.003*$H$36/1000)/(0.85*$H$34*$H$39*H20/1000))^2-4*1*(-H145*0.003*$H$36/1000*H109/(0.85*$H$34*$H$39*H20/1000))))/2,(-(-(H147-H145*0.003*$H$36/1000)/(0.85*$H$34*$H$39*$H$20/1000))+SQRT((-(H147-H145*0.003*$H$36/1000)/(0.85*$H$34*$H$39*$H$20/1000))^2-4*1*(-H145*0.003*$H$36/1000*H109/(0.85*$H$34*$H$39*$H$20/1000))))/2)&gt;=0,MIN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,MAX((-(-(H147-H145*0.003*$H$36/1000)/(0.85*$H$34*$H$39*$H$20/1000))+SQRT((-(H147-H145*0.003*$H$36/1000)/(0.85*$H$34*$H$39*$H$20/1000))^2-4*1*(-H145*0.003*$H$36/1000*H109/(0.85*$H$34*$H$39*$H$20/1000))))/2,(-(-(H147-H145*0.003*$H$36/1000)/(0.85*$H$34*$H$39*$H$20/1000))+SQRT((-(H147-H145*0.003*$H$36/1000)/(0.85*$H$34*$H$39*$H$20/1000))^2-4*1*(-H145*0.003*$H$36/1000*H109/(0.85*$H$34*$H$39*$H$20/1000))))/2))))*(H108-H109))/1000</f>
        <v>87.420211374222063</v>
      </c>
      <c r="I170" s="14" t="s">
        <v>87</v>
      </c>
    </row>
    <row r="171" spans="1:9" ht="18.75" customHeight="1" x14ac:dyDescent="0.35">
      <c r="A171" s="2"/>
      <c r="B171" s="12"/>
      <c r="C171" s="12" t="s">
        <v>52</v>
      </c>
      <c r="D171" s="15" t="s">
        <v>100</v>
      </c>
      <c r="E171" s="15" t="s">
        <v>96</v>
      </c>
      <c r="F171" s="15" t="s">
        <v>101</v>
      </c>
      <c r="G171" s="12"/>
      <c r="H171" s="12"/>
      <c r="I171" s="14"/>
    </row>
    <row r="172" spans="1:9" ht="18.75" customHeight="1" x14ac:dyDescent="0.35">
      <c r="A172" s="2"/>
      <c r="B172" s="12"/>
      <c r="C172" s="12"/>
      <c r="D172" s="77">
        <f>H169*H170</f>
        <v>78.678190236799864</v>
      </c>
      <c r="E172" s="15" t="str">
        <f>IF(D172&gt;F172,"&gt;","&lt;")</f>
        <v>&gt;</v>
      </c>
      <c r="F172" s="77">
        <f>H31</f>
        <v>72.33</v>
      </c>
      <c r="G172" s="16" t="s">
        <v>40</v>
      </c>
      <c r="H172" s="82" t="str">
        <f>IF(D172&gt;=F172,"AMAN  (OK)","BAHAYA  (NG)")</f>
        <v>AMAN  (OK)</v>
      </c>
      <c r="I172" s="14"/>
    </row>
    <row r="173" spans="1:9" ht="18.75" customHeight="1" x14ac:dyDescent="0.35">
      <c r="A173" s="2"/>
      <c r="B173" s="12"/>
      <c r="C173" s="12"/>
      <c r="D173" s="12"/>
      <c r="E173" s="12"/>
      <c r="F173" s="12"/>
      <c r="G173" s="13"/>
      <c r="H173" s="15"/>
      <c r="I173" s="14"/>
    </row>
    <row r="174" spans="1:9" ht="18.75" customHeight="1" x14ac:dyDescent="0.35">
      <c r="A174" s="29" t="s">
        <v>103</v>
      </c>
      <c r="B174" s="30" t="s">
        <v>104</v>
      </c>
      <c r="C174" s="31"/>
      <c r="D174" s="31"/>
      <c r="E174" s="31"/>
      <c r="F174" s="31"/>
      <c r="G174" s="32"/>
      <c r="H174" s="33"/>
      <c r="I174" s="84"/>
    </row>
    <row r="175" spans="1:9" ht="18.75" customHeight="1" x14ac:dyDescent="0.35">
      <c r="A175" s="1" t="s">
        <v>105</v>
      </c>
      <c r="B175" s="7" t="s">
        <v>106</v>
      </c>
      <c r="C175" s="8"/>
      <c r="D175" s="8"/>
      <c r="E175" s="8"/>
      <c r="F175" s="8"/>
      <c r="G175" s="9"/>
      <c r="H175" s="10"/>
      <c r="I175" s="11"/>
    </row>
    <row r="176" spans="1:9" ht="18.75" customHeight="1" x14ac:dyDescent="0.35">
      <c r="A176" s="2"/>
      <c r="B176" s="12" t="s">
        <v>107</v>
      </c>
      <c r="C176" s="12"/>
      <c r="D176" s="12"/>
      <c r="E176" s="12"/>
      <c r="F176" s="12"/>
      <c r="G176" s="13"/>
      <c r="H176" s="44" t="str">
        <f>IF(H27&gt;0,"TEKAN","TARIK")</f>
        <v>TEKAN</v>
      </c>
      <c r="I176" s="14"/>
    </row>
    <row r="177" spans="1:9" ht="18.75" customHeight="1" x14ac:dyDescent="0.35">
      <c r="A177" s="2"/>
      <c r="B177" s="12" t="s">
        <v>108</v>
      </c>
      <c r="C177" s="12"/>
      <c r="D177" s="12"/>
      <c r="E177" s="12"/>
      <c r="F177" s="12"/>
      <c r="G177" s="13" t="s">
        <v>109</v>
      </c>
      <c r="H177" s="45">
        <v>0.75</v>
      </c>
      <c r="I177" s="14"/>
    </row>
    <row r="178" spans="1:9" ht="18.75" customHeight="1" x14ac:dyDescent="0.35">
      <c r="A178" s="2"/>
      <c r="B178" s="12" t="s">
        <v>110</v>
      </c>
      <c r="C178" s="12"/>
      <c r="D178" s="12"/>
      <c r="E178" s="12"/>
      <c r="F178" s="12"/>
      <c r="G178" s="13" t="s">
        <v>217</v>
      </c>
      <c r="H178" s="45">
        <f>H21-H24-H23</f>
        <v>447</v>
      </c>
      <c r="I178" s="14" t="s">
        <v>18</v>
      </c>
    </row>
    <row r="179" spans="1:9" ht="18.75" customHeight="1" x14ac:dyDescent="0.35">
      <c r="A179" s="2"/>
      <c r="B179" s="12" t="s">
        <v>111</v>
      </c>
      <c r="C179" s="12"/>
      <c r="D179" s="12"/>
      <c r="E179" s="12"/>
      <c r="F179" s="12"/>
      <c r="G179" s="13" t="s">
        <v>11</v>
      </c>
      <c r="H179" s="46">
        <f>H6</f>
        <v>390</v>
      </c>
      <c r="I179" s="14" t="s">
        <v>9</v>
      </c>
    </row>
    <row r="180" spans="1:9" ht="18.75" customHeight="1" x14ac:dyDescent="0.35">
      <c r="A180" s="2"/>
      <c r="B180" s="12"/>
      <c r="C180" s="12"/>
      <c r="D180" s="12"/>
      <c r="E180" s="12"/>
      <c r="F180" s="12"/>
      <c r="G180" s="13"/>
      <c r="H180" s="47"/>
      <c r="I180" s="14"/>
    </row>
    <row r="181" spans="1:9" ht="18.75" customHeight="1" x14ac:dyDescent="0.35">
      <c r="A181" s="2"/>
      <c r="B181" s="12" t="s">
        <v>112</v>
      </c>
      <c r="C181" s="12"/>
      <c r="D181" s="12"/>
      <c r="E181" s="12"/>
      <c r="F181" s="12"/>
      <c r="G181" s="13" t="s">
        <v>28</v>
      </c>
      <c r="H181" s="48">
        <f>H28</f>
        <v>44.62</v>
      </c>
      <c r="I181" s="14" t="s">
        <v>87</v>
      </c>
    </row>
    <row r="182" spans="1:9" ht="18.75" customHeight="1" x14ac:dyDescent="0.35">
      <c r="A182" s="2"/>
      <c r="B182" s="12" t="s">
        <v>113</v>
      </c>
      <c r="C182" s="12"/>
      <c r="D182" s="12"/>
      <c r="E182" s="12"/>
      <c r="F182" s="12"/>
      <c r="G182" s="13" t="s">
        <v>228</v>
      </c>
      <c r="H182" s="48">
        <f>IF(H27&gt;0,H34^0.5*1/6*H20*(H21-H24-H23)/1000,(1+0.29*H27*1000/(H20*H21))*H34^0.5*1/6*H20*(H21-H24-H23)/1000)</f>
        <v>111.75</v>
      </c>
      <c r="I182" s="14" t="s">
        <v>87</v>
      </c>
    </row>
    <row r="183" spans="1:9" ht="18.75" customHeight="1" x14ac:dyDescent="0.35">
      <c r="A183" s="2"/>
      <c r="B183" s="12" t="s">
        <v>114</v>
      </c>
      <c r="C183" s="12"/>
      <c r="D183" s="12"/>
      <c r="E183" s="12"/>
      <c r="F183" s="12"/>
      <c r="G183" s="13" t="s">
        <v>115</v>
      </c>
      <c r="H183" s="48">
        <f>H177*H182</f>
        <v>83.8125</v>
      </c>
      <c r="I183" s="14" t="s">
        <v>87</v>
      </c>
    </row>
    <row r="184" spans="1:9" ht="18.75" customHeight="1" x14ac:dyDescent="0.35">
      <c r="A184" s="2"/>
      <c r="B184" s="12" t="s">
        <v>116</v>
      </c>
      <c r="C184" s="12"/>
      <c r="D184" s="12"/>
      <c r="E184" s="12"/>
      <c r="F184" s="12"/>
      <c r="G184" s="13" t="s">
        <v>227</v>
      </c>
      <c r="H184" s="48">
        <f>1/16*H34^0.5*H20*(H21-H24-H23)/1000</f>
        <v>41.90625</v>
      </c>
      <c r="I184" s="14" t="s">
        <v>87</v>
      </c>
    </row>
    <row r="185" spans="1:9" ht="18.75" customHeight="1" x14ac:dyDescent="0.35">
      <c r="A185" s="2"/>
      <c r="B185" s="12"/>
      <c r="C185" s="12"/>
      <c r="D185" s="12"/>
      <c r="E185" s="13"/>
      <c r="F185" s="85"/>
      <c r="G185" s="86"/>
      <c r="H185" s="12"/>
      <c r="I185" s="14"/>
    </row>
    <row r="186" spans="1:9" ht="18.75" customHeight="1" x14ac:dyDescent="0.35">
      <c r="A186" s="1" t="s">
        <v>124</v>
      </c>
      <c r="B186" s="7" t="s">
        <v>125</v>
      </c>
      <c r="C186" s="8"/>
      <c r="D186" s="8"/>
      <c r="E186" s="9"/>
      <c r="F186" s="87"/>
      <c r="G186" s="88"/>
      <c r="H186" s="8"/>
      <c r="I186" s="11"/>
    </row>
    <row r="187" spans="1:9" ht="18.75" customHeight="1" x14ac:dyDescent="0.35">
      <c r="A187" s="6"/>
      <c r="I187" s="18"/>
    </row>
    <row r="188" spans="1:9" ht="18.75" customHeight="1" x14ac:dyDescent="0.35">
      <c r="A188" s="6"/>
      <c r="B188" s="128" t="s">
        <v>117</v>
      </c>
      <c r="C188" s="129"/>
      <c r="D188" s="130" t="s">
        <v>126</v>
      </c>
      <c r="E188" s="131"/>
      <c r="F188" s="131"/>
      <c r="G188" s="131"/>
      <c r="H188" s="132"/>
      <c r="I188" s="18"/>
    </row>
    <row r="189" spans="1:9" ht="18.75" customHeight="1" x14ac:dyDescent="0.35">
      <c r="A189" s="6"/>
      <c r="B189" s="128"/>
      <c r="C189" s="129"/>
      <c r="D189" s="36">
        <f>H181</f>
        <v>44.62</v>
      </c>
      <c r="E189" s="35" t="str">
        <f>IF(D189&gt;F189,"&gt;","&lt;")</f>
        <v>&gt;</v>
      </c>
      <c r="F189" s="36">
        <f>0.5*H183</f>
        <v>41.90625</v>
      </c>
      <c r="G189" s="50"/>
      <c r="H189" s="49"/>
      <c r="I189" s="18"/>
    </row>
    <row r="190" spans="1:9" ht="18.75" customHeight="1" x14ac:dyDescent="0.35">
      <c r="A190" s="6"/>
      <c r="B190" s="128" t="s">
        <v>119</v>
      </c>
      <c r="C190" s="129"/>
      <c r="D190" s="133" t="s">
        <v>127</v>
      </c>
      <c r="E190" s="134"/>
      <c r="F190" s="134"/>
      <c r="G190" s="134"/>
      <c r="H190" s="135"/>
      <c r="I190" s="18"/>
    </row>
    <row r="191" spans="1:9" ht="18.75" customHeight="1" x14ac:dyDescent="0.35">
      <c r="A191" s="6"/>
      <c r="B191" s="128"/>
      <c r="C191" s="129"/>
      <c r="D191" s="52">
        <f>F189</f>
        <v>41.90625</v>
      </c>
      <c r="E191" s="51" t="str">
        <f>IF(D191&gt;F191,"&gt;","&lt;")</f>
        <v>&lt;</v>
      </c>
      <c r="F191" s="52">
        <f>D189</f>
        <v>44.62</v>
      </c>
      <c r="G191" s="51" t="str">
        <f>IF(F191&gt;H191,"&gt;","&lt;")</f>
        <v>&lt;</v>
      </c>
      <c r="H191" s="52">
        <f>H183</f>
        <v>83.8125</v>
      </c>
      <c r="I191" s="18"/>
    </row>
    <row r="192" spans="1:9" ht="18.75" customHeight="1" x14ac:dyDescent="0.35">
      <c r="A192" s="6"/>
      <c r="B192" s="128" t="s">
        <v>120</v>
      </c>
      <c r="C192" s="129"/>
      <c r="D192" s="130" t="s">
        <v>128</v>
      </c>
      <c r="E192" s="131"/>
      <c r="F192" s="131"/>
      <c r="G192" s="131"/>
      <c r="H192" s="132"/>
      <c r="I192" s="18"/>
    </row>
    <row r="193" spans="1:12" ht="18.75" customHeight="1" x14ac:dyDescent="0.35">
      <c r="A193" s="6"/>
      <c r="B193" s="128"/>
      <c r="C193" s="129"/>
      <c r="D193" s="36">
        <f>H191</f>
        <v>83.8125</v>
      </c>
      <c r="E193" s="35" t="str">
        <f>IF(D193&gt;F193,"&gt;","&lt;")</f>
        <v>&gt;</v>
      </c>
      <c r="F193" s="36">
        <f>F191</f>
        <v>44.62</v>
      </c>
      <c r="G193" s="35" t="str">
        <f>IF(F193&gt;H193,"&gt;","&lt;")</f>
        <v>&lt;</v>
      </c>
      <c r="H193" s="36">
        <f>H183+H177*H184</f>
        <v>115.2421875</v>
      </c>
      <c r="I193" s="18"/>
    </row>
    <row r="194" spans="1:12" ht="18.75" customHeight="1" x14ac:dyDescent="0.35">
      <c r="A194" s="6"/>
      <c r="B194" s="128" t="s">
        <v>121</v>
      </c>
      <c r="C194" s="129"/>
      <c r="D194" s="133" t="s">
        <v>129</v>
      </c>
      <c r="E194" s="134"/>
      <c r="F194" s="134"/>
      <c r="G194" s="134"/>
      <c r="H194" s="135"/>
      <c r="I194" s="18"/>
    </row>
    <row r="195" spans="1:12" ht="18.75" customHeight="1" x14ac:dyDescent="0.35">
      <c r="A195" s="6"/>
      <c r="B195" s="128"/>
      <c r="C195" s="129"/>
      <c r="D195" s="52">
        <f>H193</f>
        <v>115.2421875</v>
      </c>
      <c r="E195" s="51" t="str">
        <f>IF(D195&gt;F195,"&gt;","&lt;")</f>
        <v>&gt;</v>
      </c>
      <c r="F195" s="52">
        <f>F193</f>
        <v>44.62</v>
      </c>
      <c r="G195" s="51" t="str">
        <f>IF(F195&gt;H195,"&gt;","&lt;")</f>
        <v>&lt;</v>
      </c>
      <c r="H195" s="52">
        <f>H183+H177*1/3*SQRT(H34)*H20*'Input + Process'!H178/1000</f>
        <v>251.4375</v>
      </c>
      <c r="I195" s="18"/>
    </row>
    <row r="196" spans="1:12" ht="18.75" customHeight="1" x14ac:dyDescent="0.35">
      <c r="A196" s="6"/>
      <c r="B196" s="128" t="s">
        <v>122</v>
      </c>
      <c r="C196" s="129"/>
      <c r="D196" s="130" t="s">
        <v>130</v>
      </c>
      <c r="E196" s="131"/>
      <c r="F196" s="131"/>
      <c r="G196" s="131"/>
      <c r="H196" s="132"/>
      <c r="I196" s="18"/>
    </row>
    <row r="197" spans="1:12" ht="18.75" customHeight="1" x14ac:dyDescent="0.35">
      <c r="A197" s="6"/>
      <c r="B197" s="128"/>
      <c r="C197" s="129"/>
      <c r="D197" s="36">
        <f>H195</f>
        <v>251.4375</v>
      </c>
      <c r="E197" s="35" t="str">
        <f>IF(D197&gt;F197,"&gt;","&lt;")</f>
        <v>&gt;</v>
      </c>
      <c r="F197" s="36">
        <f>F195</f>
        <v>44.62</v>
      </c>
      <c r="G197" s="35" t="str">
        <f>IF(F197&gt;H197,"&gt;","&lt;")</f>
        <v>&lt;</v>
      </c>
      <c r="H197" s="36">
        <f>H183+H177*2/3*SQRT(H34)*H20*'Input + Process'!H178/1000</f>
        <v>419.0625</v>
      </c>
      <c r="I197" s="18"/>
    </row>
    <row r="198" spans="1:12" ht="18.75" customHeight="1" x14ac:dyDescent="0.35">
      <c r="A198" s="6"/>
      <c r="B198" s="128" t="s">
        <v>123</v>
      </c>
      <c r="C198" s="129"/>
      <c r="D198" s="133" t="s">
        <v>131</v>
      </c>
      <c r="E198" s="134"/>
      <c r="F198" s="134"/>
      <c r="G198" s="134"/>
      <c r="H198" s="135"/>
      <c r="I198" s="18"/>
    </row>
    <row r="199" spans="1:12" ht="18.75" customHeight="1" x14ac:dyDescent="0.35">
      <c r="A199" s="6"/>
      <c r="B199" s="128"/>
      <c r="C199" s="129"/>
      <c r="D199" s="52">
        <f>F197</f>
        <v>44.62</v>
      </c>
      <c r="E199" s="51" t="str">
        <f>IF(D199&gt;F199,"&gt;","&lt;")</f>
        <v>&lt;</v>
      </c>
      <c r="F199" s="52">
        <f>H197</f>
        <v>419.0625</v>
      </c>
      <c r="G199" s="53"/>
      <c r="H199" s="53"/>
      <c r="I199" s="18"/>
    </row>
    <row r="200" spans="1:12" ht="18.75" customHeight="1" x14ac:dyDescent="0.35">
      <c r="A200" s="6"/>
      <c r="I200" s="18"/>
    </row>
    <row r="201" spans="1:12" ht="18.75" customHeight="1" x14ac:dyDescent="0.35">
      <c r="A201" s="6"/>
      <c r="B201" s="12" t="s">
        <v>132</v>
      </c>
      <c r="I201" s="18"/>
    </row>
    <row r="202" spans="1:12" ht="18.75" customHeight="1" x14ac:dyDescent="0.35">
      <c r="A202" s="6"/>
      <c r="B202" s="137" t="s">
        <v>133</v>
      </c>
      <c r="C202" s="138" t="s">
        <v>134</v>
      </c>
      <c r="D202" s="139" t="s">
        <v>135</v>
      </c>
      <c r="E202" s="138" t="s">
        <v>136</v>
      </c>
      <c r="F202" s="138"/>
      <c r="I202" s="18"/>
    </row>
    <row r="203" spans="1:12" ht="18.75" customHeight="1" x14ac:dyDescent="0.35">
      <c r="A203" s="6"/>
      <c r="B203" s="137"/>
      <c r="C203" s="138"/>
      <c r="D203" s="139"/>
      <c r="E203" s="94" t="s">
        <v>206</v>
      </c>
      <c r="F203" s="94" t="s">
        <v>207</v>
      </c>
      <c r="H203" s="107"/>
      <c r="I203" s="18"/>
    </row>
    <row r="204" spans="1:12" ht="18.75" customHeight="1" x14ac:dyDescent="0.35">
      <c r="A204" s="6"/>
      <c r="B204" s="105">
        <v>1</v>
      </c>
      <c r="C204" s="106" t="str">
        <f>IF(D189&lt;=F189,"TERPENUHI","")</f>
        <v/>
      </c>
      <c r="D204" s="35" t="s">
        <v>137</v>
      </c>
      <c r="E204" s="35"/>
      <c r="F204" s="49"/>
      <c r="I204" s="18"/>
      <c r="L204" s="54"/>
    </row>
    <row r="205" spans="1:12" ht="18.75" customHeight="1" x14ac:dyDescent="0.35">
      <c r="A205" s="6"/>
      <c r="B205" s="105">
        <v>2</v>
      </c>
      <c r="C205" s="106" t="str">
        <f>IF(D191&lt;=F191,IF(F191&lt;H191,"TERPENUHI",""),"")</f>
        <v>TERPENUHI</v>
      </c>
      <c r="D205" s="35" t="s">
        <v>138</v>
      </c>
      <c r="E205" s="35" t="s">
        <v>139</v>
      </c>
      <c r="F205" s="35" t="s">
        <v>140</v>
      </c>
      <c r="I205" s="18"/>
      <c r="L205" s="54"/>
    </row>
    <row r="206" spans="1:12" ht="18.75" customHeight="1" x14ac:dyDescent="0.35">
      <c r="A206" s="6"/>
      <c r="B206" s="105">
        <v>3</v>
      </c>
      <c r="C206" s="106" t="str">
        <f>IF(D193&lt;=F193,IF(F193&lt;H193,"TERPENUHI",""),"")</f>
        <v/>
      </c>
      <c r="D206" s="35" t="s">
        <v>138</v>
      </c>
      <c r="E206" s="35" t="s">
        <v>139</v>
      </c>
      <c r="F206" s="35" t="s">
        <v>140</v>
      </c>
      <c r="I206" s="18"/>
      <c r="L206" s="54"/>
    </row>
    <row r="207" spans="1:12" ht="18.75" customHeight="1" x14ac:dyDescent="0.35">
      <c r="A207" s="6"/>
      <c r="B207" s="105">
        <v>4</v>
      </c>
      <c r="C207" s="106" t="str">
        <f>IF(D195&lt;=F195,IF(F195&lt;H195,"TERPENUHI",""),"")</f>
        <v/>
      </c>
      <c r="D207" s="55" t="s">
        <v>144</v>
      </c>
      <c r="E207" s="35" t="s">
        <v>139</v>
      </c>
      <c r="F207" s="35" t="s">
        <v>140</v>
      </c>
      <c r="I207" s="18"/>
      <c r="L207" s="54"/>
    </row>
    <row r="208" spans="1:12" ht="18.75" customHeight="1" x14ac:dyDescent="0.35">
      <c r="A208" s="6"/>
      <c r="B208" s="105">
        <v>5</v>
      </c>
      <c r="C208" s="106" t="str">
        <f>IF(D197&lt;=F197,IF(F197&lt;H197,"TERPENUHI",""),"")</f>
        <v/>
      </c>
      <c r="D208" s="55" t="s">
        <v>144</v>
      </c>
      <c r="E208" s="35" t="s">
        <v>141</v>
      </c>
      <c r="F208" s="35" t="s">
        <v>142</v>
      </c>
      <c r="I208" s="18"/>
      <c r="L208" s="54"/>
    </row>
    <row r="209" spans="1:14" ht="18.75" customHeight="1" x14ac:dyDescent="0.35">
      <c r="A209" s="6"/>
      <c r="B209" s="105">
        <v>6</v>
      </c>
      <c r="C209" s="106" t="str">
        <f>IF(D199&gt;=F199,"TERPENUHI","")</f>
        <v/>
      </c>
      <c r="D209" s="140" t="s">
        <v>143</v>
      </c>
      <c r="E209" s="141"/>
      <c r="F209" s="142"/>
      <c r="I209" s="18"/>
      <c r="L209" s="54"/>
    </row>
    <row r="210" spans="1:14" ht="18.75" customHeight="1" x14ac:dyDescent="0.35">
      <c r="A210" s="6"/>
      <c r="I210" s="18"/>
    </row>
    <row r="211" spans="1:14" ht="18.75" customHeight="1" x14ac:dyDescent="0.35">
      <c r="A211" s="1" t="s">
        <v>145</v>
      </c>
      <c r="B211" s="7" t="s">
        <v>146</v>
      </c>
      <c r="C211" s="8"/>
      <c r="D211" s="89"/>
      <c r="E211" s="10"/>
      <c r="F211" s="89"/>
      <c r="G211" s="8"/>
      <c r="H211" s="7"/>
      <c r="I211" s="11"/>
    </row>
    <row r="212" spans="1:14" ht="18.75" customHeight="1" x14ac:dyDescent="0.35">
      <c r="A212" s="2"/>
      <c r="B212" s="12" t="s">
        <v>147</v>
      </c>
      <c r="C212" s="12"/>
      <c r="D212" s="12"/>
      <c r="E212" s="12"/>
      <c r="F212" s="12"/>
      <c r="G212" s="13" t="s">
        <v>229</v>
      </c>
      <c r="H212" s="48">
        <f>IF((IF(C204="TERPENUHI",1,0)+IF(C205="TERPENUHI",1,0)+IF(C206="TERPENUHI",1,0))=1,H177*H184,IF((IF(C207="TERPENUHI",1,0)+IF(C209="TERPENUHI",1,0))=1,H181-H183,"EROR"))</f>
        <v>31.4296875</v>
      </c>
      <c r="I212" s="14" t="s">
        <v>87</v>
      </c>
    </row>
    <row r="213" spans="1:14" ht="18.75" customHeight="1" x14ac:dyDescent="0.35">
      <c r="A213" s="2"/>
      <c r="B213" s="12" t="s">
        <v>148</v>
      </c>
      <c r="C213" s="12"/>
      <c r="D213" s="12"/>
      <c r="E213" s="12"/>
      <c r="F213" s="12"/>
      <c r="G213" s="13" t="s">
        <v>149</v>
      </c>
      <c r="H213" s="48">
        <f>H212/H177</f>
        <v>41.90625</v>
      </c>
      <c r="I213" s="14" t="s">
        <v>87</v>
      </c>
    </row>
    <row r="214" spans="1:14" ht="18.75" customHeight="1" x14ac:dyDescent="0.35">
      <c r="A214" s="2"/>
      <c r="B214" s="12" t="s">
        <v>150</v>
      </c>
      <c r="C214" s="12"/>
      <c r="D214" s="12"/>
      <c r="E214" s="12"/>
      <c r="G214" s="15"/>
      <c r="H214" s="110" t="str">
        <f>TEXT(IF(2*PI()/4*H23^2*$H$179*$H$178/($H$213*1000)&gt;125,2,IF(3*PI()/4*H23^2*$H$179*$H$178/($H$213*1000)&gt;125,3,4)),"0")&amp;" "&amp;LEFT(G23,1)&amp;H23</f>
        <v>2 D13</v>
      </c>
      <c r="I214" s="90"/>
      <c r="L214" s="42"/>
      <c r="M214" s="56"/>
      <c r="N214" s="56"/>
    </row>
    <row r="215" spans="1:14" ht="18.75" customHeight="1" x14ac:dyDescent="0.35">
      <c r="A215" s="2"/>
      <c r="B215" s="12" t="s">
        <v>151</v>
      </c>
      <c r="C215" s="12"/>
      <c r="D215" s="12"/>
      <c r="E215" s="12"/>
      <c r="F215" s="12"/>
      <c r="G215" s="13" t="s">
        <v>230</v>
      </c>
      <c r="H215" s="45">
        <f>IF(2*PI()/4*H23^2*$H$179*$H$178/($H$213*1000)&gt;125,2,IF(3*PI()/4*H23^2*$H$179*$H$178/($H$213*1000)&gt;125,3,4))*PI()/4*H23^2</f>
        <v>265.46457922833753</v>
      </c>
      <c r="I215" s="14" t="s">
        <v>37</v>
      </c>
      <c r="L215" s="42"/>
      <c r="M215" s="56"/>
      <c r="N215" s="56"/>
    </row>
    <row r="216" spans="1:14" ht="18.75" customHeight="1" x14ac:dyDescent="0.35">
      <c r="A216" s="2"/>
      <c r="B216" s="12" t="s">
        <v>152</v>
      </c>
      <c r="C216" s="12"/>
      <c r="D216" s="12"/>
      <c r="E216" s="12"/>
      <c r="F216" s="12"/>
      <c r="G216" s="13" t="s">
        <v>164</v>
      </c>
      <c r="H216" s="45">
        <f>H215*H179*H178/H213/1000</f>
        <v>1104.3326495898841</v>
      </c>
      <c r="I216" s="14" t="s">
        <v>18</v>
      </c>
      <c r="L216" s="42"/>
      <c r="M216" s="56"/>
      <c r="N216" s="56"/>
    </row>
    <row r="217" spans="1:14" ht="18.75" customHeight="1" x14ac:dyDescent="0.35">
      <c r="A217" s="2"/>
      <c r="B217" s="12" t="s">
        <v>153</v>
      </c>
      <c r="C217" s="12"/>
      <c r="D217" s="12"/>
      <c r="G217" s="111"/>
      <c r="H217" s="117" t="str">
        <f>H214&amp;" - "&amp;TEXT(H216,"0")</f>
        <v>2 D13 - 1104</v>
      </c>
      <c r="I217" s="14"/>
    </row>
    <row r="218" spans="1:14" ht="18.75" customHeight="1" x14ac:dyDescent="0.35">
      <c r="A218" s="2"/>
      <c r="B218" s="12"/>
      <c r="C218" s="12"/>
      <c r="D218" s="12"/>
      <c r="E218" s="13"/>
      <c r="F218" s="85"/>
      <c r="G218" s="86"/>
      <c r="H218" s="12"/>
      <c r="I218" s="14"/>
    </row>
    <row r="219" spans="1:14" ht="18.75" customHeight="1" x14ac:dyDescent="0.35">
      <c r="A219" s="29" t="s">
        <v>154</v>
      </c>
      <c r="B219" s="30" t="s">
        <v>155</v>
      </c>
      <c r="C219" s="31"/>
      <c r="D219" s="31"/>
      <c r="E219" s="31"/>
      <c r="F219" s="31"/>
      <c r="G219" s="91"/>
      <c r="H219" s="31"/>
      <c r="I219" s="84"/>
    </row>
    <row r="220" spans="1:14" ht="18.75" customHeight="1" x14ac:dyDescent="0.35">
      <c r="A220" s="2"/>
      <c r="B220" s="12" t="s">
        <v>156</v>
      </c>
      <c r="C220" s="12"/>
      <c r="D220" s="12"/>
      <c r="E220" s="12"/>
      <c r="F220" s="12"/>
      <c r="G220" s="13" t="s">
        <v>29</v>
      </c>
      <c r="H220" s="36">
        <f>H29</f>
        <v>23.65</v>
      </c>
      <c r="I220" s="14" t="s">
        <v>30</v>
      </c>
    </row>
    <row r="221" spans="1:14" ht="18.75" customHeight="1" x14ac:dyDescent="0.35">
      <c r="A221" s="2"/>
      <c r="B221" s="12" t="s">
        <v>157</v>
      </c>
      <c r="C221" s="12"/>
      <c r="D221" s="12"/>
      <c r="E221" s="12"/>
      <c r="F221" s="12"/>
      <c r="G221" s="13" t="s">
        <v>49</v>
      </c>
      <c r="H221" s="38">
        <v>0.75</v>
      </c>
      <c r="I221" s="14"/>
    </row>
    <row r="222" spans="1:14" ht="18.75" customHeight="1" x14ac:dyDescent="0.35">
      <c r="A222" s="2"/>
      <c r="B222" s="12" t="s">
        <v>158</v>
      </c>
      <c r="C222" s="12"/>
      <c r="D222" s="12"/>
      <c r="E222" s="12"/>
      <c r="F222" s="12"/>
      <c r="G222" s="13" t="s">
        <v>159</v>
      </c>
      <c r="H222" s="38">
        <f>H220/H221</f>
        <v>31.533333333333331</v>
      </c>
      <c r="I222" s="14" t="s">
        <v>30</v>
      </c>
    </row>
    <row r="223" spans="1:14" ht="18.75" customHeight="1" x14ac:dyDescent="0.35">
      <c r="A223" s="2"/>
      <c r="B223" s="12" t="s">
        <v>160</v>
      </c>
      <c r="C223" s="12"/>
      <c r="D223" s="12"/>
      <c r="E223" s="12"/>
      <c r="F223" s="12"/>
      <c r="G223" s="13" t="s">
        <v>11</v>
      </c>
      <c r="H223" s="39">
        <f>H6</f>
        <v>390</v>
      </c>
      <c r="I223" s="14" t="s">
        <v>9</v>
      </c>
    </row>
    <row r="224" spans="1:14" ht="18.75" customHeight="1" x14ac:dyDescent="0.35">
      <c r="A224" s="2"/>
      <c r="B224" s="12"/>
      <c r="C224" s="12"/>
      <c r="D224" s="12"/>
      <c r="E224" s="12"/>
      <c r="F224" s="12"/>
      <c r="G224" s="13"/>
      <c r="H224" s="20"/>
      <c r="I224" s="14"/>
    </row>
    <row r="225" spans="1:9" ht="18.75" customHeight="1" x14ac:dyDescent="0.35">
      <c r="A225" s="2"/>
      <c r="B225" s="12" t="s">
        <v>161</v>
      </c>
      <c r="C225" s="12"/>
      <c r="D225" s="12"/>
      <c r="E225" s="12"/>
      <c r="F225" s="12"/>
      <c r="G225" s="13" t="s">
        <v>162</v>
      </c>
      <c r="H225" s="39">
        <f>H216</f>
        <v>1104.3326495898841</v>
      </c>
      <c r="I225" s="14" t="s">
        <v>18</v>
      </c>
    </row>
    <row r="226" spans="1:9" ht="18.75" customHeight="1" x14ac:dyDescent="0.35">
      <c r="A226" s="2"/>
      <c r="B226" s="12"/>
      <c r="C226" s="12"/>
      <c r="D226" s="12"/>
      <c r="E226" s="12"/>
      <c r="F226" s="12"/>
      <c r="G226" s="13" t="s">
        <v>163</v>
      </c>
      <c r="H226" s="39">
        <v>300</v>
      </c>
      <c r="I226" s="14" t="s">
        <v>18</v>
      </c>
    </row>
    <row r="227" spans="1:9" ht="18.75" customHeight="1" x14ac:dyDescent="0.35">
      <c r="A227" s="2"/>
      <c r="B227" s="12"/>
      <c r="C227" s="12"/>
      <c r="D227" s="12"/>
      <c r="E227" s="12"/>
      <c r="F227" s="12"/>
      <c r="G227" s="13"/>
      <c r="H227" s="76"/>
      <c r="I227" s="14"/>
    </row>
    <row r="228" spans="1:9" ht="18.75" customHeight="1" x14ac:dyDescent="0.35">
      <c r="A228" s="2"/>
      <c r="B228" s="12" t="s">
        <v>165</v>
      </c>
      <c r="C228" s="12"/>
      <c r="D228" s="12"/>
      <c r="E228" s="12"/>
      <c r="F228" s="12"/>
      <c r="G228" s="12"/>
      <c r="H228" s="12"/>
      <c r="I228" s="14"/>
    </row>
    <row r="229" spans="1:9" ht="18.75" customHeight="1" x14ac:dyDescent="0.35">
      <c r="A229" s="2"/>
      <c r="B229" s="12"/>
      <c r="C229" s="12"/>
      <c r="D229" s="12"/>
      <c r="E229" s="12"/>
      <c r="F229" s="12"/>
      <c r="G229" s="13" t="s">
        <v>231</v>
      </c>
      <c r="H229" s="36">
        <f>(1/12*H221*(H34^0.5)*((H20*H21)^2/(2*(H20+H21)))*(1+H27*1000/(1/3*(H20*H21)*(H34^0.5)))^0.5)*10^-6</f>
        <v>4.4177608694046766</v>
      </c>
      <c r="I229" s="14" t="s">
        <v>30</v>
      </c>
    </row>
    <row r="230" spans="1:9" ht="18.75" customHeight="1" x14ac:dyDescent="0.35">
      <c r="A230" s="2"/>
      <c r="B230" s="12"/>
      <c r="C230" s="12"/>
      <c r="D230" s="12"/>
      <c r="E230" s="12"/>
      <c r="F230" s="16" t="s">
        <v>40</v>
      </c>
      <c r="G230" s="82" t="str">
        <f>IF(H220&lt;H229,"Torsi boleh diabaikan","Torsi tidak boleh diabaikan")</f>
        <v>Torsi tidak boleh diabaikan</v>
      </c>
      <c r="H230" s="12"/>
      <c r="I230" s="14"/>
    </row>
    <row r="231" spans="1:9" ht="18.75" customHeight="1" x14ac:dyDescent="0.35">
      <c r="A231" s="2"/>
      <c r="B231" s="12" t="s">
        <v>166</v>
      </c>
      <c r="C231" s="12"/>
      <c r="D231" s="12"/>
      <c r="E231" s="12"/>
      <c r="F231" s="12"/>
      <c r="G231" s="12"/>
      <c r="H231" s="12"/>
      <c r="I231" s="14"/>
    </row>
    <row r="232" spans="1:9" ht="18.75" customHeight="1" x14ac:dyDescent="0.35">
      <c r="A232" s="2"/>
      <c r="B232" s="136" t="s">
        <v>167</v>
      </c>
      <c r="C232" s="136"/>
      <c r="D232" s="136"/>
      <c r="E232" s="136"/>
      <c r="F232" s="136"/>
      <c r="G232" s="136"/>
      <c r="H232" s="136"/>
      <c r="I232" s="14"/>
    </row>
    <row r="233" spans="1:9" ht="18.75" customHeight="1" x14ac:dyDescent="0.35">
      <c r="A233" s="2"/>
      <c r="B233" s="12"/>
      <c r="C233" s="12"/>
      <c r="D233" s="77">
        <f>((H181*1000/(H20*H178))^2+(H220*1000*(2*((H20-2*(H24+0.5*H23))+(H21-2*(H24+0.5*H23))))/1.7/((H20-2*(H24+0.5*H23))*(H21-2*(H24+0.5*H23)))^2)^2)^0.5</f>
        <v>0.33274546854755499</v>
      </c>
      <c r="E233" s="15" t="s">
        <v>118</v>
      </c>
      <c r="F233" s="77">
        <f>H177*(H182*1000/(H20*H178)+2/3*H34^0.5)</f>
        <v>3.1249999999999996</v>
      </c>
      <c r="G233" s="12"/>
      <c r="H233" s="12"/>
      <c r="I233" s="14"/>
    </row>
    <row r="234" spans="1:9" ht="18.75" customHeight="1" x14ac:dyDescent="0.35">
      <c r="A234" s="2"/>
      <c r="B234" s="12"/>
      <c r="C234" s="12"/>
      <c r="D234" s="12"/>
      <c r="E234" s="12"/>
      <c r="F234" s="16" t="s">
        <v>40</v>
      </c>
      <c r="G234" s="82" t="str">
        <f>IF(D233&lt;=F233,"Tdk perlu ganti dimensi","perlu ganti dimensi")</f>
        <v>Tdk perlu ganti dimensi</v>
      </c>
      <c r="H234" s="12"/>
      <c r="I234" s="14"/>
    </row>
    <row r="235" spans="1:9" ht="18.75" customHeight="1" x14ac:dyDescent="0.35">
      <c r="A235" s="2"/>
      <c r="B235" s="12" t="s">
        <v>168</v>
      </c>
      <c r="C235" s="12"/>
      <c r="D235" s="12"/>
      <c r="E235" s="12"/>
      <c r="F235" s="12"/>
      <c r="G235" s="13" t="s">
        <v>169</v>
      </c>
      <c r="H235" s="38">
        <f>MAX(0.032*SQRT(H4)*H20/H6-0.5*H215,(IF(H220&gt;=H229,H222*10^6/2/(0.85*((H20-2*(H24+0.5*H23))*(H21-2*(H24+0.5*H23))))/H223,0)))</f>
        <v>0.56453594390508288</v>
      </c>
      <c r="I235" s="14" t="s">
        <v>216</v>
      </c>
    </row>
    <row r="236" spans="1:9" ht="18.75" customHeight="1" x14ac:dyDescent="0.35">
      <c r="A236" s="2"/>
      <c r="B236" s="12"/>
      <c r="C236" s="12"/>
      <c r="D236" s="12"/>
      <c r="E236" s="12" t="s">
        <v>170</v>
      </c>
      <c r="F236" s="15" t="s">
        <v>171</v>
      </c>
      <c r="G236" s="15" t="s">
        <v>172</v>
      </c>
      <c r="H236" s="15" t="s">
        <v>232</v>
      </c>
      <c r="I236" s="14"/>
    </row>
    <row r="237" spans="1:9" ht="18.75" customHeight="1" x14ac:dyDescent="0.35">
      <c r="A237" s="2"/>
      <c r="B237" s="12"/>
      <c r="C237" s="12"/>
      <c r="D237" s="12"/>
      <c r="E237" s="12"/>
      <c r="F237" s="70">
        <f>H235</f>
        <v>0.56453594390508288</v>
      </c>
      <c r="G237" s="15" t="s">
        <v>172</v>
      </c>
      <c r="H237" s="70">
        <f>0.175*H20/H223</f>
        <v>0.13461538461538461</v>
      </c>
      <c r="I237" s="14"/>
    </row>
    <row r="238" spans="1:9" ht="18.75" customHeight="1" x14ac:dyDescent="0.35">
      <c r="A238" s="2"/>
      <c r="B238" s="12"/>
      <c r="C238" s="12"/>
      <c r="D238" s="12"/>
      <c r="E238" s="12"/>
      <c r="F238" s="70"/>
      <c r="G238" s="15"/>
      <c r="H238" s="70"/>
      <c r="I238" s="14"/>
    </row>
    <row r="239" spans="1:9" ht="18.75" customHeight="1" x14ac:dyDescent="0.35">
      <c r="A239" s="2"/>
      <c r="B239" s="12" t="s">
        <v>173</v>
      </c>
      <c r="C239" s="12"/>
      <c r="D239" s="12"/>
      <c r="E239" s="12"/>
      <c r="F239" s="12"/>
      <c r="G239" s="13" t="s">
        <v>174</v>
      </c>
      <c r="H239" s="38">
        <f>IF(MAX(IF(H220&gt;H229,H235*(2*((H20-2*(H24+0.5*H23))+(H21-2*(H24+0.5*H23))))*(H223/H35),"diabaikan"),IF(H220&gt;H229,0.42*(H34^0.5)*(H20*H21)/H35-(IF(F237&gt;H237,F237,H237))*(2*((H20-2*(H24+0.5*H23))+(H21-2*(H24+0.5*H23))))*H223/H35,"diabaikan"))&gt;0,MAX(IF(H220&gt;H229,H235*(2*((H20-2*(H24+0.5*H23))+(H21-2*(H24+0.5*H23))))*(H223/H35),"diabaikan"),IF(H220&gt;H229,0.42*(H34^0.5)*(H20*H21)/H35-(IF(F237&gt;H237,F237,H237))*(2*((H20-2*(H24+0.5*H23))+(H21-2*(H24+0.5*H23))))*H223/H35,"diabaikan")),0)</f>
        <v>693.25013911544181</v>
      </c>
      <c r="I239" s="14" t="s">
        <v>37</v>
      </c>
    </row>
    <row r="240" spans="1:9" ht="18.75" customHeight="1" x14ac:dyDescent="0.35">
      <c r="A240" s="2"/>
      <c r="B240" s="12"/>
      <c r="C240" s="12"/>
      <c r="D240" s="12"/>
      <c r="E240" s="12"/>
      <c r="F240" s="12"/>
      <c r="G240" s="12"/>
      <c r="H240" s="42"/>
      <c r="I240" s="14"/>
    </row>
    <row r="241" spans="1:13" ht="18.75" customHeight="1" x14ac:dyDescent="0.35">
      <c r="A241" s="29" t="s">
        <v>175</v>
      </c>
      <c r="B241" s="30" t="s">
        <v>176</v>
      </c>
      <c r="C241" s="31"/>
      <c r="D241" s="31"/>
      <c r="E241" s="31"/>
      <c r="F241" s="31"/>
      <c r="G241" s="31"/>
      <c r="H241" s="31"/>
      <c r="I241" s="84"/>
    </row>
    <row r="242" spans="1:13" ht="18.75" customHeight="1" x14ac:dyDescent="0.35">
      <c r="A242" s="1" t="s">
        <v>177</v>
      </c>
      <c r="B242" s="7" t="s">
        <v>178</v>
      </c>
      <c r="C242" s="8"/>
      <c r="D242" s="8"/>
      <c r="E242" s="8"/>
      <c r="F242" s="8"/>
      <c r="G242" s="8"/>
      <c r="H242" s="8"/>
      <c r="I242" s="11"/>
    </row>
    <row r="243" spans="1:13" ht="18.75" customHeight="1" x14ac:dyDescent="0.35">
      <c r="A243" s="2"/>
      <c r="B243" s="12" t="s">
        <v>179</v>
      </c>
      <c r="C243" s="12"/>
      <c r="D243" s="12"/>
      <c r="E243" s="12"/>
      <c r="F243" s="12"/>
      <c r="G243" s="13" t="s">
        <v>233</v>
      </c>
      <c r="H243" s="57">
        <f>H215/H216+2*H235</f>
        <v>1.3694565031947812</v>
      </c>
      <c r="I243" s="14" t="s">
        <v>195</v>
      </c>
    </row>
    <row r="244" spans="1:13" ht="18.75" customHeight="1" x14ac:dyDescent="0.35">
      <c r="A244" s="2"/>
      <c r="B244" s="12" t="s">
        <v>150</v>
      </c>
      <c r="C244" s="12"/>
      <c r="D244" s="12"/>
      <c r="E244" s="12"/>
      <c r="G244" s="112"/>
      <c r="H244" s="119" t="str">
        <f>IF(2*0.25*PI()*H23^2/H243&gt;125,2,IF(3*0.25*PI()*H23^2/H243&gt;125,3,IF(4*0.25*PI()*H23^2/H243&gt;125,4,"[ EROR ]")))&amp;" "&amp;LEFT(G23,1)&amp;H23</f>
        <v>2 D13</v>
      </c>
      <c r="I244" s="14"/>
    </row>
    <row r="245" spans="1:13" ht="18.75" customHeight="1" x14ac:dyDescent="0.35">
      <c r="A245" s="58"/>
      <c r="B245" s="12" t="s">
        <v>180</v>
      </c>
      <c r="C245" s="12"/>
      <c r="D245" s="12"/>
      <c r="E245" s="12"/>
      <c r="F245" s="12"/>
      <c r="G245" s="13" t="s">
        <v>164</v>
      </c>
      <c r="H245" s="39">
        <f>ROUNDDOWN(MIN((IF(2*0.25*PI()*H23^2/H243&gt;125,2,IF(3*0.25*PI()*H23^2/H243&gt;125,3,IF(4*0.25*PI()*H23^2/H243&gt;125,4,"[ EROR ]")))*PI()/4*H23^2)/H243,IF((IF(C204="TERPENUHI",1,0)+IF(C205="TERPENUHI",1,0)+IF(C206="TERPENUHI",1,0))=1,H178/2,IF(IF(C207="TERPENUHI",1,0)+IF(C209="TERPENUHI",1,0)=1,H178/4,"EROR")),IF((IF(C204="TERPENUHI",1,0)+IF(C205="TERPENUHI",1,0)+IF(C206="TERPENUHI",1,0))=1,600,IF(IF(C207="TERPENUHI",1,0)+IF(C209="TERPENUHI",1,0)=1,300,"EROR")),IF(H220&gt;H229,(2*((H20-2*(H24+0.5*H23))+(H21-2*(H24+0.5*H23))))/8,"-"))/25,0)*25</f>
        <v>150</v>
      </c>
      <c r="I245" s="14" t="s">
        <v>18</v>
      </c>
    </row>
    <row r="246" spans="1:13" ht="18.75" customHeight="1" x14ac:dyDescent="0.35">
      <c r="A246" s="2"/>
      <c r="B246" s="12" t="s">
        <v>181</v>
      </c>
      <c r="C246" s="12"/>
      <c r="D246" s="12"/>
      <c r="G246" s="113"/>
      <c r="H246" s="114" t="str">
        <f>H244&amp;" - "&amp;H245</f>
        <v>2 D13 - 150</v>
      </c>
      <c r="I246" s="14"/>
    </row>
    <row r="247" spans="1:13" ht="18.75" customHeight="1" x14ac:dyDescent="0.35">
      <c r="A247" s="2"/>
      <c r="B247" s="12"/>
      <c r="C247" s="12"/>
      <c r="D247" s="12"/>
      <c r="E247" s="12"/>
      <c r="F247" s="12"/>
      <c r="H247" s="12"/>
      <c r="I247" s="14"/>
    </row>
    <row r="248" spans="1:13" ht="18.75" customHeight="1" x14ac:dyDescent="0.35">
      <c r="A248" s="1" t="s">
        <v>196</v>
      </c>
      <c r="B248" s="7" t="s">
        <v>182</v>
      </c>
      <c r="C248" s="8"/>
      <c r="D248" s="8"/>
      <c r="E248" s="8"/>
      <c r="F248" s="8"/>
      <c r="G248" s="8"/>
      <c r="H248" s="8"/>
      <c r="I248" s="11"/>
    </row>
    <row r="249" spans="1:13" ht="18.75" customHeight="1" x14ac:dyDescent="0.35">
      <c r="A249" s="2"/>
      <c r="B249" s="12" t="s">
        <v>183</v>
      </c>
      <c r="C249" s="12"/>
      <c r="D249" s="12"/>
      <c r="E249" s="12"/>
      <c r="F249" s="12"/>
      <c r="G249" s="13" t="s">
        <v>22</v>
      </c>
      <c r="H249" s="39">
        <f>H22</f>
        <v>19</v>
      </c>
      <c r="I249" s="14" t="s">
        <v>18</v>
      </c>
    </row>
    <row r="250" spans="1:13" ht="18.75" customHeight="1" x14ac:dyDescent="0.35">
      <c r="A250" s="2"/>
      <c r="B250" s="12" t="s">
        <v>184</v>
      </c>
      <c r="C250" s="12"/>
      <c r="D250" s="12"/>
      <c r="E250" s="12"/>
      <c r="F250" s="12"/>
      <c r="G250" s="13" t="s">
        <v>84</v>
      </c>
      <c r="H250" s="38">
        <f>PI()*H249^2*0.25</f>
        <v>283.5287369864788</v>
      </c>
      <c r="I250" s="14" t="s">
        <v>37</v>
      </c>
    </row>
    <row r="251" spans="1:13" ht="18.75" customHeight="1" x14ac:dyDescent="0.35">
      <c r="A251" s="2"/>
      <c r="B251" s="12" t="s">
        <v>185</v>
      </c>
      <c r="C251" s="12"/>
      <c r="D251" s="12"/>
      <c r="E251" s="12"/>
      <c r="F251" s="12"/>
      <c r="G251" s="13" t="s">
        <v>22</v>
      </c>
      <c r="H251" s="39">
        <v>13</v>
      </c>
      <c r="I251" s="14" t="s">
        <v>18</v>
      </c>
    </row>
    <row r="252" spans="1:13" ht="18.75" customHeight="1" x14ac:dyDescent="0.35">
      <c r="A252" s="2"/>
      <c r="B252" s="12" t="s">
        <v>186</v>
      </c>
      <c r="C252" s="12"/>
      <c r="D252" s="12"/>
      <c r="E252" s="12"/>
      <c r="F252" s="12"/>
      <c r="G252" s="13" t="s">
        <v>69</v>
      </c>
      <c r="H252" s="39">
        <f>IF(H21/(1)&lt;=350,0,IF(H21/(2)&lt;=350,1,2))*2</f>
        <v>2</v>
      </c>
      <c r="I252" s="14"/>
      <c r="L252" s="42"/>
      <c r="M252" s="42"/>
    </row>
    <row r="253" spans="1:13" ht="18.75" customHeight="1" x14ac:dyDescent="0.35">
      <c r="A253" s="2"/>
      <c r="B253" s="12" t="s">
        <v>187</v>
      </c>
      <c r="C253" s="12"/>
      <c r="D253" s="12"/>
      <c r="E253" s="12"/>
      <c r="F253" s="12"/>
      <c r="G253" s="13" t="s">
        <v>234</v>
      </c>
      <c r="H253" s="38">
        <f>H252*PI()*H251^2*0.25</f>
        <v>265.46457922833753</v>
      </c>
      <c r="I253" s="14" t="s">
        <v>37</v>
      </c>
      <c r="L253" s="42"/>
      <c r="M253" s="42"/>
    </row>
    <row r="254" spans="1:13" ht="18.75" customHeight="1" x14ac:dyDescent="0.35">
      <c r="A254" s="2"/>
      <c r="B254" s="12"/>
      <c r="C254" s="12"/>
      <c r="D254" s="12"/>
      <c r="E254" s="12"/>
      <c r="F254" s="12"/>
      <c r="G254" s="13"/>
      <c r="H254" s="20"/>
      <c r="I254" s="14"/>
      <c r="L254" s="42"/>
      <c r="M254" s="59"/>
    </row>
    <row r="255" spans="1:13" ht="18.75" customHeight="1" x14ac:dyDescent="0.35">
      <c r="A255" s="2"/>
      <c r="B255" s="12" t="s">
        <v>188</v>
      </c>
      <c r="C255" s="12"/>
      <c r="D255" s="12"/>
      <c r="E255" s="12"/>
      <c r="F255" s="12"/>
      <c r="G255" s="13" t="s">
        <v>174</v>
      </c>
      <c r="H255" s="38">
        <f>H239</f>
        <v>693.25013911544181</v>
      </c>
      <c r="I255" s="14" t="s">
        <v>37</v>
      </c>
    </row>
    <row r="256" spans="1:13" ht="18.75" customHeight="1" x14ac:dyDescent="0.35">
      <c r="A256" s="2"/>
      <c r="B256" s="12" t="s">
        <v>189</v>
      </c>
      <c r="C256" s="12"/>
      <c r="D256" s="12"/>
      <c r="E256" s="12"/>
      <c r="F256" s="12"/>
      <c r="G256" s="13" t="s">
        <v>235</v>
      </c>
      <c r="H256" s="38">
        <f>IF((H255-H253)/H250&gt;0,(H255-H253)/H250,0)</f>
        <v>1.5087908352214221</v>
      </c>
      <c r="I256" s="14" t="s">
        <v>190</v>
      </c>
    </row>
    <row r="257" spans="1:10" ht="18.75" customHeight="1" x14ac:dyDescent="0.35">
      <c r="A257" s="2"/>
      <c r="B257" s="12" t="s">
        <v>191</v>
      </c>
      <c r="C257" s="12"/>
      <c r="D257" s="12"/>
      <c r="E257" s="12"/>
      <c r="F257" s="12"/>
      <c r="G257" s="13" t="s">
        <v>192</v>
      </c>
      <c r="H257" s="38">
        <f>(H87/(PI()/4*H22^2))+(H54/(PI()/4*H22^2))</f>
        <v>6.9893307394870146</v>
      </c>
      <c r="I257" s="14" t="s">
        <v>190</v>
      </c>
    </row>
    <row r="258" spans="1:10" ht="18.75" customHeight="1" x14ac:dyDescent="0.35">
      <c r="A258" s="2"/>
      <c r="B258" s="12" t="s">
        <v>193</v>
      </c>
      <c r="C258" s="12"/>
      <c r="D258" s="12"/>
      <c r="E258" s="12"/>
      <c r="F258" s="12"/>
      <c r="G258" s="13" t="s">
        <v>194</v>
      </c>
      <c r="H258" s="38">
        <f>H256+H257</f>
        <v>8.4981215747084367</v>
      </c>
      <c r="I258" s="14" t="s">
        <v>190</v>
      </c>
    </row>
    <row r="259" spans="1:10" ht="18.75" customHeight="1" x14ac:dyDescent="0.35">
      <c r="A259" s="6"/>
      <c r="I259" s="18"/>
    </row>
    <row r="260" spans="1:10" ht="18.75" customHeight="1" x14ac:dyDescent="0.35">
      <c r="A260" s="6"/>
      <c r="B260" s="12" t="s">
        <v>197</v>
      </c>
      <c r="H260" s="115" t="str">
        <f>TEXT(ROUNDUP(IF((H54/(PI()/4*H22^2))&lt;(H87/(PI()/4*H22^2)),IF(H256&lt;1,(H54/(PI()/4*H22^2))+H256,(H54/(PI()/4*H22^2))+H256/2),IF(H256&lt;1,(H54/(PI()/4*H22^2)),(H54/(PI()/4*H22^2))+0.5*H256)),0),"0")&amp;" D"&amp;H249</f>
        <v>6 D19</v>
      </c>
      <c r="I260" s="18"/>
      <c r="J260" s="60"/>
    </row>
    <row r="261" spans="1:10" ht="18.75" customHeight="1" x14ac:dyDescent="0.35">
      <c r="A261" s="6"/>
      <c r="B261" s="12" t="s">
        <v>198</v>
      </c>
      <c r="H261" s="116" t="str">
        <f>TEXT(ROUNDUP(IF((H87/(PI()/4*H22^2))&lt;(H54/(PI()/4*H22^2)),IF(H256&lt;1,(H87/(PI()/4*H22^2))+H256,(H87/(PI()/4*H22^2))+H256/2),IF(H256&lt;1,(H87/(PI()/4*H22^2)),(H87/(PI()/4*H22^2))+0.5*H256)),0),"0")&amp;" D"&amp;H249</f>
        <v>3 D19</v>
      </c>
      <c r="I261" s="18"/>
      <c r="J261" s="60"/>
    </row>
    <row r="262" spans="1:10" ht="18.75" customHeight="1" x14ac:dyDescent="0.35">
      <c r="A262" s="61"/>
      <c r="B262" s="92"/>
      <c r="C262" s="92"/>
      <c r="D262" s="92"/>
      <c r="E262" s="92"/>
      <c r="F262" s="92"/>
      <c r="G262" s="92"/>
      <c r="H262" s="92"/>
      <c r="I262" s="93"/>
    </row>
  </sheetData>
  <mergeCells count="19">
    <mergeCell ref="B232:H232"/>
    <mergeCell ref="B194:C195"/>
    <mergeCell ref="B196:C197"/>
    <mergeCell ref="B198:C199"/>
    <mergeCell ref="D198:H198"/>
    <mergeCell ref="D196:H196"/>
    <mergeCell ref="D194:H194"/>
    <mergeCell ref="B202:B203"/>
    <mergeCell ref="C202:C203"/>
    <mergeCell ref="D202:D203"/>
    <mergeCell ref="E202:F202"/>
    <mergeCell ref="D209:F209"/>
    <mergeCell ref="B192:C193"/>
    <mergeCell ref="D192:H192"/>
    <mergeCell ref="D190:H190"/>
    <mergeCell ref="D188:H188"/>
    <mergeCell ref="B1:F1"/>
    <mergeCell ref="B188:C189"/>
    <mergeCell ref="B190:C191"/>
  </mergeCells>
  <pageMargins left="0.7" right="0.7" top="0.75" bottom="0.75" header="0.3" footer="0.3"/>
  <pageSetup paperSize="9" orientation="portrait" horizontalDpi="4294967293" r:id="rId1"/>
  <ignoredErrors>
    <ignoredError sqref="E82 F191 F193 F195 F197 E199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Input + Process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indra raj suweda</dc:creator>
  <cp:lastModifiedBy>Shafannisa Sulhi</cp:lastModifiedBy>
  <cp:lastPrinted>2024-07-08T23:19:14Z</cp:lastPrinted>
  <dcterms:created xsi:type="dcterms:W3CDTF">2021-05-03T03:25:11Z</dcterms:created>
  <dcterms:modified xsi:type="dcterms:W3CDTF">2024-08-14T03:00:00Z</dcterms:modified>
</cp:coreProperties>
</file>