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1b751852d1dd4e2/Program Excel (New)/Lite/"/>
    </mc:Choice>
  </mc:AlternateContent>
  <xr:revisionPtr revIDLastSave="290" documentId="8_{43DD95D1-26F7-49AE-9671-0C87D6727108}" xr6:coauthVersionLast="47" xr6:coauthVersionMax="47" xr10:uidLastSave="{A817ECCF-2062-4E52-B50B-C0E5C4F2C48B}"/>
  <bookViews>
    <workbookView xWindow="-120" yWindow="-120" windowWidth="29040" windowHeight="15720" xr2:uid="{1EAE39AE-B870-46F5-9A65-F78554803DD6}"/>
  </bookViews>
  <sheets>
    <sheet name="Input + Proce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4" i="1" l="1"/>
  <c r="F97" i="1"/>
  <c r="H70" i="1"/>
  <c r="H74" i="1"/>
  <c r="G74" i="1"/>
  <c r="H73" i="1"/>
  <c r="G73" i="1"/>
  <c r="B65" i="1"/>
  <c r="B64" i="1"/>
  <c r="B63" i="1"/>
  <c r="H46" i="1"/>
  <c r="D49" i="1" s="1"/>
  <c r="H44" i="1"/>
  <c r="H71" i="1" l="1"/>
  <c r="H72" i="1" s="1"/>
  <c r="F78" i="1" s="1"/>
  <c r="D78" i="1"/>
  <c r="H90" i="1" s="1"/>
  <c r="H91" i="1" s="1"/>
  <c r="H92" i="1" s="1"/>
  <c r="H36" i="1" l="1"/>
  <c r="H35" i="1"/>
  <c r="G25" i="1"/>
  <c r="G24" i="1"/>
  <c r="G31" i="1"/>
  <c r="H31" i="1" l="1"/>
  <c r="H34" i="1"/>
  <c r="H33" i="1"/>
  <c r="H32" i="1"/>
  <c r="H37" i="1" l="1"/>
  <c r="H45" i="1" s="1"/>
  <c r="F49" i="1" l="1"/>
  <c r="H51" i="1"/>
  <c r="H52" i="1"/>
  <c r="H63" i="1" l="1"/>
  <c r="H67" i="1"/>
  <c r="D97" i="1" s="1"/>
  <c r="H64" i="1"/>
  <c r="H65" i="1"/>
  <c r="H49" i="1"/>
  <c r="E49" i="1"/>
  <c r="H66" i="1" l="1"/>
  <c r="H75" i="1" s="1"/>
  <c r="E97" i="1"/>
  <c r="H97" i="1"/>
  <c r="E78" i="1" l="1"/>
  <c r="F87" i="1"/>
  <c r="H80" i="1" l="1"/>
  <c r="H78" i="1"/>
  <c r="H81" i="1" l="1"/>
  <c r="H82" i="1" l="1"/>
  <c r="H83" i="1"/>
  <c r="H100" i="1" l="1"/>
  <c r="H101" i="1"/>
  <c r="D87" i="1"/>
  <c r="H102" i="1" l="1"/>
  <c r="D104" i="1" s="1"/>
  <c r="H104" i="1" s="1"/>
  <c r="E87" i="1"/>
  <c r="H87" i="1"/>
  <c r="E104" i="1" l="1"/>
</calcChain>
</file>

<file path=xl/sharedStrings.xml><?xml version="1.0" encoding="utf-8"?>
<sst xmlns="http://schemas.openxmlformats.org/spreadsheetml/2006/main" count="171" uniqueCount="132">
  <si>
    <t>NO.</t>
  </si>
  <si>
    <t>EXPLANATORY</t>
  </si>
  <si>
    <t>FORMULA</t>
  </si>
  <si>
    <t>VALUE</t>
  </si>
  <si>
    <t>UNIT</t>
  </si>
  <si>
    <t>A.</t>
  </si>
  <si>
    <t>INPUT DATA PERENCANAAN</t>
  </si>
  <si>
    <t>Data Bahan Struktur</t>
  </si>
  <si>
    <t>Kuat tekan beton,</t>
  </si>
  <si>
    <r>
      <t>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</si>
  <si>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t>MPa</t>
  </si>
  <si>
    <t xml:space="preserve">Tegangan leleh baja untuk tulangan lentur, </t>
  </si>
  <si>
    <r>
      <t>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</si>
  <si>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Modulus elastis baja,</t>
  </si>
  <si>
    <r>
      <t>E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</si>
  <si>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Data Dimensi Pelat Lantai</t>
  </si>
  <si>
    <t xml:space="preserve">m </t>
  </si>
  <si>
    <t>h =</t>
  </si>
  <si>
    <t>mm</t>
  </si>
  <si>
    <t>P =</t>
  </si>
  <si>
    <t>Tebal bersih selimut beton,</t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</si>
  <si>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</si>
  <si>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Data Beban Pelat Lantai</t>
  </si>
  <si>
    <t>Gaya pada Pelat Akibat Beban Terfaktor</t>
  </si>
  <si>
    <r>
      <t>M</t>
    </r>
    <r>
      <rPr>
        <vertAlign val="subscript"/>
        <sz val="11"/>
        <rFont val="Calibri"/>
        <family val="2"/>
        <scheme val="minor"/>
      </rPr>
      <t>uly</t>
    </r>
    <r>
      <rPr>
        <sz val="11"/>
        <rFont val="Calibri"/>
        <family val="2"/>
        <scheme val="minor"/>
      </rPr>
      <t xml:space="preserve"> =</t>
    </r>
  </si>
  <si>
    <t>B.</t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</si>
  <si>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         </t>
    </r>
  </si>
  <si>
    <t xml:space="preserve">Faktor bentuk distribusi tegangan beton,            </t>
  </si>
  <si>
    <t>→</t>
  </si>
  <si>
    <r>
      <t xml:space="preserve">Rasio tulangan pada kondisi </t>
    </r>
    <r>
      <rPr>
        <i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>,</t>
    </r>
  </si>
  <si>
    <t>Rasio tulangan maksimum,</t>
  </si>
  <si>
    <t>Rasio tulangan minimum,</t>
  </si>
  <si>
    <t>syarat 1 :</t>
  </si>
  <si>
    <t>syarat 2 :</t>
  </si>
  <si>
    <r>
      <t>M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</si>
  <si>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t>kN</t>
  </si>
  <si>
    <t>ρ =</t>
  </si>
  <si>
    <t>Kontrol nilai rasio tulangan perlu,</t>
  </si>
  <si>
    <t>Syarat :</t>
  </si>
  <si>
    <r>
      <t>ρ</t>
    </r>
    <r>
      <rPr>
        <vertAlign val="subscript"/>
        <sz val="11"/>
        <rFont val="Calibri"/>
        <family val="2"/>
        <scheme val="minor"/>
      </rPr>
      <t>min</t>
    </r>
  </si>
  <si>
    <t>ρ</t>
  </si>
  <si>
    <r>
      <t>ρ</t>
    </r>
    <r>
      <rPr>
        <vertAlign val="subscript"/>
        <sz val="11"/>
        <rFont val="Calibri"/>
        <family val="2"/>
        <scheme val="minor"/>
      </rPr>
      <t>maks</t>
    </r>
  </si>
  <si>
    <t>Luas tulangan yang diperlukan,</t>
  </si>
  <si>
    <r>
      <t>mm</t>
    </r>
    <r>
      <rPr>
        <vertAlign val="superscript"/>
        <sz val="11"/>
        <rFont val="Calibri"/>
        <family val="2"/>
        <scheme val="minor"/>
      </rPr>
      <t>2</t>
    </r>
  </si>
  <si>
    <t>Digunakan tulangan,</t>
  </si>
  <si>
    <t>-</t>
  </si>
  <si>
    <t>Luas tulangan terpakai,</t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</si>
  <si>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* M</t>
    </r>
    <r>
      <rPr>
        <vertAlign val="subscript"/>
        <sz val="11"/>
        <rFont val="Calibri"/>
        <family val="2"/>
        <scheme val="minor"/>
      </rPr>
      <t>n</t>
    </r>
  </si>
  <si>
    <t>≥</t>
  </si>
  <si>
    <r>
      <t>M</t>
    </r>
    <r>
      <rPr>
        <vertAlign val="subscript"/>
        <sz val="11"/>
        <rFont val="Calibri"/>
        <family val="2"/>
        <scheme val="minor"/>
      </rPr>
      <t>u</t>
    </r>
  </si>
  <si>
    <t>Lendutan elastis seketika akibat beban mati dan beban hidup :</t>
  </si>
  <si>
    <t>Lendutan jangka panjang akibat rangkak dan susut  :</t>
  </si>
  <si>
    <t>Lendutan total,</t>
  </si>
  <si>
    <r>
      <rPr>
        <sz val="11"/>
        <rFont val="Calibri"/>
        <family val="2"/>
      </rPr>
      <t>δ</t>
    </r>
    <r>
      <rPr>
        <vertAlign val="subscript"/>
        <sz val="11"/>
        <rFont val="Calibri"/>
        <family val="2"/>
        <scheme val="minor"/>
      </rPr>
      <t>tot</t>
    </r>
    <r>
      <rPr>
        <sz val="11"/>
        <rFont val="Calibri"/>
        <family val="2"/>
        <scheme val="minor"/>
      </rPr>
      <t xml:space="preserve"> = </t>
    </r>
    <r>
      <rPr>
        <sz val="11"/>
        <rFont val="Calibri"/>
        <family val="2"/>
      </rPr>
      <t>δ</t>
    </r>
    <r>
      <rPr>
        <vertAlign val="sub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+ </t>
    </r>
    <r>
      <rPr>
        <sz val="11"/>
        <rFont val="Calibri"/>
        <family val="2"/>
      </rPr>
      <t>δ</t>
    </r>
    <r>
      <rPr>
        <vertAlign val="subscript"/>
        <sz val="11"/>
        <rFont val="Calibri"/>
        <family val="2"/>
        <scheme val="minor"/>
      </rPr>
      <t>g</t>
    </r>
    <r>
      <rPr>
        <sz val="11"/>
        <rFont val="Calibri"/>
        <family val="2"/>
        <scheme val="minor"/>
      </rPr>
      <t xml:space="preserve"> =</t>
    </r>
  </si>
  <si>
    <r>
      <rPr>
        <sz val="11"/>
        <rFont val="Calibri"/>
        <family val="2"/>
      </rPr>
      <t>δ</t>
    </r>
    <r>
      <rPr>
        <vertAlign val="subscript"/>
        <sz val="11"/>
        <rFont val="Calibri"/>
        <family val="2"/>
        <scheme val="minor"/>
      </rPr>
      <t>tot</t>
    </r>
  </si>
  <si>
    <t>≤</t>
  </si>
  <si>
    <t>No</t>
  </si>
  <si>
    <t>Jenis Beban Mati</t>
  </si>
  <si>
    <t>Berat satuan</t>
  </si>
  <si>
    <t>Tebal (m)</t>
  </si>
  <si>
    <r>
      <t xml:space="preserve">Berat </t>
    </r>
    <r>
      <rPr>
        <i/>
        <sz val="11"/>
        <rFont val="Calibri"/>
        <family val="2"/>
        <scheme val="minor"/>
      </rPr>
      <t>finishing</t>
    </r>
    <r>
      <rPr>
        <sz val="11"/>
        <rFont val="Calibri"/>
        <family val="2"/>
        <scheme val="minor"/>
      </rPr>
      <t xml:space="preserve"> lantai (kN/m</t>
    </r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)</t>
    </r>
  </si>
  <si>
    <r>
      <t>Berat plafon dan rangka (kN/m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</si>
  <si>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r>
      <t>Berat instalasi ME (kN/m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</si>
  <si>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Total beban mati,</t>
  </si>
  <si>
    <t>Beban hidup pada lantai bangunan =</t>
  </si>
  <si>
    <r>
      <t>kN/m</t>
    </r>
    <r>
      <rPr>
        <vertAlign val="superscript"/>
        <sz val="11"/>
        <rFont val="Calibri"/>
        <family val="2"/>
        <scheme val="minor"/>
      </rPr>
      <t>2</t>
    </r>
  </si>
  <si>
    <r>
      <t>Berat waterprofing (kN/m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>)</t>
    </r>
  </si>
  <si>
    <r>
      <t>Berat genangan air (kN/m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charset val="1"/>
        <scheme val="minor"/>
      </rPr>
      <t>)</t>
    </r>
  </si>
  <si>
    <r>
      <t>L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</t>
    </r>
  </si>
  <si>
    <r>
      <t>B</t>
    </r>
    <r>
      <rPr>
        <vertAlign val="subscript"/>
        <sz val="11"/>
        <rFont val="Calibri"/>
        <family val="2"/>
        <scheme val="minor"/>
      </rPr>
      <t>p</t>
    </r>
    <r>
      <rPr>
        <sz val="11"/>
        <rFont val="Calibri"/>
        <family val="2"/>
        <scheme val="minor"/>
      </rPr>
      <t xml:space="preserve"> =</t>
    </r>
  </si>
  <si>
    <t>Tipe pelat yang ditinjau,</t>
  </si>
  <si>
    <t>Pelat 1</t>
  </si>
  <si>
    <t>Lebar balok pada pelat yang ditinjau,</t>
  </si>
  <si>
    <t>Balok kiri :</t>
  </si>
  <si>
    <t>Balok kanan :</t>
  </si>
  <si>
    <t>Penulangan Tulangan Utama Pelat Lantai</t>
  </si>
  <si>
    <t>Penulangan Tulangan Susut Pelat Lantai</t>
  </si>
  <si>
    <t>Tebal pelat lantai,</t>
  </si>
  <si>
    <t>Berat sendiri pelat lantai (kN/m3)</t>
  </si>
  <si>
    <t>PENULANGAN PELAT LANTAI</t>
  </si>
  <si>
    <r>
      <t>M</t>
    </r>
    <r>
      <rPr>
        <vertAlign val="subscript"/>
        <sz val="11"/>
        <rFont val="Calibri"/>
        <family val="2"/>
        <scheme val="minor"/>
      </rPr>
      <t>ut</t>
    </r>
    <r>
      <rPr>
        <sz val="11"/>
        <rFont val="Calibri"/>
        <family val="2"/>
        <scheme val="minor"/>
      </rPr>
      <t xml:space="preserve"> =</t>
    </r>
  </si>
  <si>
    <t>Beban terbagi rata akibat beban mati untuk lebar 1 m,</t>
  </si>
  <si>
    <t>Beban terbagi rata akibat beban hidup untuk lebar 1 m,</t>
  </si>
  <si>
    <t>kN/m</t>
  </si>
  <si>
    <t>kNm</t>
  </si>
  <si>
    <t>Kontrol rasio beban hidup terhadap 3 kali beban mati,</t>
  </si>
  <si>
    <t>&lt;</t>
  </si>
  <si>
    <r>
      <t>W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 1,2 * W</t>
    </r>
    <r>
      <rPr>
        <vertAlign val="subscript"/>
        <sz val="11"/>
        <rFont val="Calibri"/>
        <family val="2"/>
        <scheme val="minor"/>
      </rPr>
      <t>D</t>
    </r>
    <r>
      <rPr>
        <sz val="11"/>
        <rFont val="Calibri"/>
        <family val="2"/>
        <scheme val="minor"/>
      </rPr>
      <t xml:space="preserve"> + 1,6 * W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=</t>
    </r>
  </si>
  <si>
    <r>
      <t>W</t>
    </r>
    <r>
      <rPr>
        <vertAlign val="subscript"/>
        <sz val="11"/>
        <rFont val="Calibri"/>
        <family val="2"/>
        <scheme val="minor"/>
      </rPr>
      <t>L</t>
    </r>
  </si>
  <si>
    <r>
      <t>3 * W</t>
    </r>
    <r>
      <rPr>
        <vertAlign val="subscript"/>
        <sz val="11"/>
        <rFont val="Calibri"/>
        <family val="2"/>
        <scheme val="minor"/>
      </rPr>
      <t>D</t>
    </r>
  </si>
  <si>
    <r>
      <t>W</t>
    </r>
    <r>
      <rPr>
        <vertAlign val="subscript"/>
        <sz val="11"/>
        <rFont val="Calibri"/>
        <family val="2"/>
        <scheme val="minor"/>
      </rPr>
      <t>D</t>
    </r>
    <r>
      <rPr>
        <sz val="11"/>
        <rFont val="Calibri"/>
        <family val="2"/>
        <scheme val="minor"/>
      </rPr>
      <t xml:space="preserve"> =</t>
    </r>
  </si>
  <si>
    <r>
      <t>W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=</t>
    </r>
  </si>
  <si>
    <t>Beban total akibat kombinasi beban terfaktor,</t>
  </si>
  <si>
    <t>Beban total akibat kombinasi beban layan,</t>
  </si>
  <si>
    <r>
      <t>W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 1,0 * W</t>
    </r>
    <r>
      <rPr>
        <vertAlign val="subscript"/>
        <sz val="11"/>
        <rFont val="Calibri"/>
        <family val="2"/>
        <scheme val="minor"/>
      </rPr>
      <t>D</t>
    </r>
    <r>
      <rPr>
        <sz val="11"/>
        <rFont val="Calibri"/>
        <family val="2"/>
        <scheme val="minor"/>
      </rPr>
      <t xml:space="preserve"> + 1,0 * W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=</t>
    </r>
  </si>
  <si>
    <t>Panjang bentang pelat arah memanjang,</t>
  </si>
  <si>
    <t>Panjang bentang pelat arah melebar,</t>
  </si>
  <si>
    <t>Panjang bentang bersih arah melebar,</t>
  </si>
  <si>
    <t>m</t>
  </si>
  <si>
    <t>Gaya momen tinjau akibat kombinasi beban terfaktor,</t>
  </si>
  <si>
    <r>
      <t>B</t>
    </r>
    <r>
      <rPr>
        <vertAlign val="subscript"/>
        <sz val="11"/>
        <rFont val="Calibri"/>
        <family val="2"/>
        <scheme val="minor"/>
      </rPr>
      <t xml:space="preserve">p </t>
    </r>
    <r>
      <rPr>
        <sz val="11"/>
        <rFont val="Calibri"/>
        <family val="2"/>
        <scheme val="minor"/>
      </rPr>
      <t>/ 240</t>
    </r>
  </si>
  <si>
    <r>
      <t>ρ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=</t>
    </r>
  </si>
  <si>
    <t>Rasio tulangan perlu,</t>
  </si>
  <si>
    <t>Nilai rasio tulangan pakai,</t>
  </si>
  <si>
    <r>
      <t>V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</si>
  <si>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t>Nilai rasio tulangan minimum,</t>
  </si>
  <si>
    <r>
      <rPr>
        <i/>
        <sz val="11"/>
        <rFont val="Calibri"/>
        <family val="2"/>
      </rPr>
      <t>φ</t>
    </r>
    <r>
      <rPr>
        <sz val="11"/>
        <rFont val="Calibri"/>
        <family val="2"/>
        <scheme val="minor"/>
      </rPr>
      <t xml:space="preserve"> * V</t>
    </r>
    <r>
      <rPr>
        <vertAlign val="subscript"/>
        <sz val="11"/>
        <rFont val="Calibri"/>
        <family val="2"/>
        <scheme val="minor"/>
      </rPr>
      <t>c</t>
    </r>
  </si>
  <si>
    <r>
      <t>V</t>
    </r>
    <r>
      <rPr>
        <vertAlign val="subscript"/>
        <sz val="11"/>
        <rFont val="Calibri"/>
        <family val="2"/>
        <scheme val="minor"/>
      </rPr>
      <t>u</t>
    </r>
  </si>
  <si>
    <t>Kontrol gaya geser ultimin terhadap tahanan geser beton,</t>
  </si>
  <si>
    <t>Diameter tulangan utama yang digunakan,</t>
  </si>
  <si>
    <t>Diameter tulangan susut yang digunakan,</t>
  </si>
  <si>
    <r>
      <t>W</t>
    </r>
    <r>
      <rPr>
        <vertAlign val="subscript"/>
        <sz val="11"/>
        <color theme="0"/>
        <rFont val="Calibri"/>
        <family val="2"/>
        <scheme val="minor"/>
      </rPr>
      <t>D</t>
    </r>
    <r>
      <rPr>
        <sz val="11"/>
        <color theme="0"/>
        <rFont val="Calibri"/>
        <family val="2"/>
        <scheme val="minor"/>
      </rPr>
      <t xml:space="preserve"> =</t>
    </r>
  </si>
  <si>
    <r>
      <t>W (kN/m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</si>
  <si>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t>Ln =</t>
  </si>
  <si>
    <r>
      <t>ρ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</si>
  <si>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r>
      <t>ρ</t>
    </r>
    <r>
      <rPr>
        <sz val="1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</si>
  <si>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</si>
  <si>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(perlu) =</t>
    </r>
  </si>
  <si>
    <r>
      <t xml:space="preserve">     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(pakai)=</t>
    </r>
  </si>
  <si>
    <t>Kontrol kapasitas momen nominal terhadap momen ultimit akibat kombinasi beban,</t>
  </si>
  <si>
    <r>
      <t>ρ</t>
    </r>
    <r>
      <rPr>
        <vertAlign val="subscript"/>
        <sz val="11"/>
        <rFont val="Calibri"/>
        <family val="2"/>
        <scheme val="minor"/>
      </rPr>
      <t>maks</t>
    </r>
    <r>
      <rPr>
        <sz val="11"/>
        <rFont val="Calibri"/>
        <family val="2"/>
        <scheme val="minor"/>
      </rPr>
      <t xml:space="preserve"> =</t>
    </r>
  </si>
  <si>
    <r>
      <rPr>
        <sz val="11"/>
        <rFont val="Calibri"/>
        <family val="2"/>
      </rPr>
      <t>δ</t>
    </r>
    <r>
      <rPr>
        <vertAlign val="subscript"/>
        <sz val="11"/>
        <rFont val="Calibri"/>
        <family val="2"/>
        <scheme val="minor"/>
      </rPr>
      <t>e</t>
    </r>
    <r>
      <rPr>
        <sz val="11"/>
        <rFont val="Calibri"/>
        <family val="2"/>
        <scheme val="minor"/>
      </rPr>
      <t xml:space="preserve"> =</t>
    </r>
  </si>
  <si>
    <r>
      <rPr>
        <sz val="11"/>
        <rFont val="Calibri"/>
        <family val="2"/>
      </rPr>
      <t>δ</t>
    </r>
    <r>
      <rPr>
        <vertAlign val="subscript"/>
        <sz val="11"/>
        <rFont val="Calibri"/>
        <family val="2"/>
        <scheme val="minor"/>
      </rPr>
      <t>g</t>
    </r>
    <r>
      <rPr>
        <sz val="11"/>
        <rFont val="Calibri"/>
        <family val="2"/>
        <scheme val="minor"/>
      </rPr>
      <t xml:space="preserve"> =</t>
    </r>
  </si>
  <si>
    <t>Analisa Kapasitas Geser</t>
  </si>
  <si>
    <t>1.</t>
  </si>
  <si>
    <t>2.</t>
  </si>
  <si>
    <t>3.</t>
  </si>
  <si>
    <t>4.</t>
  </si>
  <si>
    <t>5.</t>
  </si>
  <si>
    <t>Kontrol Lendutan Pelat</t>
  </si>
  <si>
    <r>
      <t>A. BEBAN MATI (</t>
    </r>
    <r>
      <rPr>
        <b/>
        <i/>
        <sz val="11"/>
        <rFont val="Calibri"/>
        <family val="2"/>
        <scheme val="minor"/>
      </rPr>
      <t>DEAD LOAD</t>
    </r>
    <r>
      <rPr>
        <b/>
        <sz val="11"/>
        <rFont val="Calibri"/>
        <family val="2"/>
        <scheme val="minor"/>
      </rPr>
      <t>)</t>
    </r>
  </si>
  <si>
    <r>
      <t>B. BEBAN HIDUP (</t>
    </r>
    <r>
      <rPr>
        <b/>
        <i/>
        <sz val="11"/>
        <rFont val="Calibri"/>
        <family val="2"/>
        <scheme val="minor"/>
      </rPr>
      <t>LIVE LOAD</t>
    </r>
    <r>
      <rPr>
        <b/>
        <sz val="1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</si>
</sst>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4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color theme="0"/>
      <name val="Calibri Light"/>
      <family val="2"/>
      <scheme val="major"/>
    </font>
    <font>
      <b/>
      <sz val="11"/>
      <name val="Calibri"/>
      <family val="2"/>
      <charset val="1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vertAlign val="superscript"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2" fontId="5" fillId="0" borderId="6" xfId="1" applyNumberFormat="1" applyFont="1" applyBorder="1" applyAlignment="1">
      <alignment horizontal="center" vertical="center"/>
    </xf>
    <xf numFmtId="164" fontId="5" fillId="5" borderId="2" xfId="1" applyNumberFormat="1" applyFont="1" applyFill="1" applyBorder="1" applyAlignment="1">
      <alignment horizontal="center" vertical="center"/>
    </xf>
    <xf numFmtId="164" fontId="5" fillId="6" borderId="2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4" fillId="7" borderId="2" xfId="1" applyNumberFormat="1" applyFont="1" applyFill="1" applyBorder="1" applyAlignment="1" applyProtection="1">
      <alignment horizontal="center" vertical="center"/>
      <protection locked="0"/>
    </xf>
    <xf numFmtId="0" fontId="4" fillId="7" borderId="2" xfId="1" applyFont="1" applyFill="1" applyBorder="1" applyAlignment="1" applyProtection="1">
      <alignment horizontal="center" vertical="center"/>
      <protection locked="0"/>
    </xf>
    <xf numFmtId="0" fontId="4" fillId="7" borderId="2" xfId="1" applyFont="1" applyFill="1" applyBorder="1" applyAlignment="1">
      <alignment horizontal="center" vertical="center"/>
    </xf>
    <xf numFmtId="2" fontId="4" fillId="7" borderId="2" xfId="1" applyNumberFormat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left" vertical="center" indent="1"/>
    </xf>
    <xf numFmtId="0" fontId="5" fillId="4" borderId="4" xfId="1" applyFont="1" applyFill="1" applyBorder="1" applyAlignment="1">
      <alignment horizontal="left" vertical="center" indent="1"/>
    </xf>
    <xf numFmtId="0" fontId="5" fillId="4" borderId="5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center" vertical="center"/>
    </xf>
    <xf numFmtId="0" fontId="4" fillId="7" borderId="2" xfId="1" quotePrefix="1" applyFont="1" applyFill="1" applyBorder="1" applyAlignment="1">
      <alignment horizontal="center" vertical="center"/>
    </xf>
    <xf numFmtId="0" fontId="17" fillId="8" borderId="2" xfId="1" applyFont="1" applyFill="1" applyBorder="1" applyAlignment="1">
      <alignment horizontal="center" vertical="center"/>
    </xf>
    <xf numFmtId="0" fontId="20" fillId="8" borderId="5" xfId="1" applyFont="1" applyFill="1" applyBorder="1" applyAlignment="1">
      <alignment horizontal="right" vertical="center"/>
    </xf>
    <xf numFmtId="164" fontId="5" fillId="0" borderId="0" xfId="1" applyNumberFormat="1" applyFont="1" applyAlignment="1">
      <alignment horizontal="center" vertical="center"/>
    </xf>
    <xf numFmtId="164" fontId="5" fillId="0" borderId="2" xfId="1" applyNumberFormat="1" applyFont="1" applyBorder="1" applyAlignment="1" applyProtection="1">
      <alignment horizontal="center" vertical="center"/>
      <protection locked="0"/>
    </xf>
    <xf numFmtId="164" fontId="5" fillId="0" borderId="0" xfId="1" applyNumberFormat="1" applyFont="1" applyAlignment="1" applyProtection="1">
      <alignment horizontal="center" vertical="center"/>
      <protection locked="0"/>
    </xf>
    <xf numFmtId="0" fontId="22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indent="1"/>
    </xf>
    <xf numFmtId="0" fontId="5" fillId="0" borderId="7" xfId="1" applyFont="1" applyBorder="1" applyAlignment="1">
      <alignment horizontal="left" vertical="center"/>
    </xf>
    <xf numFmtId="0" fontId="5" fillId="0" borderId="0" xfId="1" applyFont="1" applyAlignment="1">
      <alignment horizontal="left" vertical="center" indent="1"/>
    </xf>
    <xf numFmtId="0" fontId="3" fillId="0" borderId="6" xfId="1" applyFont="1" applyBorder="1" applyAlignment="1">
      <alignment horizontal="center" vertical="center"/>
    </xf>
    <xf numFmtId="0" fontId="4" fillId="3" borderId="0" xfId="1" applyFont="1" applyFill="1" applyAlignment="1">
      <alignment vertical="center"/>
    </xf>
    <xf numFmtId="0" fontId="5" fillId="3" borderId="0" xfId="1" applyFont="1" applyFill="1" applyAlignment="1">
      <alignment horizontal="center" vertical="center"/>
    </xf>
    <xf numFmtId="0" fontId="4" fillId="3" borderId="0" xfId="1" applyFont="1" applyFill="1" applyAlignment="1">
      <alignment horizontal="right" vertical="center"/>
    </xf>
    <xf numFmtId="2" fontId="6" fillId="3" borderId="0" xfId="1" applyNumberFormat="1" applyFont="1" applyFill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5" fillId="3" borderId="0" xfId="1" applyFont="1" applyFill="1" applyAlignment="1">
      <alignment vertical="center"/>
    </xf>
    <xf numFmtId="0" fontId="5" fillId="3" borderId="7" xfId="1" applyFont="1" applyFill="1" applyBorder="1" applyAlignment="1">
      <alignment horizontal="left" vertical="center"/>
    </xf>
    <xf numFmtId="0" fontId="4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0" fontId="4" fillId="4" borderId="0" xfId="1" applyFont="1" applyFill="1" applyAlignment="1">
      <alignment horizontal="right" vertical="center"/>
    </xf>
    <xf numFmtId="2" fontId="6" fillId="4" borderId="0" xfId="1" applyNumberFormat="1" applyFont="1" applyFill="1" applyAlignment="1">
      <alignment horizontal="center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7" xfId="1" applyFont="1" applyFill="1" applyBorder="1" applyAlignment="1">
      <alignment horizontal="left" vertical="center"/>
    </xf>
    <xf numFmtId="2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5" fillId="4" borderId="0" xfId="1" applyFont="1" applyFill="1" applyAlignment="1">
      <alignment horizontal="right" vertical="center"/>
    </xf>
    <xf numFmtId="0" fontId="8" fillId="4" borderId="0" xfId="1" applyFont="1" applyFill="1" applyAlignment="1">
      <alignment horizontal="center" vertical="center"/>
    </xf>
    <xf numFmtId="0" fontId="0" fillId="0" borderId="7" xfId="0" applyBorder="1" applyAlignment="1">
      <alignment vertical="center"/>
    </xf>
    <xf numFmtId="0" fontId="4" fillId="0" borderId="0" xfId="1" applyFont="1" applyAlignment="1">
      <alignment vertical="center"/>
    </xf>
    <xf numFmtId="0" fontId="0" fillId="4" borderId="0" xfId="0" applyFill="1" applyAlignment="1">
      <alignment horizontal="left" vertical="center" indent="1"/>
    </xf>
    <xf numFmtId="0" fontId="4" fillId="7" borderId="0" xfId="0" applyFont="1" applyFill="1" applyAlignment="1">
      <alignment horizontal="center" vertical="center"/>
    </xf>
    <xf numFmtId="0" fontId="5" fillId="3" borderId="0" xfId="1" applyFont="1" applyFill="1" applyAlignment="1">
      <alignment horizontal="right" vertical="center"/>
    </xf>
    <xf numFmtId="0" fontId="8" fillId="3" borderId="0" xfId="1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7" xfId="0" applyBorder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2" fontId="12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horizontal="right" vertical="center"/>
    </xf>
    <xf numFmtId="2" fontId="5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right" vertical="center"/>
    </xf>
    <xf numFmtId="165" fontId="5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164" fontId="5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5" fillId="0" borderId="8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12" fillId="0" borderId="8" xfId="1" applyFont="1" applyBorder="1" applyAlignment="1">
      <alignment vertical="center"/>
    </xf>
    <xf numFmtId="164" fontId="5" fillId="0" borderId="9" xfId="1" applyNumberFormat="1" applyFont="1" applyBorder="1" applyAlignment="1">
      <alignment horizontal="left" vertical="center"/>
    </xf>
    <xf numFmtId="0" fontId="9" fillId="0" borderId="8" xfId="1" applyFont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1" fontId="5" fillId="5" borderId="5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7" fillId="8" borderId="3" xfId="1" applyFont="1" applyFill="1" applyBorder="1" applyAlignment="1">
      <alignment horizontal="right" vertical="center"/>
    </xf>
    <xf numFmtId="0" fontId="17" fillId="8" borderId="4" xfId="1" applyFont="1" applyFill="1" applyBorder="1" applyAlignment="1">
      <alignment horizontal="right" vertical="center"/>
    </xf>
    <xf numFmtId="0" fontId="17" fillId="8" borderId="3" xfId="1" applyFont="1" applyFill="1" applyBorder="1" applyAlignment="1">
      <alignment horizontal="center" vertical="center"/>
    </xf>
    <xf numFmtId="0" fontId="17" fillId="8" borderId="4" xfId="1" applyFont="1" applyFill="1" applyBorder="1" applyAlignment="1">
      <alignment horizontal="center" vertical="center"/>
    </xf>
    <xf numFmtId="0" fontId="17" fillId="8" borderId="5" xfId="1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left" vertical="center" indent="1"/>
    </xf>
    <xf numFmtId="0" fontId="5" fillId="4" borderId="4" xfId="1" applyFont="1" applyFill="1" applyBorder="1" applyAlignment="1">
      <alignment horizontal="left" vertical="center" indent="1"/>
    </xf>
    <xf numFmtId="0" fontId="5" fillId="4" borderId="5" xfId="1" applyFont="1" applyFill="1" applyBorder="1" applyAlignment="1">
      <alignment horizontal="left" vertical="center" indent="1"/>
    </xf>
    <xf numFmtId="0" fontId="5" fillId="0" borderId="2" xfId="1" quotePrefix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left" vertical="center"/>
    </xf>
    <xf numFmtId="1" fontId="5" fillId="0" borderId="2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9F6AC422-46F9-4119-BC04-0842AF892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8</xdr:row>
      <xdr:rowOff>9525</xdr:rowOff>
    </xdr:from>
    <xdr:to>
      <xdr:col>7</xdr:col>
      <xdr:colOff>649275</xdr:colOff>
      <xdr:row>15</xdr:row>
      <xdr:rowOff>226956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0D6580-4535-43B9-A2F8-099E29122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825" y="1914525"/>
          <a:ext cx="5688000" cy="1884306"/>
        </a:xfrm>
        <a:prstGeom prst="rect">
          <a:avLst/>
        </a:prstGeom>
      </xdr:spPr>
    </xdr:pic>
    <xdr:clientData/>
  </xdr:twoCellAnchor>
  <xdr:twoCellAnchor>
    <xdr:from>
      <xdr:col>3</xdr:col>
      <xdr:colOff>773430</xdr:colOff>
      <xdr:row>76</xdr:row>
      <xdr:rowOff>0</xdr:rowOff>
    </xdr:from>
    <xdr:to>
      <xdr:col>4</xdr:col>
      <xdr:colOff>207645</xdr:colOff>
      <xdr:row>77</xdr:row>
      <xdr:rowOff>22860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4A434CC-1827-4C44-92EA-B9BE299EABCB}"/>
            </a:ext>
          </a:extLst>
        </xdr:cNvPr>
        <xdr:cNvSpPr txBox="1"/>
      </xdr:nvSpPr>
      <xdr:spPr>
        <a:xfrm>
          <a:off x="3030855" y="9906000"/>
          <a:ext cx="33909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750570</xdr:colOff>
      <xdr:row>76</xdr:row>
      <xdr:rowOff>0</xdr:rowOff>
    </xdr:from>
    <xdr:to>
      <xdr:col>5</xdr:col>
      <xdr:colOff>127635</xdr:colOff>
      <xdr:row>77</xdr:row>
      <xdr:rowOff>22860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82F11D0-7203-49F5-A88D-AB14E278C8F8}"/>
            </a:ext>
          </a:extLst>
        </xdr:cNvPr>
        <xdr:cNvSpPr txBox="1"/>
      </xdr:nvSpPr>
      <xdr:spPr>
        <a:xfrm>
          <a:off x="3912870" y="9906000"/>
          <a:ext cx="281940" cy="213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3</xdr:col>
      <xdr:colOff>767715</xdr:colOff>
      <xdr:row>76</xdr:row>
      <xdr:rowOff>198120</xdr:rowOff>
    </xdr:from>
    <xdr:to>
      <xdr:col>4</xdr:col>
      <xdr:colOff>192405</xdr:colOff>
      <xdr:row>78</xdr:row>
      <xdr:rowOff>40005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62DBAC9B-7839-4AA3-8EF4-7F26155746D6}"/>
            </a:ext>
          </a:extLst>
        </xdr:cNvPr>
        <xdr:cNvSpPr txBox="1"/>
      </xdr:nvSpPr>
      <xdr:spPr>
        <a:xfrm>
          <a:off x="3025140" y="10094595"/>
          <a:ext cx="329565" cy="232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twoCellAnchor>
    <xdr:from>
      <xdr:col>4</xdr:col>
      <xdr:colOff>754380</xdr:colOff>
      <xdr:row>76</xdr:row>
      <xdr:rowOff>198120</xdr:rowOff>
    </xdr:from>
    <xdr:to>
      <xdr:col>5</xdr:col>
      <xdr:colOff>112395</xdr:colOff>
      <xdr:row>78</xdr:row>
      <xdr:rowOff>40005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C57E40B-8EEF-4AF0-B236-58B2D99B8874}"/>
            </a:ext>
          </a:extLst>
        </xdr:cNvPr>
        <xdr:cNvSpPr txBox="1"/>
      </xdr:nvSpPr>
      <xdr:spPr>
        <a:xfrm>
          <a:off x="3916680" y="10094595"/>
          <a:ext cx="262890" cy="2324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 baseline="30000"/>
        </a:p>
      </xdr:txBody>
    </xdr:sp>
    <xdr:clientData/>
  </xdr:twoCellAnchor>
  <xdr:oneCellAnchor>
    <xdr:from>
      <xdr:col>1</xdr:col>
      <xdr:colOff>476250</xdr:colOff>
      <xdr:row>52</xdr:row>
      <xdr:rowOff>19050</xdr:rowOff>
    </xdr:from>
    <xdr:ext cx="5760000" cy="1828800"/>
    <xdr:pic>
      <xdr:nvPicPr>
        <xdr:cNvPr id="11" name="Picture 10">
          <a:extLst>
            <a:ext uri="{FF2B5EF4-FFF2-40B4-BE49-F238E27FC236}">
              <a16:creationId xmlns:a16="http://schemas.microsoft.com/office/drawing/2014/main" id="{6F68DDF3-5855-4AEC-8877-9C20CA01A7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3903"/>
        <a:stretch/>
      </xdr:blipFill>
      <xdr:spPr>
        <a:xfrm>
          <a:off x="923925" y="2305050"/>
          <a:ext cx="5760000" cy="18288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F824C-3D2C-4A34-99E5-25C770B7FE30}">
  <dimension ref="A1:I105"/>
  <sheetViews>
    <sheetView showGridLines="0" tabSelected="1" topLeftCell="A73" workbookViewId="0">
      <selection activeCell="M89" sqref="M89"/>
    </sheetView>
  </sheetViews>
  <sheetFormatPr defaultRowHeight="18.75" customHeight="1" x14ac:dyDescent="0.25"/>
  <cols>
    <col min="1" max="1" width="6.7109375" style="12" customWidth="1"/>
    <col min="2" max="6" width="13.5703125" style="12" customWidth="1"/>
    <col min="7" max="7" width="14.28515625" style="12" customWidth="1"/>
    <col min="8" max="8" width="17.140625" style="12" customWidth="1"/>
    <col min="9" max="9" width="12.140625" style="12" customWidth="1"/>
    <col min="10" max="16384" width="9.140625" style="12"/>
  </cols>
  <sheetData>
    <row r="1" spans="1:9" ht="18.75" customHeight="1" x14ac:dyDescent="0.25">
      <c r="A1" s="1" t="s">
        <v>0</v>
      </c>
      <c r="B1" s="87" t="s">
        <v>1</v>
      </c>
      <c r="C1" s="87"/>
      <c r="D1" s="87"/>
      <c r="E1" s="87"/>
      <c r="F1" s="87"/>
      <c r="G1" s="1" t="s">
        <v>2</v>
      </c>
      <c r="H1" s="1" t="s">
        <v>3</v>
      </c>
      <c r="I1" s="1" t="s">
        <v>4</v>
      </c>
    </row>
    <row r="2" spans="1:9" ht="18.75" customHeight="1" x14ac:dyDescent="0.25">
      <c r="A2" s="2" t="s">
        <v>5</v>
      </c>
      <c r="B2" s="34" t="s">
        <v>6</v>
      </c>
      <c r="C2" s="35"/>
      <c r="D2" s="35"/>
      <c r="E2" s="36"/>
      <c r="F2" s="37"/>
      <c r="G2" s="38"/>
      <c r="H2" s="39"/>
      <c r="I2" s="40"/>
    </row>
    <row r="3" spans="1:9" ht="18.75" customHeight="1" x14ac:dyDescent="0.25">
      <c r="A3" s="3" t="s">
        <v>124</v>
      </c>
      <c r="B3" s="41" t="s">
        <v>7</v>
      </c>
      <c r="C3" s="42"/>
      <c r="D3" s="42"/>
      <c r="E3" s="43"/>
      <c r="F3" s="44"/>
      <c r="G3" s="45"/>
      <c r="H3" s="46"/>
      <c r="I3" s="47"/>
    </row>
    <row r="4" spans="1:9" ht="18.75" customHeight="1" x14ac:dyDescent="0.25">
      <c r="A4" s="4"/>
      <c r="B4" s="48" t="s">
        <v>8</v>
      </c>
      <c r="C4" s="49"/>
      <c r="D4" s="49"/>
      <c r="E4" s="50"/>
      <c r="F4" s="49"/>
      <c r="G4" s="51" t="s">
        <v>9</v>
      </c>
      <c r="H4" s="16">
        <v>29.05</v>
      </c>
      <c r="I4" s="30" t="s">
        <v>10</v>
      </c>
    </row>
    <row r="5" spans="1:9" ht="18.75" customHeight="1" x14ac:dyDescent="0.25">
      <c r="A5" s="4"/>
      <c r="B5" s="49" t="s">
        <v>11</v>
      </c>
      <c r="C5" s="49"/>
      <c r="D5" s="49"/>
      <c r="E5" s="49"/>
      <c r="F5" s="49"/>
      <c r="G5" s="52" t="s">
        <v>12</v>
      </c>
      <c r="H5" s="14">
        <v>240</v>
      </c>
      <c r="I5" s="30" t="s">
        <v>10</v>
      </c>
    </row>
    <row r="6" spans="1:9" ht="18.75" customHeight="1" x14ac:dyDescent="0.25">
      <c r="A6" s="4"/>
      <c r="B6" s="49" t="s">
        <v>13</v>
      </c>
      <c r="C6" s="49"/>
      <c r="D6" s="49"/>
      <c r="E6" s="49"/>
      <c r="F6" s="49"/>
      <c r="G6" s="52" t="s">
        <v>14</v>
      </c>
      <c r="H6" s="15">
        <v>200000</v>
      </c>
      <c r="I6" s="30" t="s">
        <v>10</v>
      </c>
    </row>
    <row r="7" spans="1:9" ht="18.75" customHeight="1" x14ac:dyDescent="0.25">
      <c r="A7" s="4"/>
      <c r="B7" s="49"/>
      <c r="C7" s="49"/>
      <c r="D7" s="49"/>
      <c r="E7" s="49"/>
      <c r="F7" s="49"/>
      <c r="G7" s="52"/>
      <c r="H7" s="53"/>
      <c r="I7" s="31"/>
    </row>
    <row r="8" spans="1:9" ht="18.75" customHeight="1" x14ac:dyDescent="0.25">
      <c r="A8" s="3" t="s">
        <v>125</v>
      </c>
      <c r="B8" s="41" t="s">
        <v>15</v>
      </c>
      <c r="C8" s="46"/>
      <c r="D8" s="46"/>
      <c r="E8" s="46"/>
      <c r="F8" s="46"/>
      <c r="G8" s="54"/>
      <c r="H8" s="55"/>
      <c r="I8" s="47"/>
    </row>
    <row r="9" spans="1:9" ht="18.75" customHeight="1" x14ac:dyDescent="0.25">
      <c r="A9" s="4"/>
      <c r="I9" s="56"/>
    </row>
    <row r="10" spans="1:9" ht="18.75" customHeight="1" x14ac:dyDescent="0.25">
      <c r="A10" s="4"/>
      <c r="B10" s="49"/>
      <c r="C10" s="49"/>
      <c r="D10" s="49"/>
      <c r="E10" s="49"/>
      <c r="F10" s="49"/>
      <c r="G10" s="52"/>
      <c r="I10" s="30"/>
    </row>
    <row r="11" spans="1:9" ht="18.75" customHeight="1" x14ac:dyDescent="0.25">
      <c r="A11" s="4"/>
      <c r="B11" s="49"/>
      <c r="C11" s="49"/>
      <c r="D11" s="49"/>
      <c r="E11" s="49"/>
      <c r="F11" s="49"/>
      <c r="G11" s="52"/>
      <c r="I11" s="30"/>
    </row>
    <row r="12" spans="1:9" ht="18.75" customHeight="1" x14ac:dyDescent="0.25">
      <c r="A12" s="4"/>
      <c r="B12" s="49"/>
      <c r="C12" s="49"/>
      <c r="D12" s="49"/>
      <c r="E12" s="49"/>
      <c r="F12" s="49"/>
      <c r="G12" s="52"/>
      <c r="I12" s="30"/>
    </row>
    <row r="13" spans="1:9" ht="18.75" customHeight="1" x14ac:dyDescent="0.25">
      <c r="A13" s="4"/>
      <c r="B13" s="49"/>
      <c r="C13" s="49"/>
      <c r="D13" s="49"/>
      <c r="E13" s="49"/>
      <c r="F13" s="49"/>
      <c r="G13" s="52"/>
      <c r="I13" s="30"/>
    </row>
    <row r="14" spans="1:9" ht="18.75" customHeight="1" x14ac:dyDescent="0.25">
      <c r="A14" s="4"/>
      <c r="B14" s="49"/>
      <c r="C14" s="49"/>
      <c r="D14" s="49"/>
      <c r="E14" s="49"/>
      <c r="F14" s="49"/>
      <c r="G14" s="52"/>
      <c r="I14" s="30"/>
    </row>
    <row r="15" spans="1:9" ht="18.75" customHeight="1" x14ac:dyDescent="0.25">
      <c r="A15" s="4"/>
      <c r="B15" s="49"/>
      <c r="C15" s="49"/>
      <c r="D15" s="49"/>
      <c r="E15" s="49"/>
      <c r="F15" s="49"/>
      <c r="G15" s="52"/>
      <c r="I15" s="30"/>
    </row>
    <row r="16" spans="1:9" ht="18.75" customHeight="1" x14ac:dyDescent="0.25">
      <c r="A16" s="4"/>
      <c r="B16" s="49"/>
      <c r="C16" s="49"/>
      <c r="D16" s="49"/>
      <c r="E16" s="49"/>
      <c r="F16" s="49"/>
      <c r="G16" s="52"/>
      <c r="I16" s="30"/>
    </row>
    <row r="17" spans="1:9" ht="18.75" customHeight="1" x14ac:dyDescent="0.25">
      <c r="A17" s="4"/>
      <c r="B17" s="49" t="s">
        <v>70</v>
      </c>
      <c r="C17" s="49"/>
      <c r="D17" s="49"/>
      <c r="E17" s="49"/>
      <c r="F17" s="49"/>
      <c r="G17" s="52"/>
      <c r="H17" s="16" t="s">
        <v>71</v>
      </c>
      <c r="I17" s="30"/>
    </row>
    <row r="18" spans="1:9" ht="18.75" customHeight="1" x14ac:dyDescent="0.25">
      <c r="A18" s="4"/>
      <c r="B18" s="49" t="s">
        <v>95</v>
      </c>
      <c r="C18" s="49"/>
      <c r="D18" s="49"/>
      <c r="E18" s="49"/>
      <c r="F18" s="49"/>
      <c r="G18" s="52" t="s">
        <v>68</v>
      </c>
      <c r="H18" s="16">
        <v>6</v>
      </c>
      <c r="I18" s="30" t="s">
        <v>16</v>
      </c>
    </row>
    <row r="19" spans="1:9" ht="18.75" customHeight="1" x14ac:dyDescent="0.25">
      <c r="A19" s="4"/>
      <c r="B19" s="49" t="s">
        <v>96</v>
      </c>
      <c r="C19" s="49"/>
      <c r="D19" s="49"/>
      <c r="E19" s="49"/>
      <c r="F19" s="49"/>
      <c r="G19" s="52" t="s">
        <v>69</v>
      </c>
      <c r="H19" s="16">
        <v>2.5</v>
      </c>
      <c r="I19" s="30" t="s">
        <v>16</v>
      </c>
    </row>
    <row r="20" spans="1:9" ht="18.75" customHeight="1" x14ac:dyDescent="0.25">
      <c r="A20" s="4"/>
      <c r="B20" s="49" t="s">
        <v>77</v>
      </c>
      <c r="C20" s="49"/>
      <c r="D20" s="49"/>
      <c r="E20" s="49"/>
      <c r="F20" s="49"/>
      <c r="G20" s="52" t="s">
        <v>17</v>
      </c>
      <c r="H20" s="13">
        <v>120</v>
      </c>
      <c r="I20" s="30" t="s">
        <v>18</v>
      </c>
    </row>
    <row r="21" spans="1:9" ht="18.75" customHeight="1" x14ac:dyDescent="0.25">
      <c r="A21" s="4"/>
      <c r="B21" s="49" t="s">
        <v>109</v>
      </c>
      <c r="C21" s="49"/>
      <c r="D21" s="49"/>
      <c r="E21" s="49"/>
      <c r="F21" s="49"/>
      <c r="G21" s="52" t="s">
        <v>19</v>
      </c>
      <c r="H21" s="14">
        <v>10</v>
      </c>
      <c r="I21" s="30" t="s">
        <v>18</v>
      </c>
    </row>
    <row r="22" spans="1:9" ht="18.75" customHeight="1" x14ac:dyDescent="0.25">
      <c r="A22" s="4"/>
      <c r="B22" s="49" t="s">
        <v>110</v>
      </c>
      <c r="C22" s="49"/>
      <c r="D22" s="49"/>
      <c r="E22" s="49"/>
      <c r="F22" s="49"/>
      <c r="G22" s="52" t="s">
        <v>19</v>
      </c>
      <c r="H22" s="14">
        <v>10</v>
      </c>
      <c r="I22" s="30" t="s">
        <v>18</v>
      </c>
    </row>
    <row r="23" spans="1:9" ht="18.75" customHeight="1" x14ac:dyDescent="0.25">
      <c r="A23" s="4"/>
      <c r="B23" s="49" t="s">
        <v>20</v>
      </c>
      <c r="C23" s="49"/>
      <c r="D23" s="49"/>
      <c r="E23" s="49"/>
      <c r="F23" s="49"/>
      <c r="G23" s="52" t="s">
        <v>21</v>
      </c>
      <c r="H23" s="14">
        <v>20</v>
      </c>
      <c r="I23" s="30" t="s">
        <v>18</v>
      </c>
    </row>
    <row r="24" spans="1:9" ht="18.75" customHeight="1" x14ac:dyDescent="0.25">
      <c r="A24" s="4"/>
      <c r="B24" s="49" t="s">
        <v>72</v>
      </c>
      <c r="C24" s="49"/>
      <c r="D24" s="49"/>
      <c r="E24" s="52" t="s">
        <v>73</v>
      </c>
      <c r="F24" s="49"/>
      <c r="G24" s="52" t="str">
        <f>IF(H17="Pelat 1","B_A =",IF(H17="Pelat 2","B_B =",IF(H17="Pelat 3","B_C =","[ EROR ]")))</f>
        <v>B_A =</v>
      </c>
      <c r="H24" s="14">
        <v>0.3</v>
      </c>
      <c r="I24" s="30" t="s">
        <v>16</v>
      </c>
    </row>
    <row r="25" spans="1:9" ht="18.75" customHeight="1" x14ac:dyDescent="0.25">
      <c r="A25" s="4"/>
      <c r="B25" s="49"/>
      <c r="C25" s="49"/>
      <c r="D25" s="49"/>
      <c r="E25" s="52" t="s">
        <v>74</v>
      </c>
      <c r="F25" s="49"/>
      <c r="G25" s="52" t="str">
        <f>IF(H17="Pelat 1","B_B =",IF(H17="Pelat 2","B_C =",IF(H17="Pelat 3","B_D =","[ EROR ]")))</f>
        <v>B_B =</v>
      </c>
      <c r="H25" s="14">
        <v>0.3</v>
      </c>
      <c r="I25" s="30" t="s">
        <v>16</v>
      </c>
    </row>
    <row r="26" spans="1:9" ht="18.75" customHeight="1" x14ac:dyDescent="0.25">
      <c r="A26" s="4"/>
      <c r="B26" s="49"/>
      <c r="C26" s="49"/>
      <c r="D26" s="49"/>
      <c r="E26" s="49"/>
      <c r="F26" s="49"/>
      <c r="G26" s="52"/>
      <c r="H26" s="53"/>
      <c r="I26" s="31"/>
    </row>
    <row r="27" spans="1:9" ht="18.75" customHeight="1" x14ac:dyDescent="0.25">
      <c r="A27" s="3" t="s">
        <v>126</v>
      </c>
      <c r="B27" s="41" t="s">
        <v>22</v>
      </c>
      <c r="C27" s="46"/>
      <c r="D27" s="46"/>
      <c r="E27" s="46"/>
      <c r="F27" s="46"/>
      <c r="G27" s="54"/>
      <c r="H27" s="55"/>
      <c r="I27" s="47"/>
    </row>
    <row r="28" spans="1:9" ht="18.75" customHeight="1" x14ac:dyDescent="0.25">
      <c r="A28" s="4"/>
      <c r="B28" s="57" t="s">
        <v>130</v>
      </c>
      <c r="C28" s="49"/>
      <c r="D28" s="49"/>
      <c r="E28" s="49"/>
      <c r="F28" s="49"/>
      <c r="G28" s="49"/>
      <c r="H28" s="49"/>
      <c r="I28" s="31"/>
    </row>
    <row r="29" spans="1:9" ht="18.75" customHeight="1" x14ac:dyDescent="0.25">
      <c r="A29" s="4"/>
      <c r="B29" s="49"/>
      <c r="C29" s="49"/>
      <c r="D29" s="49"/>
      <c r="E29" s="8"/>
      <c r="F29" s="8"/>
      <c r="G29" s="49"/>
      <c r="H29" s="49"/>
      <c r="I29" s="31"/>
    </row>
    <row r="30" spans="1:9" ht="18.75" customHeight="1" x14ac:dyDescent="0.25">
      <c r="A30" s="4"/>
      <c r="B30" s="23" t="s">
        <v>56</v>
      </c>
      <c r="C30" s="90" t="s">
        <v>57</v>
      </c>
      <c r="D30" s="91"/>
      <c r="E30" s="92"/>
      <c r="F30" s="23" t="s">
        <v>58</v>
      </c>
      <c r="G30" s="23" t="s">
        <v>59</v>
      </c>
      <c r="H30" s="23" t="s">
        <v>112</v>
      </c>
      <c r="I30" s="31"/>
    </row>
    <row r="31" spans="1:9" ht="18.75" customHeight="1" x14ac:dyDescent="0.25">
      <c r="A31" s="4"/>
      <c r="B31" s="17">
        <v>1</v>
      </c>
      <c r="C31" s="93" t="s">
        <v>78</v>
      </c>
      <c r="D31" s="94"/>
      <c r="E31" s="95"/>
      <c r="F31" s="16">
        <v>24</v>
      </c>
      <c r="G31" s="5">
        <f>H20/1000</f>
        <v>0.12</v>
      </c>
      <c r="H31" s="6">
        <f>F31*G31</f>
        <v>2.88</v>
      </c>
      <c r="I31" s="31"/>
    </row>
    <row r="32" spans="1:9" ht="18.75" customHeight="1" x14ac:dyDescent="0.25">
      <c r="A32" s="4"/>
      <c r="B32" s="17">
        <v>2</v>
      </c>
      <c r="C32" s="93" t="s">
        <v>60</v>
      </c>
      <c r="D32" s="94"/>
      <c r="E32" s="95"/>
      <c r="F32" s="16">
        <v>22</v>
      </c>
      <c r="G32" s="15">
        <v>0.05</v>
      </c>
      <c r="H32" s="6">
        <f>F32*G32</f>
        <v>1.1000000000000001</v>
      </c>
      <c r="I32" s="31"/>
    </row>
    <row r="33" spans="1:9" ht="18.75" customHeight="1" x14ac:dyDescent="0.25">
      <c r="A33" s="4"/>
      <c r="B33" s="17">
        <v>3</v>
      </c>
      <c r="C33" s="93" t="s">
        <v>61</v>
      </c>
      <c r="D33" s="94"/>
      <c r="E33" s="95"/>
      <c r="F33" s="16">
        <v>0.2</v>
      </c>
      <c r="G33" s="96" t="s">
        <v>45</v>
      </c>
      <c r="H33" s="6">
        <f>F33</f>
        <v>0.2</v>
      </c>
      <c r="I33" s="31"/>
    </row>
    <row r="34" spans="1:9" ht="18.75" customHeight="1" x14ac:dyDescent="0.25">
      <c r="A34" s="4"/>
      <c r="B34" s="17">
        <v>4</v>
      </c>
      <c r="C34" s="93" t="s">
        <v>62</v>
      </c>
      <c r="D34" s="94"/>
      <c r="E34" s="95"/>
      <c r="F34" s="16">
        <v>0.5</v>
      </c>
      <c r="G34" s="96" t="s">
        <v>45</v>
      </c>
      <c r="H34" s="6">
        <f>F34</f>
        <v>0.5</v>
      </c>
      <c r="I34" s="31"/>
    </row>
    <row r="35" spans="1:9" ht="18.75" customHeight="1" x14ac:dyDescent="0.25">
      <c r="A35" s="4"/>
      <c r="B35" s="17">
        <v>5</v>
      </c>
      <c r="C35" s="18" t="s">
        <v>67</v>
      </c>
      <c r="D35" s="19"/>
      <c r="E35" s="20"/>
      <c r="F35" s="16">
        <v>9.81</v>
      </c>
      <c r="G35" s="22">
        <v>0</v>
      </c>
      <c r="H35" s="6">
        <f>F35*G35</f>
        <v>0</v>
      </c>
      <c r="I35" s="31"/>
    </row>
    <row r="36" spans="1:9" ht="18.75" customHeight="1" x14ac:dyDescent="0.25">
      <c r="A36" s="4"/>
      <c r="B36" s="21">
        <v>6</v>
      </c>
      <c r="C36" s="18" t="s">
        <v>66</v>
      </c>
      <c r="D36" s="58"/>
      <c r="E36" s="58"/>
      <c r="F36" s="16">
        <v>14</v>
      </c>
      <c r="G36" s="59">
        <v>0</v>
      </c>
      <c r="H36" s="6">
        <f>F36*G36</f>
        <v>0</v>
      </c>
      <c r="I36" s="31"/>
    </row>
    <row r="37" spans="1:9" ht="18.75" customHeight="1" x14ac:dyDescent="0.25">
      <c r="A37" s="4"/>
      <c r="B37" s="88" t="s">
        <v>63</v>
      </c>
      <c r="C37" s="89"/>
      <c r="D37" s="89"/>
      <c r="E37" s="89"/>
      <c r="F37" s="89"/>
      <c r="G37" s="24" t="s">
        <v>111</v>
      </c>
      <c r="H37" s="6">
        <f>SUM(H31:H35)</f>
        <v>4.68</v>
      </c>
      <c r="I37" s="31"/>
    </row>
    <row r="38" spans="1:9" ht="18.75" customHeight="1" x14ac:dyDescent="0.25">
      <c r="A38" s="4"/>
      <c r="B38" s="49"/>
      <c r="C38" s="52"/>
      <c r="D38" s="52"/>
      <c r="E38" s="52"/>
      <c r="F38" s="52"/>
      <c r="G38" s="52"/>
      <c r="H38" s="25"/>
      <c r="I38" s="31"/>
    </row>
    <row r="39" spans="1:9" ht="18.75" customHeight="1" x14ac:dyDescent="0.25">
      <c r="A39" s="4"/>
      <c r="B39" s="57" t="s">
        <v>131</v>
      </c>
      <c r="C39" s="49"/>
      <c r="D39" s="49"/>
      <c r="E39" s="49"/>
      <c r="F39" s="52"/>
      <c r="G39" s="52" t="s">
        <v>64</v>
      </c>
      <c r="H39" s="14">
        <v>1.92</v>
      </c>
      <c r="I39" s="30" t="s">
        <v>65</v>
      </c>
    </row>
    <row r="40" spans="1:9" ht="18.75" customHeight="1" x14ac:dyDescent="0.25">
      <c r="A40" s="4"/>
      <c r="B40" s="49"/>
      <c r="C40" s="49"/>
      <c r="D40" s="49"/>
      <c r="E40" s="49"/>
      <c r="I40" s="56"/>
    </row>
    <row r="41" spans="1:9" ht="18.75" customHeight="1" x14ac:dyDescent="0.25">
      <c r="A41" s="33"/>
      <c r="B41" s="84"/>
      <c r="C41" s="78"/>
      <c r="D41" s="78"/>
      <c r="E41" s="78"/>
      <c r="F41" s="78"/>
      <c r="G41" s="78"/>
      <c r="H41" s="78"/>
      <c r="I41" s="85"/>
    </row>
    <row r="42" spans="1:9" ht="18.75" customHeight="1" x14ac:dyDescent="0.25">
      <c r="A42" s="2" t="s">
        <v>25</v>
      </c>
      <c r="B42" s="34" t="s">
        <v>79</v>
      </c>
      <c r="C42" s="39"/>
      <c r="D42" s="39"/>
      <c r="E42" s="39"/>
      <c r="F42" s="39"/>
      <c r="G42" s="60"/>
      <c r="H42" s="61"/>
      <c r="I42" s="40"/>
    </row>
    <row r="43" spans="1:9" ht="18.75" customHeight="1" x14ac:dyDescent="0.25">
      <c r="A43" s="3" t="s">
        <v>124</v>
      </c>
      <c r="B43" s="41" t="s">
        <v>23</v>
      </c>
      <c r="C43" s="46"/>
      <c r="D43" s="46"/>
      <c r="E43" s="46"/>
      <c r="F43" s="46"/>
      <c r="G43" s="54"/>
      <c r="H43" s="55"/>
      <c r="I43" s="47"/>
    </row>
    <row r="44" spans="1:9" ht="18.75" customHeight="1" x14ac:dyDescent="0.25">
      <c r="A44" s="4"/>
      <c r="B44" s="49" t="s">
        <v>97</v>
      </c>
      <c r="C44" s="49"/>
      <c r="D44" s="49"/>
      <c r="E44" s="49"/>
      <c r="F44" s="49"/>
      <c r="G44" s="62" t="s">
        <v>113</v>
      </c>
      <c r="H44" s="26">
        <f>H19-H24-H25</f>
        <v>1.9000000000000001</v>
      </c>
      <c r="I44" s="63" t="s">
        <v>98</v>
      </c>
    </row>
    <row r="45" spans="1:9" ht="18.75" customHeight="1" x14ac:dyDescent="0.25">
      <c r="A45" s="4"/>
      <c r="B45" s="49" t="s">
        <v>81</v>
      </c>
      <c r="C45" s="49"/>
      <c r="D45" s="49"/>
      <c r="E45" s="49"/>
      <c r="F45" s="49"/>
      <c r="G45" s="52" t="s">
        <v>90</v>
      </c>
      <c r="H45" s="26">
        <f>H37</f>
        <v>4.68</v>
      </c>
      <c r="I45" s="63" t="s">
        <v>83</v>
      </c>
    </row>
    <row r="46" spans="1:9" ht="18.75" customHeight="1" x14ac:dyDescent="0.25">
      <c r="A46" s="4"/>
      <c r="B46" s="49" t="s">
        <v>82</v>
      </c>
      <c r="C46" s="49"/>
      <c r="D46" s="49"/>
      <c r="E46" s="49"/>
      <c r="F46" s="49"/>
      <c r="G46" s="52" t="s">
        <v>91</v>
      </c>
      <c r="H46" s="26">
        <f>H39</f>
        <v>1.92</v>
      </c>
      <c r="I46" s="63" t="s">
        <v>83</v>
      </c>
    </row>
    <row r="47" spans="1:9" ht="18.75" customHeight="1" x14ac:dyDescent="0.25">
      <c r="A47" s="4"/>
      <c r="B47" s="49" t="s">
        <v>85</v>
      </c>
      <c r="C47" s="49"/>
      <c r="D47" s="49"/>
      <c r="E47" s="49"/>
      <c r="F47" s="49"/>
      <c r="G47" s="52"/>
      <c r="H47" s="27"/>
      <c r="I47" s="63"/>
    </row>
    <row r="48" spans="1:9" ht="18.75" customHeight="1" x14ac:dyDescent="0.25">
      <c r="A48" s="4"/>
      <c r="B48" s="49"/>
      <c r="C48" s="49" t="s">
        <v>38</v>
      </c>
      <c r="D48" s="5" t="s">
        <v>88</v>
      </c>
      <c r="E48" s="8" t="s">
        <v>86</v>
      </c>
      <c r="F48" s="5" t="s">
        <v>89</v>
      </c>
      <c r="G48" s="52"/>
      <c r="H48" s="27"/>
      <c r="I48" s="63"/>
    </row>
    <row r="49" spans="1:9" ht="18.75" customHeight="1" x14ac:dyDescent="0.25">
      <c r="A49" s="4"/>
      <c r="B49" s="49"/>
      <c r="C49" s="49"/>
      <c r="D49" s="6">
        <f>H46</f>
        <v>1.92</v>
      </c>
      <c r="E49" s="64" t="str">
        <f>IF(D49&lt;F49,"&lt;","≥")</f>
        <v>&lt;</v>
      </c>
      <c r="F49" s="5">
        <f>3*H45</f>
        <v>14.04</v>
      </c>
      <c r="G49" s="65" t="s">
        <v>28</v>
      </c>
      <c r="H49" s="28" t="str">
        <f>IF(D49&lt;F49,"[ OK ]","[ Use Tmax ]")</f>
        <v>[ OK ]</v>
      </c>
      <c r="I49" s="63"/>
    </row>
    <row r="50" spans="1:9" ht="18.75" customHeight="1" x14ac:dyDescent="0.25">
      <c r="A50" s="4"/>
      <c r="B50" s="49"/>
      <c r="C50" s="49"/>
      <c r="D50" s="49"/>
      <c r="E50" s="49"/>
      <c r="F50" s="49"/>
      <c r="G50" s="52"/>
      <c r="H50" s="27"/>
      <c r="I50" s="63"/>
    </row>
    <row r="51" spans="1:9" ht="18.75" customHeight="1" x14ac:dyDescent="0.25">
      <c r="A51" s="4"/>
      <c r="B51" s="49" t="s">
        <v>92</v>
      </c>
      <c r="C51" s="49"/>
      <c r="D51" s="49"/>
      <c r="E51" s="49"/>
      <c r="F51" s="49"/>
      <c r="G51" s="52" t="s">
        <v>87</v>
      </c>
      <c r="H51" s="26">
        <f>1.2*H45+1.6*H46</f>
        <v>8.6879999999999988</v>
      </c>
      <c r="I51" s="63" t="s">
        <v>83</v>
      </c>
    </row>
    <row r="52" spans="1:9" ht="18.75" customHeight="1" x14ac:dyDescent="0.25">
      <c r="A52" s="4"/>
      <c r="B52" s="49" t="s">
        <v>93</v>
      </c>
      <c r="C52" s="49"/>
      <c r="D52" s="49"/>
      <c r="E52" s="49"/>
      <c r="F52" s="49"/>
      <c r="G52" s="52" t="s">
        <v>94</v>
      </c>
      <c r="H52" s="26">
        <f>H45+H46</f>
        <v>6.6</v>
      </c>
      <c r="I52" s="63" t="s">
        <v>83</v>
      </c>
    </row>
    <row r="53" spans="1:9" ht="18.75" customHeight="1" x14ac:dyDescent="0.25">
      <c r="A53" s="4"/>
      <c r="B53" s="49"/>
      <c r="C53" s="49"/>
      <c r="D53" s="49"/>
      <c r="E53" s="49"/>
      <c r="F53" s="49"/>
      <c r="G53" s="52"/>
      <c r="H53" s="32"/>
      <c r="I53" s="56"/>
    </row>
    <row r="54" spans="1:9" ht="18.75" customHeight="1" x14ac:dyDescent="0.25">
      <c r="A54" s="4"/>
      <c r="B54" s="49"/>
      <c r="C54" s="49"/>
      <c r="D54" s="49"/>
      <c r="E54" s="49"/>
      <c r="F54" s="49"/>
      <c r="G54" s="52"/>
      <c r="H54" s="32"/>
      <c r="I54" s="56"/>
    </row>
    <row r="55" spans="1:9" ht="18.75" customHeight="1" x14ac:dyDescent="0.25">
      <c r="A55" s="4"/>
      <c r="B55" s="49"/>
      <c r="C55" s="49"/>
      <c r="D55" s="49"/>
      <c r="E55" s="49"/>
      <c r="F55" s="49"/>
      <c r="G55" s="52"/>
      <c r="H55" s="32"/>
      <c r="I55" s="56"/>
    </row>
    <row r="56" spans="1:9" ht="18.75" customHeight="1" x14ac:dyDescent="0.25">
      <c r="A56" s="4"/>
      <c r="B56" s="49"/>
      <c r="C56" s="49"/>
      <c r="D56" s="49"/>
      <c r="E56" s="49"/>
      <c r="F56" s="49"/>
      <c r="G56" s="52"/>
      <c r="H56" s="32"/>
      <c r="I56" s="56"/>
    </row>
    <row r="57" spans="1:9" ht="18.75" customHeight="1" x14ac:dyDescent="0.25">
      <c r="A57" s="4"/>
      <c r="B57" s="49"/>
      <c r="C57" s="49"/>
      <c r="D57" s="49"/>
      <c r="E57" s="49"/>
      <c r="F57" s="49"/>
      <c r="G57" s="52"/>
      <c r="H57" s="32"/>
      <c r="I57" s="56"/>
    </row>
    <row r="58" spans="1:9" ht="18.75" customHeight="1" x14ac:dyDescent="0.25">
      <c r="A58" s="4"/>
      <c r="B58" s="49"/>
      <c r="C58" s="49"/>
      <c r="D58" s="49"/>
      <c r="E58" s="49"/>
      <c r="F58" s="49"/>
      <c r="G58" s="52"/>
      <c r="H58" s="32"/>
      <c r="I58" s="56"/>
    </row>
    <row r="59" spans="1:9" ht="18.75" customHeight="1" x14ac:dyDescent="0.25">
      <c r="A59" s="4"/>
      <c r="B59" s="49"/>
      <c r="C59" s="49"/>
      <c r="D59" s="49"/>
      <c r="E59" s="49"/>
      <c r="F59" s="49"/>
      <c r="G59" s="52"/>
      <c r="H59" s="32"/>
      <c r="I59" s="56"/>
    </row>
    <row r="60" spans="1:9" ht="18.75" customHeight="1" x14ac:dyDescent="0.25">
      <c r="A60" s="4"/>
      <c r="B60" s="49"/>
      <c r="C60" s="49"/>
      <c r="D60" s="49"/>
      <c r="E60" s="49"/>
      <c r="F60" s="49"/>
      <c r="G60" s="52"/>
      <c r="H60" s="32"/>
      <c r="I60" s="56"/>
    </row>
    <row r="61" spans="1:9" ht="18.75" customHeight="1" x14ac:dyDescent="0.25">
      <c r="A61" s="4"/>
      <c r="B61" s="49"/>
      <c r="C61" s="49"/>
      <c r="D61" s="49"/>
      <c r="E61" s="49"/>
      <c r="F61" s="49"/>
      <c r="G61" s="52"/>
      <c r="H61" s="32"/>
      <c r="I61" s="56"/>
    </row>
    <row r="62" spans="1:9" ht="18.75" customHeight="1" x14ac:dyDescent="0.25">
      <c r="A62" s="4"/>
      <c r="B62" s="49"/>
      <c r="C62" s="49"/>
      <c r="D62" s="49"/>
      <c r="E62" s="49"/>
      <c r="F62" s="49"/>
      <c r="G62" s="52"/>
      <c r="H62" s="32"/>
      <c r="I62" s="56"/>
    </row>
    <row r="63" spans="1:9" ht="18.75" customHeight="1" x14ac:dyDescent="0.25">
      <c r="A63" s="4"/>
      <c r="B63" s="12" t="str">
        <f>IF(H17="Pelat 1","Gaya momen lapangan pada bentang eksterior,",IF(H17="Pelat 2","Gaya momen lapangan pada bentang interior,",IF(H17="Pelat 3","Gaya momen lapangan pada bentang interior,","[ EROR ]")))</f>
        <v>Gaya momen lapangan pada bentang eksterior,</v>
      </c>
      <c r="C63" s="49"/>
      <c r="D63" s="49"/>
      <c r="E63" s="25"/>
      <c r="F63" s="66"/>
      <c r="G63" s="52" t="s">
        <v>24</v>
      </c>
      <c r="H63" s="6">
        <f>IF(H17="Pelat 1",1/14*H51*H44^2,IF(H17="Pelat 2",1/16*H51*H44^2,IF(H17="Pelat 3",1/16*H51*H44^2,"[ EROR ]")))</f>
        <v>2.2402628571428567</v>
      </c>
      <c r="I63" s="30" t="s">
        <v>84</v>
      </c>
    </row>
    <row r="64" spans="1:9" ht="18.75" customHeight="1" x14ac:dyDescent="0.25">
      <c r="A64" s="4"/>
      <c r="B64" s="12" t="str">
        <f>IF(H17="Pelat 1","Gaya momen tumpuan A,",IF(H17="Pelat 2","Gaya momen tumpuan B,",IF(H17="Pelat 3","Gaya momen tumpuan C,","[ EROR ]")))</f>
        <v>Gaya momen tumpuan A,</v>
      </c>
      <c r="C64" s="49"/>
      <c r="D64" s="49"/>
      <c r="E64" s="25"/>
      <c r="F64" s="66"/>
      <c r="G64" s="52" t="s">
        <v>80</v>
      </c>
      <c r="H64" s="6">
        <f>IF(H17="Pelat 1",1/10*H51*H44^2,IF(H17="Pelat 2",1/24*H51*H44^2,IF(H17="Pelat 3",1/11*H51*H44^2,"[ EROR ]")))</f>
        <v>3.136368</v>
      </c>
      <c r="I64" s="30" t="s">
        <v>84</v>
      </c>
    </row>
    <row r="65" spans="1:9" ht="18.75" customHeight="1" x14ac:dyDescent="0.25">
      <c r="A65" s="4"/>
      <c r="B65" s="49" t="str">
        <f>IF(H17="Pelat 1","Gaya momen tumpuan B,",IF(H17="Pelat 2","Gaya momen tumpuan C,",IF(H17="Pelat 3","Gaya momen tumpuan D,","[ EROR ]")))</f>
        <v>Gaya momen tumpuan B,</v>
      </c>
      <c r="C65" s="49"/>
      <c r="D65" s="49"/>
      <c r="E65" s="25"/>
      <c r="F65" s="66"/>
      <c r="G65" s="52" t="s">
        <v>80</v>
      </c>
      <c r="H65" s="6">
        <f>IF(H17="Pelat 1",1/24*H51*H44^2,IF(H17="Pelat 2",1/11*H51*H44^2,IF(H17="Pelat 3",1/11*H51*H44^2,"[ EROR ]")))</f>
        <v>1.3068199999999999</v>
      </c>
      <c r="I65" s="30" t="s">
        <v>84</v>
      </c>
    </row>
    <row r="66" spans="1:9" ht="18.75" customHeight="1" x14ac:dyDescent="0.25">
      <c r="A66" s="4"/>
      <c r="B66" s="49" t="s">
        <v>99</v>
      </c>
      <c r="C66" s="49"/>
      <c r="D66" s="49"/>
      <c r="E66" s="25"/>
      <c r="F66" s="66"/>
      <c r="G66" s="52" t="s">
        <v>34</v>
      </c>
      <c r="H66" s="6">
        <f>MAX(H63:H65)</f>
        <v>3.136368</v>
      </c>
      <c r="I66" s="30" t="s">
        <v>84</v>
      </c>
    </row>
    <row r="67" spans="1:9" ht="18.75" customHeight="1" x14ac:dyDescent="0.25">
      <c r="A67" s="4"/>
      <c r="B67" s="49" t="s">
        <v>99</v>
      </c>
      <c r="C67" s="49"/>
      <c r="D67" s="49"/>
      <c r="E67" s="25"/>
      <c r="F67" s="66"/>
      <c r="G67" s="52" t="s">
        <v>104</v>
      </c>
      <c r="H67" s="6">
        <f>IF(H17="Pelat 1",1.15/2*H51*H44,IF(H17="Pelat 2",1/2*H51*H44,IF(H17="Pelat 3",1/2*H51*H44,"[ EROR ]")))</f>
        <v>9.4916399999999985</v>
      </c>
      <c r="I67" s="30" t="s">
        <v>35</v>
      </c>
    </row>
    <row r="68" spans="1:9" ht="18.75" customHeight="1" x14ac:dyDescent="0.25">
      <c r="A68" s="4"/>
      <c r="B68" s="49"/>
      <c r="C68" s="49"/>
      <c r="D68" s="49"/>
      <c r="E68" s="49"/>
      <c r="F68" s="49"/>
      <c r="G68" s="52"/>
      <c r="H68" s="53"/>
      <c r="I68" s="31"/>
    </row>
    <row r="69" spans="1:9" ht="18.75" customHeight="1" x14ac:dyDescent="0.25">
      <c r="A69" s="3" t="s">
        <v>125</v>
      </c>
      <c r="B69" s="41" t="s">
        <v>75</v>
      </c>
      <c r="C69" s="46"/>
      <c r="D69" s="46"/>
      <c r="E69" s="46"/>
      <c r="F69" s="46"/>
      <c r="G69" s="54"/>
      <c r="H69" s="55"/>
      <c r="I69" s="47"/>
    </row>
    <row r="70" spans="1:9" ht="18.75" customHeight="1" x14ac:dyDescent="0.25">
      <c r="A70" s="4"/>
      <c r="B70" s="49" t="s">
        <v>27</v>
      </c>
      <c r="C70" s="49"/>
      <c r="D70" s="49"/>
      <c r="E70" s="49"/>
      <c r="F70" s="67"/>
      <c r="G70" s="52" t="s">
        <v>26</v>
      </c>
      <c r="H70" s="6">
        <f>MAX(IF(H4&gt;=17,IF(H4&lt;=28,0.85,"0"),"0"),IF(H4&gt;28,IF(H4&lt;55,0.85-0.05*(H4-28)/7,"-"),"-"),IF(H4&gt;=55,0.65,"0"))</f>
        <v>0.84250000000000003</v>
      </c>
      <c r="I70" s="31"/>
    </row>
    <row r="71" spans="1:9" ht="18.75" customHeight="1" x14ac:dyDescent="0.25">
      <c r="A71" s="4"/>
      <c r="B71" s="49" t="s">
        <v>29</v>
      </c>
      <c r="C71" s="68"/>
      <c r="D71" s="49"/>
      <c r="E71" s="49"/>
      <c r="F71" s="49"/>
      <c r="G71" s="52" t="s">
        <v>114</v>
      </c>
      <c r="H71" s="7">
        <f>H70*0.85*H4/H5*600/(600+H5)</f>
        <v>6.1914973958333334E-2</v>
      </c>
      <c r="I71" s="31"/>
    </row>
    <row r="72" spans="1:9" ht="18.75" customHeight="1" x14ac:dyDescent="0.25">
      <c r="A72" s="4"/>
      <c r="B72" s="49" t="s">
        <v>30</v>
      </c>
      <c r="C72" s="49"/>
      <c r="D72" s="69"/>
      <c r="E72" s="8"/>
      <c r="F72" s="66"/>
      <c r="G72" s="52" t="s">
        <v>120</v>
      </c>
      <c r="H72" s="7">
        <f>0.75*H71</f>
        <v>4.6436230468749999E-2</v>
      </c>
      <c r="I72" s="31"/>
    </row>
    <row r="73" spans="1:9" ht="18.75" customHeight="1" x14ac:dyDescent="0.25">
      <c r="A73" s="4"/>
      <c r="B73" s="49" t="s">
        <v>31</v>
      </c>
      <c r="C73" s="49"/>
      <c r="E73" s="52" t="s">
        <v>32</v>
      </c>
      <c r="F73" s="52" t="s">
        <v>101</v>
      </c>
      <c r="G73" s="52" t="str">
        <f>IF(H5&lt;420,"0,002 =",IF(H5&gt;=420,"420/fy*0,0018 =","[ EROR ]"))</f>
        <v>0,002 =</v>
      </c>
      <c r="H73" s="7">
        <f>IF(H5&lt;420,0.002,IF(H5&gt;=420,420/H5*0.0018,"[ EROR ]"))</f>
        <v>2E-3</v>
      </c>
      <c r="I73" s="31"/>
    </row>
    <row r="74" spans="1:9" ht="18.75" customHeight="1" x14ac:dyDescent="0.25">
      <c r="A74" s="4"/>
      <c r="B74" s="49"/>
      <c r="C74" s="49"/>
      <c r="E74" s="52" t="s">
        <v>33</v>
      </c>
      <c r="F74" s="52" t="s">
        <v>101</v>
      </c>
      <c r="G74" s="52" t="str">
        <f>IF(H5&lt;420,"",IF(H5&gt;=420,"0,0014 =","[ EROR ]"))</f>
        <v/>
      </c>
      <c r="H74" s="7" t="str">
        <f>IF(H5&lt;420,"",IF(H5&gt;=420,0.0014,"[ EROR ]"))</f>
        <v/>
      </c>
      <c r="I74" s="31"/>
    </row>
    <row r="75" spans="1:9" customFormat="1" ht="18.75" customHeight="1" x14ac:dyDescent="0.25">
      <c r="A75" s="29"/>
      <c r="B75" s="49" t="s">
        <v>102</v>
      </c>
      <c r="C75" s="70"/>
      <c r="D75" s="49"/>
      <c r="E75" s="49"/>
      <c r="F75" s="49"/>
      <c r="G75" s="71" t="s">
        <v>115</v>
      </c>
      <c r="H75" s="7">
        <f>1/(H5/(0.85*H4))*(1-(1-2*(H5/(0.85*H4))*((H66/0.85)*10^6/(1000*(H20-(H23+H21/2))^2))/H5)^0.5)</f>
        <v>1.7178710010385719E-3</v>
      </c>
      <c r="I75" s="31"/>
    </row>
    <row r="76" spans="1:9" customFormat="1" ht="18.75" customHeight="1" x14ac:dyDescent="0.25">
      <c r="A76" s="29"/>
      <c r="B76" s="49" t="s">
        <v>37</v>
      </c>
      <c r="C76" s="49"/>
      <c r="D76" s="49"/>
      <c r="E76" s="49"/>
      <c r="F76" s="49"/>
      <c r="G76" s="52"/>
      <c r="H76" s="72"/>
      <c r="I76" s="30"/>
    </row>
    <row r="77" spans="1:9" customFormat="1" ht="18.75" customHeight="1" x14ac:dyDescent="0.25">
      <c r="A77" s="29"/>
      <c r="B77" s="49"/>
      <c r="C77" s="49" t="s">
        <v>38</v>
      </c>
      <c r="D77" s="8" t="s">
        <v>39</v>
      </c>
      <c r="E77" s="8" t="s">
        <v>40</v>
      </c>
      <c r="F77" s="8" t="s">
        <v>41</v>
      </c>
      <c r="G77" s="52"/>
      <c r="H77" s="72"/>
      <c r="I77" s="30"/>
    </row>
    <row r="78" spans="1:9" customFormat="1" ht="18.75" customHeight="1" x14ac:dyDescent="0.25">
      <c r="A78" s="29"/>
      <c r="B78" s="49"/>
      <c r="C78" s="49"/>
      <c r="D78" s="72">
        <f>MAX(H73:H74)</f>
        <v>2E-3</v>
      </c>
      <c r="E78" s="72">
        <f>H75</f>
        <v>1.7178710010385719E-3</v>
      </c>
      <c r="F78" s="72">
        <f>H72</f>
        <v>4.6436230468749999E-2</v>
      </c>
      <c r="G78" s="67" t="s">
        <v>28</v>
      </c>
      <c r="H78" s="65" t="str">
        <f>IF(D78&lt;E78,(IF(E78&lt;F78,"[ OK ]","[ NOT OK ]")),"[ Pakai ρmin ]")</f>
        <v>[ Pakai ρmin ]</v>
      </c>
      <c r="I78" s="30"/>
    </row>
    <row r="79" spans="1:9" customFormat="1" ht="18.75" customHeight="1" x14ac:dyDescent="0.25">
      <c r="A79" s="29"/>
      <c r="B79" s="49"/>
      <c r="C79" s="49"/>
      <c r="D79" s="49"/>
      <c r="E79" s="49"/>
      <c r="F79" s="49"/>
      <c r="G79" s="52"/>
      <c r="H79" s="8"/>
      <c r="I79" s="30"/>
    </row>
    <row r="80" spans="1:9" ht="18.75" customHeight="1" x14ac:dyDescent="0.25">
      <c r="A80" s="29"/>
      <c r="B80" s="49" t="s">
        <v>103</v>
      </c>
      <c r="C80" s="49"/>
      <c r="D80" s="49"/>
      <c r="E80" s="49"/>
      <c r="F80" s="49"/>
      <c r="G80" s="52" t="s">
        <v>36</v>
      </c>
      <c r="H80" s="7">
        <f>IF(D78&lt;E78,(IF(E78&lt;F78,E78,"[ NOT OK ]")),D78)</f>
        <v>2E-3</v>
      </c>
      <c r="I80" s="30"/>
    </row>
    <row r="81" spans="1:9" ht="18.75" customHeight="1" x14ac:dyDescent="0.25">
      <c r="A81" s="4"/>
      <c r="B81" s="49" t="s">
        <v>42</v>
      </c>
      <c r="C81" s="49"/>
      <c r="D81" s="49"/>
      <c r="E81" s="49"/>
      <c r="F81" s="49"/>
      <c r="G81" s="52" t="s">
        <v>117</v>
      </c>
      <c r="H81" s="99">
        <f>H80*1000*(H20-(H23+H21/2))</f>
        <v>190</v>
      </c>
      <c r="I81" s="30" t="s">
        <v>43</v>
      </c>
    </row>
    <row r="82" spans="1:9" ht="18.75" customHeight="1" x14ac:dyDescent="0.25">
      <c r="A82" s="4"/>
      <c r="B82" s="49" t="s">
        <v>44</v>
      </c>
      <c r="C82" s="49"/>
      <c r="D82" s="49"/>
      <c r="E82"/>
      <c r="F82" s="97"/>
      <c r="G82" s="98"/>
      <c r="H82" s="86" t="str">
        <f>"P"&amp;H21&amp;" - "&amp;(ROUNDDOWN(MIN((PI()/4*H21^2*1000/H81),(3*H20),450)/25,0)*25)</f>
        <v>P10 - 350</v>
      </c>
      <c r="I82" s="30"/>
    </row>
    <row r="83" spans="1:9" ht="18.75" customHeight="1" x14ac:dyDescent="0.25">
      <c r="A83" s="4"/>
      <c r="B83" s="49" t="s">
        <v>46</v>
      </c>
      <c r="C83" s="49"/>
      <c r="D83" s="49"/>
      <c r="E83" s="49"/>
      <c r="F83" s="49"/>
      <c r="G83" s="52" t="s">
        <v>118</v>
      </c>
      <c r="H83" s="9">
        <f>PI()/4*H21^2*1000/(ROUNDDOWN(MIN((PI()/4*H21^2*1000/H81),(3*H20),450)/25,0)*25)</f>
        <v>224.39947525641381</v>
      </c>
      <c r="I83" s="30" t="s">
        <v>43</v>
      </c>
    </row>
    <row r="84" spans="1:9" customFormat="1" ht="18.75" customHeight="1" x14ac:dyDescent="0.25">
      <c r="A84" s="4"/>
      <c r="B84" s="49"/>
      <c r="C84" s="49"/>
      <c r="D84" s="49"/>
      <c r="E84" s="49"/>
      <c r="F84" s="49"/>
      <c r="G84" s="49"/>
      <c r="H84" s="49"/>
      <c r="I84" s="31"/>
    </row>
    <row r="85" spans="1:9" ht="18.75" customHeight="1" x14ac:dyDescent="0.25">
      <c r="A85" s="4"/>
      <c r="B85" s="66" t="s">
        <v>119</v>
      </c>
      <c r="C85" s="49"/>
      <c r="D85" s="49"/>
      <c r="E85" s="49"/>
      <c r="F85" s="49"/>
      <c r="G85" s="52"/>
      <c r="H85" s="25"/>
      <c r="I85" s="31"/>
    </row>
    <row r="86" spans="1:9" ht="18.75" customHeight="1" x14ac:dyDescent="0.25">
      <c r="A86" s="4"/>
      <c r="B86" s="66"/>
      <c r="C86" s="66" t="s">
        <v>38</v>
      </c>
      <c r="D86" s="5" t="s">
        <v>47</v>
      </c>
      <c r="E86" s="8" t="s">
        <v>48</v>
      </c>
      <c r="F86" s="5" t="s">
        <v>49</v>
      </c>
      <c r="G86" s="49"/>
      <c r="H86" s="49"/>
      <c r="I86" s="31"/>
    </row>
    <row r="87" spans="1:9" ht="18.75" customHeight="1" x14ac:dyDescent="0.25">
      <c r="A87" s="4"/>
      <c r="B87" s="49"/>
      <c r="C87" s="49"/>
      <c r="D87" s="6">
        <f>IF((((H20-(H23+H21/2))-((H83*H5/1000)/(0.85*H4*H70*1000/1000)))/((H83*H5/1000)/(0.85*H4*H70*1000/1000))*0.003)&lt;=(H5/H6),0.65,IF((((H20-(H23+H21/2))-((H83*H5/1000)/(0.85*H4*H70*1000/1000)))/((H83*H5/1000)/(0.85*H4*H70*1000/1000))*0.003)&lt;0.005,0.65+0.25*((((H20-(H23+H21/2))-((H83*H5/1000)/(0.85*H4*H70*1000/1000)))/((H83*H5/1000)/(0.85*H4*H70*1000/1000))*0.003)-(H5/H6))/(0.005-(H5/H6)),IF((((H20-(H23+H21/2))-((H83*H5/1000)/(0.85*H4*H70*1000/1000)))/((H83*H5/1000)/(0.85*H4*H70*1000/1000))*0.003)&gt;0.005,0.9,"EROR")))*((0.85*H4*H70*1000/1000)*((H83*H5/1000)/(0.85*H4*H70*1000/1000)))*((H20-(H23+H21/2))-H70*((H83*H5/1000)/(0.85*H4*H70*1000/1000))/2)/1000</f>
        <v>4.5518188814700915</v>
      </c>
      <c r="E87" s="8" t="str">
        <f>IF(D87&gt;F87,"&gt;","&lt;")</f>
        <v>&gt;</v>
      </c>
      <c r="F87" s="6">
        <f>H66</f>
        <v>3.136368</v>
      </c>
      <c r="G87" s="67" t="s">
        <v>28</v>
      </c>
      <c r="H87" s="65" t="str">
        <f>IF(D87&gt;=F87,"AMAN  (OK)","BAHAYA  (NG)")</f>
        <v>AMAN  (OK)</v>
      </c>
      <c r="I87" s="31"/>
    </row>
    <row r="88" spans="1:9" ht="18.75" customHeight="1" x14ac:dyDescent="0.25">
      <c r="A88" s="4"/>
      <c r="B88" s="49"/>
      <c r="C88" s="49"/>
      <c r="D88" s="49"/>
      <c r="E88" s="49"/>
      <c r="F88" s="49"/>
      <c r="G88" s="49"/>
      <c r="H88" s="49"/>
      <c r="I88" s="31"/>
    </row>
    <row r="89" spans="1:9" ht="18.75" customHeight="1" x14ac:dyDescent="0.25">
      <c r="A89" s="3" t="s">
        <v>126</v>
      </c>
      <c r="B89" s="41" t="s">
        <v>76</v>
      </c>
      <c r="C89" s="46"/>
      <c r="D89" s="46"/>
      <c r="E89" s="46"/>
      <c r="F89" s="46"/>
      <c r="G89" s="54"/>
      <c r="H89" s="55"/>
      <c r="I89" s="47"/>
    </row>
    <row r="90" spans="1:9" ht="18.75" customHeight="1" x14ac:dyDescent="0.25">
      <c r="A90" s="4"/>
      <c r="B90" s="49" t="s">
        <v>105</v>
      </c>
      <c r="C90" s="49"/>
      <c r="D90" s="49"/>
      <c r="E90" s="49"/>
      <c r="F90" s="49"/>
      <c r="G90" s="52" t="s">
        <v>36</v>
      </c>
      <c r="H90" s="7">
        <f>D78</f>
        <v>2E-3</v>
      </c>
      <c r="I90" s="31"/>
    </row>
    <row r="91" spans="1:9" ht="18.75" customHeight="1" x14ac:dyDescent="0.25">
      <c r="A91" s="4"/>
      <c r="B91" s="49" t="s">
        <v>42</v>
      </c>
      <c r="C91" s="49"/>
      <c r="D91" s="49"/>
      <c r="E91" s="49"/>
      <c r="F91" s="49"/>
      <c r="G91" s="52" t="s">
        <v>116</v>
      </c>
      <c r="H91" s="99">
        <f>H90*1000*(H20-(H23+H21/2))</f>
        <v>190</v>
      </c>
      <c r="I91" s="30" t="s">
        <v>43</v>
      </c>
    </row>
    <row r="92" spans="1:9" ht="18.75" customHeight="1" x14ac:dyDescent="0.25">
      <c r="A92" s="4"/>
      <c r="B92" s="49" t="s">
        <v>44</v>
      </c>
      <c r="C92" s="49"/>
      <c r="D92" s="49"/>
      <c r="E92"/>
      <c r="F92" s="97"/>
      <c r="G92" s="98"/>
      <c r="H92" s="86" t="str">
        <f>"P"&amp;H22&amp;" - "&amp;(ROUNDDOWN(MIN((PI()/4*H22^2*1000/H91),(3*H20),450)/25,0)*25)</f>
        <v>P10 - 350</v>
      </c>
      <c r="I92" s="31"/>
    </row>
    <row r="93" spans="1:9" customFormat="1" ht="18.75" customHeight="1" x14ac:dyDescent="0.25">
      <c r="A93" s="4"/>
      <c r="B93" s="49"/>
      <c r="C93" s="49"/>
      <c r="D93" s="49"/>
      <c r="E93" s="49"/>
      <c r="F93" s="49"/>
      <c r="G93" s="49"/>
      <c r="H93" s="49"/>
      <c r="I93" s="31"/>
    </row>
    <row r="94" spans="1:9" customFormat="1" ht="18.75" customHeight="1" x14ac:dyDescent="0.25">
      <c r="A94" s="3" t="s">
        <v>127</v>
      </c>
      <c r="B94" s="41" t="s">
        <v>123</v>
      </c>
      <c r="C94" s="46"/>
      <c r="D94" s="46"/>
      <c r="E94" s="46"/>
      <c r="F94" s="46"/>
      <c r="G94" s="54"/>
      <c r="H94" s="55"/>
      <c r="I94" s="47"/>
    </row>
    <row r="95" spans="1:9" customFormat="1" ht="18.75" customHeight="1" x14ac:dyDescent="0.25">
      <c r="A95" s="4"/>
      <c r="B95" s="49" t="s">
        <v>108</v>
      </c>
      <c r="C95" s="49"/>
      <c r="D95" s="49"/>
      <c r="E95" s="49"/>
      <c r="F95" s="49"/>
      <c r="G95" s="52"/>
      <c r="H95" s="27"/>
      <c r="I95" s="63"/>
    </row>
    <row r="96" spans="1:9" customFormat="1" ht="18.75" customHeight="1" x14ac:dyDescent="0.25">
      <c r="A96" s="4"/>
      <c r="B96" s="49"/>
      <c r="C96" s="49" t="s">
        <v>38</v>
      </c>
      <c r="D96" s="5" t="s">
        <v>107</v>
      </c>
      <c r="E96" s="8" t="s">
        <v>86</v>
      </c>
      <c r="F96" s="5" t="s">
        <v>106</v>
      </c>
      <c r="G96" s="52"/>
      <c r="H96" s="27"/>
      <c r="I96" s="63"/>
    </row>
    <row r="97" spans="1:9" customFormat="1" ht="18.75" customHeight="1" x14ac:dyDescent="0.25">
      <c r="A97" s="4"/>
      <c r="B97" s="49"/>
      <c r="C97" s="49"/>
      <c r="D97" s="6">
        <f>H67</f>
        <v>9.4916399999999985</v>
      </c>
      <c r="E97" s="64" t="str">
        <f>IF(D97&lt;F97,"&lt;","≥")</f>
        <v>&lt;</v>
      </c>
      <c r="F97" s="6">
        <f>(0.75*(SQRT(H4)/6*1000*(H20-(H23+H21/2))/1000))</f>
        <v>64.003936646506347</v>
      </c>
      <c r="G97" s="65" t="s">
        <v>28</v>
      </c>
      <c r="H97" s="28" t="str">
        <f>IF(D97&lt;F97,"[ OK ]","[ Use Tmax ]")</f>
        <v>[ OK ]</v>
      </c>
      <c r="I97" s="63"/>
    </row>
    <row r="98" spans="1:9" ht="18.75" customHeight="1" x14ac:dyDescent="0.25">
      <c r="A98" s="29"/>
      <c r="B98" s="49"/>
      <c r="C98" s="49"/>
      <c r="D98" s="49"/>
      <c r="E98" s="49"/>
      <c r="F98" s="49"/>
      <c r="G98" s="52"/>
      <c r="H98" s="25"/>
      <c r="I98" s="30"/>
    </row>
    <row r="99" spans="1:9" ht="18.75" customHeight="1" x14ac:dyDescent="0.25">
      <c r="A99" s="3" t="s">
        <v>128</v>
      </c>
      <c r="B99" s="41" t="s">
        <v>129</v>
      </c>
      <c r="C99" s="46"/>
      <c r="D99" s="46"/>
      <c r="E99" s="46"/>
      <c r="F99" s="46"/>
      <c r="G99" s="54"/>
      <c r="H99" s="55"/>
      <c r="I99" s="47"/>
    </row>
    <row r="100" spans="1:9" ht="18.75" customHeight="1" x14ac:dyDescent="0.25">
      <c r="A100" s="4"/>
      <c r="B100" s="66" t="s">
        <v>50</v>
      </c>
      <c r="C100" s="49"/>
      <c r="D100" s="49"/>
      <c r="E100" s="52"/>
      <c r="F100" s="49"/>
      <c r="G100" s="52" t="s">
        <v>121</v>
      </c>
      <c r="H100" s="10">
        <f>5/384*H52*(H19*1000)^4/((4700*SQRT(H4))*((((0.62*SQRT(H4))*(1/12*1000*H20^3)/(H20/2))/AVERAGE((IF(H17="Pelat 1",1/14*H52*H44^2,IF(H17="Pelat 2",1/16*H52*H44^2,IF(H17="Pelat 3",1/16*H52*H44^2,"[ EROR ]")))*10^6),(IF(H17="Pelat 1",1/10*H52*H44^2,IF(H17="Pelat 2",1/24*H52*H44^2,IF(H17="Pelat 3",1/11*H52*H44^2,"[ EROR ]")))*10^6),(IF(H17="Pelat 1",1/24*H52*H44^2,IF(H17="Pelat 2",1/11*H52*H44^2,IF(H17="Pelat 3",1/11*H52*H44^2,"[ EROR ]")))*10^6)))^3*(1/12*1000*H20^3)+(1-(((0.62*SQRT(H4))*(1/12*1000*H20^3)/(H20/2))/AVERAGE((IF(H17="Pelat 1",1/14*H52*H44^2,IF(H17="Pelat 2",1/16*H52*H44^2,IF(H17="Pelat 3",1/16*H52*H44^2,"[ EROR ]")))*10^6),(IF(H17="Pelat 1",1/10*H52*H44^2,IF(H17="Pelat 2",1/24*H52*H44^2,IF(H17="Pelat 3",1/11*H52*H44^2,"[ EROR ]")))*10^6),(IF(H17="Pelat 1",1/24*H52*H44^2,IF(H17="Pelat 2",1/11*H52*H44^2,IF(H17="Pelat 3",1/11*H52*H44^2,"[ EROR ]")))*10^6)))^3)*(1/3*1000*((IF(H6/(4700*SQRT(H4))&gt;6,H6/(4700*SQRT(H4)),6))*H83/1000)^3+(IF(H6/(4700*SQRT(H4))&gt;6,H6/(4700*SQRT(H4)),6))*H83*((H20-(H23+H21/2))-((IF(H6/(4700*SQRT(H4))&gt;6,H6/(4700*SQRT(H4)),6))*H83/1000))^2)))</f>
        <v>9.6722229312941974E-3</v>
      </c>
      <c r="I100" s="31" t="s">
        <v>18</v>
      </c>
    </row>
    <row r="101" spans="1:9" ht="18.75" customHeight="1" x14ac:dyDescent="0.25">
      <c r="A101" s="4"/>
      <c r="B101" s="49" t="s">
        <v>51</v>
      </c>
      <c r="C101" s="49"/>
      <c r="D101" s="49"/>
      <c r="E101" s="49"/>
      <c r="F101" s="49"/>
      <c r="G101" s="52" t="s">
        <v>122</v>
      </c>
      <c r="H101" s="10">
        <f>(2/(1+50*(H83/(1000*(H20-(H23+H21/2))))))*5/384*H52*(H19*1000)^4/((4700*SQRT(H4))*((((0.62*SQRT(H4))*(1/12*1000*H20^3)/(H20/2))/AVERAGE((IF(H17="Pelat 1",1/14*H52*H44^2,IF(H17="Pelat 2",1/16*H52*H44^2,IF(H17="Pelat 3",1/16*H52*H44^2,"[ EROR ]")))*10^6),(IF(H17="Pelat 1",1/10*H52*H44^2,IF(H17="Pelat 2",1/24*H52*H44^2,IF(H17="Pelat 3",1/11*H52*H44^2,"[ EROR ]")))*10^6),(IF(H17="Pelat 1",1/24*H52*H44^2,IF(H17="Pelat 2",1/11*H52*H44^2,IF(H17="Pelat 3",1/11*H52*H44^2,"[ EROR ]")))*10^6)))^3*(1/12*1000*H20^3)+(1-(((0.62*SQRT(H4))*(1/12*1000*H20^3)/(H20/2))/AVERAGE((IF(H17="Pelat 1",1/14*H52*H44^2,IF(H17="Pelat 2",1/16*H52*H44^2,IF(H17="Pelat 3",1/16*H52*H44^2,"[ EROR ]")))*10^6),(IF(H17="Pelat 1",1/10*H52*H44^2,IF(H17="Pelat 2",1/24*H52*H44^2,IF(H17="Pelat 3",1/11*H52*H44^2,"[ EROR ]")))*10^6),(IF(H17="Pelat 1",1/24*H52*H44^2,IF(H17="Pelat 2",1/11*H52*H44^2,IF(H17="Pelat 3",1/11*H52*H44^2,"[ EROR ]")))*10^6)))^3)*(1/3*1000*((IF(H6/(4700*SQRT(H4))&gt;6,H6/(4700*SQRT(H4)),6))*H83/1000)^3+(IF(H6/(4700*SQRT(H4))&gt;6,H6/(4700*SQRT(H4)),6))*H83*((H20-(H23+H21/2))-((IF(H6/(4700*SQRT(H4))&gt;6,H6/(4700*SQRT(H4)),6))*H83/1000))^2)))</f>
        <v>1.7301099707003886E-2</v>
      </c>
      <c r="I101" s="31" t="s">
        <v>18</v>
      </c>
    </row>
    <row r="102" spans="1:9" ht="18.75" customHeight="1" x14ac:dyDescent="0.25">
      <c r="A102" s="4"/>
      <c r="B102" s="49" t="s">
        <v>52</v>
      </c>
      <c r="C102" s="70"/>
      <c r="D102" s="73"/>
      <c r="E102" s="74"/>
      <c r="F102" s="75"/>
      <c r="G102" s="52" t="s">
        <v>53</v>
      </c>
      <c r="H102" s="11">
        <f>H100+H101</f>
        <v>2.6973322638298082E-2</v>
      </c>
      <c r="I102" s="76" t="s">
        <v>18</v>
      </c>
    </row>
    <row r="103" spans="1:9" ht="18.75" customHeight="1" x14ac:dyDescent="0.25">
      <c r="A103" s="4"/>
      <c r="B103" s="49" t="s">
        <v>38</v>
      </c>
      <c r="C103" s="49"/>
      <c r="D103" s="5" t="s">
        <v>54</v>
      </c>
      <c r="E103" s="8" t="s">
        <v>55</v>
      </c>
      <c r="F103" s="5" t="s">
        <v>100</v>
      </c>
      <c r="G103" s="49"/>
      <c r="H103" s="77"/>
      <c r="I103" s="76"/>
    </row>
    <row r="104" spans="1:9" ht="18.75" customHeight="1" x14ac:dyDescent="0.25">
      <c r="A104" s="4"/>
      <c r="B104" s="49"/>
      <c r="C104" s="49"/>
      <c r="D104" s="6">
        <f>H102</f>
        <v>2.6973322638298082E-2</v>
      </c>
      <c r="E104" s="8" t="str">
        <f>IF(D104&gt;F104,"&gt;","&lt;")</f>
        <v>&lt;</v>
      </c>
      <c r="F104" s="6">
        <f>((H19*1000)/240)</f>
        <v>10.416666666666666</v>
      </c>
      <c r="G104" s="67" t="s">
        <v>28</v>
      </c>
      <c r="H104" s="65" t="str">
        <f>IF(D104&lt;=F104,"AMAN  (OK)","BAHAYA  (NG)")</f>
        <v>AMAN  (OK)</v>
      </c>
      <c r="I104" s="76"/>
    </row>
    <row r="105" spans="1:9" ht="18.75" customHeight="1" x14ac:dyDescent="0.25">
      <c r="A105" s="33"/>
      <c r="B105" s="78"/>
      <c r="C105" s="78"/>
      <c r="D105" s="79"/>
      <c r="E105" s="80"/>
      <c r="F105" s="81"/>
      <c r="G105" s="78"/>
      <c r="H105" s="82"/>
      <c r="I105" s="83"/>
    </row>
  </sheetData>
  <mergeCells count="7">
    <mergeCell ref="B1:F1"/>
    <mergeCell ref="B37:F37"/>
    <mergeCell ref="C30:E30"/>
    <mergeCell ref="C31:E31"/>
    <mergeCell ref="C32:E32"/>
    <mergeCell ref="C33:E33"/>
    <mergeCell ref="C34:E34"/>
  </mergeCells>
  <dataValidations disablePrompts="1" count="1">
    <dataValidation type="list" allowBlank="1" showInputMessage="1" showErrorMessage="1" sqref="H17" xr:uid="{861ED48B-A429-414C-8107-559EDBC63EEB}">
      <formula1>"Pelat 1,Pelat 2,Pelat 3"</formula1>
    </dataValidation>
  </dataValidations>
  <pageMargins left="0.7" right="0.7" top="0.75" bottom="0.75" header="0.3" footer="0.3"/>
  <pageSetup paperSize="9" orientation="portrait" horizontalDpi="4294967293" verticalDpi="0" r:id="rId1"/>
  <ignoredErrors>
    <ignoredError sqref="H44:H46 H51:H5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+ 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indra raj suweda</cp:lastModifiedBy>
  <cp:lastPrinted>2021-05-19T01:28:42Z</cp:lastPrinted>
  <dcterms:created xsi:type="dcterms:W3CDTF">2021-05-05T11:06:10Z</dcterms:created>
  <dcterms:modified xsi:type="dcterms:W3CDTF">2024-08-14T06:49:44Z</dcterms:modified>
</cp:coreProperties>
</file>