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Lite/"/>
    </mc:Choice>
  </mc:AlternateContent>
  <xr:revisionPtr revIDLastSave="1" documentId="13_ncr:1_{2EF2BDF4-8636-4D3B-829D-9CF8C9C229BB}" xr6:coauthVersionLast="47" xr6:coauthVersionMax="47" xr10:uidLastSave="{1C798336-3FE6-43FF-850A-8C52294C202E}"/>
  <bookViews>
    <workbookView xWindow="-120" yWindow="-120" windowWidth="29040" windowHeight="15720" xr2:uid="{00000000-000D-0000-FFFF-FFFF00000000}"/>
  </bookViews>
  <sheets>
    <sheet name="Input + Proces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2" l="1"/>
  <c r="D49" i="2"/>
  <c r="F49" i="2"/>
  <c r="E40" i="2"/>
  <c r="D40" i="2"/>
  <c r="H37" i="2"/>
  <c r="F40" i="2" s="1"/>
  <c r="D34" i="2"/>
  <c r="H68" i="2"/>
  <c r="H60" i="2"/>
  <c r="F34" i="2" l="1"/>
  <c r="H87" i="2" l="1"/>
  <c r="H88" i="2" s="1"/>
  <c r="H54" i="2"/>
  <c r="H55" i="2" s="1"/>
  <c r="H51" i="2" l="1"/>
  <c r="H34" i="2"/>
  <c r="E34" i="2"/>
  <c r="H40" i="2" l="1"/>
  <c r="H42" i="2"/>
  <c r="H43" i="2" s="1"/>
  <c r="H58" i="2" s="1"/>
  <c r="E49" i="2"/>
  <c r="H49" i="2"/>
  <c r="G60" i="2" l="1"/>
  <c r="H66" i="2"/>
  <c r="H67" i="2" l="1"/>
  <c r="H61" i="2"/>
  <c r="H85" i="2" s="1"/>
  <c r="H62" i="2"/>
  <c r="F68" i="2"/>
  <c r="H63" i="2" l="1"/>
  <c r="G68" i="2"/>
  <c r="H69" i="2" s="1"/>
</calcChain>
</file>

<file path=xl/sharedStrings.xml><?xml version="1.0" encoding="utf-8"?>
<sst xmlns="http://schemas.openxmlformats.org/spreadsheetml/2006/main" count="123" uniqueCount="95">
  <si>
    <t>MPa</t>
  </si>
  <si>
    <t>→</t>
  </si>
  <si>
    <t>NO.</t>
  </si>
  <si>
    <t>EXPLANATORY</t>
  </si>
  <si>
    <t>FORMULA</t>
  </si>
  <si>
    <t>VALUE</t>
  </si>
  <si>
    <t>UNIT</t>
  </si>
  <si>
    <t>INPUT DATA PERENCANAAN</t>
  </si>
  <si>
    <t>A.</t>
  </si>
  <si>
    <t>&lt;</t>
  </si>
  <si>
    <t>h =</t>
  </si>
  <si>
    <t>A.1.</t>
  </si>
  <si>
    <t>Input Nilai Bahan Struktur</t>
  </si>
  <si>
    <t>Kuat tekan beton,</t>
  </si>
  <si>
    <r>
      <t>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</si>
  <si>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t xml:space="preserve">Tegangan leleh baja (deform) untuk tulangan lentur, </t>
  </si>
  <si>
    <r>
      <t>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</si>
  <si>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A.2.</t>
  </si>
  <si>
    <t>Input Nilai Dimensi Balok &amp; Pelat</t>
  </si>
  <si>
    <t>Lebar balok</t>
  </si>
  <si>
    <t>b =</t>
  </si>
  <si>
    <t>mm</t>
  </si>
  <si>
    <t>Tinggi balok</t>
  </si>
  <si>
    <t>Diameter tulangan (deform) yang digunakan,</t>
  </si>
  <si>
    <t>D =</t>
  </si>
  <si>
    <t>Diameter sengkang (polos) yang digunakan,</t>
  </si>
  <si>
    <t>P =</t>
  </si>
  <si>
    <t>Tebal bersih selimut beton,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</si>
  <si>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</si>
  <si>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Input Nilai Beban</t>
  </si>
  <si>
    <t xml:space="preserve">kN </t>
  </si>
  <si>
    <t>B.</t>
  </si>
  <si>
    <r>
      <t>mm</t>
    </r>
    <r>
      <rPr>
        <vertAlign val="superscript"/>
        <sz val="11"/>
        <rFont val="Calibri"/>
        <family val="2"/>
        <scheme val="minor"/>
      </rPr>
      <t>2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</si>
  <si>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         </t>
    </r>
  </si>
  <si>
    <t xml:space="preserve">Faktor bentuk distribusi tegangan beton,            </t>
  </si>
  <si>
    <t>ANALISA NILAI MOMEN PROBABILITAS</t>
  </si>
  <si>
    <t>Jarak pusat beban ke muka tumpuan,</t>
  </si>
  <si>
    <r>
      <t>a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</si>
  <si>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uc</t>
    </r>
    <r>
      <rPr>
        <sz val="11"/>
        <rFont val="Calibri"/>
        <family val="2"/>
        <scheme val="minor"/>
      </rPr>
      <t xml:space="preserve"> =</t>
    </r>
  </si>
  <si>
    <t>Gaya geser ultimit akibat beban terfaktor,</t>
  </si>
  <si>
    <t>Gaya tarik horizontal ultimit akibat beban terfaktor,</t>
  </si>
  <si>
    <r>
      <t>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</si>
  <si>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>Kontrol dimensi penampang balok konsol,</t>
  </si>
  <si>
    <t>Syarat :</t>
  </si>
  <si>
    <t>Digunakan jumlah tulangan dalam satu baris,</t>
  </si>
  <si>
    <r>
      <t>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</si>
  <si>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bh</t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</si>
  <si>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</si>
  <si>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Kontrol nilai rasio tulangan perlu,</t>
  </si>
  <si>
    <t>ρ</t>
  </si>
  <si>
    <t>Rasio tulangan pakai,</t>
  </si>
  <si>
    <r>
      <t>ρ</t>
    </r>
    <r>
      <rPr>
        <sz val="11"/>
        <rFont val="Calibri"/>
        <family val="2"/>
        <scheme val="minor"/>
      </rPr>
      <t xml:space="preserve"> =</t>
    </r>
  </si>
  <si>
    <t>Luas tulangan yang diperlukan,</t>
  </si>
  <si>
    <t>Faktor reduksi kekuatan gaya geser,</t>
  </si>
  <si>
    <t>Kontrol nilai gaya geser perlu terhadap gaya geser rencana,</t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</si>
  <si>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</si>
  <si>
    <r>
      <t>V</t>
    </r>
    <r>
      <rPr>
        <vertAlign val="subscript"/>
        <sz val="11"/>
        <color theme="1"/>
        <rFont val="Calibri"/>
        <family val="2"/>
        <scheme val="minor"/>
      </rPr>
      <t>n-max</t>
    </r>
  </si>
  <si>
    <t>Kebutuhan Tulangan Utama Berdasarkan Gaya Geser Friksi</t>
  </si>
  <si>
    <t>Kebutuhan Tulangan Utama Berdasarkan Gaya Momen</t>
  </si>
  <si>
    <t>Kebutuhan Tulangan Utama Berdasarkan Gaya Tarik Horizontal</t>
  </si>
  <si>
    <r>
      <t>A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N</t>
    </r>
    <r>
      <rPr>
        <vertAlign val="subscript"/>
        <sz val="11"/>
        <rFont val="Calibri"/>
        <family val="2"/>
        <scheme val="minor"/>
      </rPr>
      <t>nc</t>
    </r>
    <r>
      <rPr>
        <sz val="11"/>
        <rFont val="Calibri"/>
        <family val="2"/>
        <scheme val="minor"/>
      </rPr>
      <t xml:space="preserve"> 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 </t>
    </r>
  </si>
  <si>
    <t>Perhitungan Tulangan Utama &amp; Tulangan Sengkang</t>
  </si>
  <si>
    <t>Luas tulangan tarik utama,</t>
  </si>
  <si>
    <r>
      <t>A</t>
    </r>
    <r>
      <rPr>
        <vertAlign val="subscript"/>
        <sz val="11"/>
        <color theme="1"/>
        <rFont val="Calibri"/>
        <family val="2"/>
        <scheme val="minor"/>
      </rPr>
      <t>sc</t>
    </r>
    <r>
      <rPr>
        <sz val="11"/>
        <color theme="1"/>
        <rFont val="Calibri"/>
        <family val="2"/>
        <scheme val="minor"/>
      </rPr>
      <t xml:space="preserve">  =</t>
    </r>
  </si>
  <si>
    <t>Jumlah tulangan yang diperlukan,</t>
  </si>
  <si>
    <t>Luas tulangan terpakai,</t>
  </si>
  <si>
    <t>Jumlah baris tulangan,</t>
  </si>
  <si>
    <r>
      <t>n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n /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</si>
  <si>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Syarat:</t>
  </si>
  <si>
    <r>
      <t>n</t>
    </r>
    <r>
      <rPr>
        <vertAlign val="subscript"/>
        <sz val="11"/>
        <rFont val="Calibri"/>
        <family val="2"/>
        <scheme val="minor"/>
      </rPr>
      <t>b</t>
    </r>
  </si>
  <si>
    <t>&lt;    1</t>
  </si>
  <si>
    <t>Digunakan tulangan,</t>
  </si>
  <si>
    <t>Jumlah tulangan sengkang per tulangan utama,</t>
  </si>
  <si>
    <t>jarak antar tulangan sengkang per tulangan utama,</t>
  </si>
  <si>
    <t>Panjang Penyaluran</t>
  </si>
  <si>
    <t>Panjang penyaluran pakai,</t>
  </si>
  <si>
    <r>
      <t>l</t>
    </r>
    <r>
      <rPr>
        <vertAlign val="subscript"/>
        <sz val="11"/>
        <color theme="1"/>
        <rFont val="Calibri"/>
        <family val="2"/>
        <scheme val="minor"/>
      </rPr>
      <t>dh</t>
    </r>
    <r>
      <rPr>
        <sz val="11"/>
        <color theme="1"/>
        <rFont val="Calibri"/>
        <family val="2"/>
        <scheme val="minor"/>
      </rPr>
      <t xml:space="preserve"> =</t>
    </r>
  </si>
  <si>
    <r>
      <t>Panjang kait 90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perlu,</t>
    </r>
  </si>
  <si>
    <r>
      <t>l</t>
    </r>
    <r>
      <rPr>
        <vertAlign val="subscript"/>
        <sz val="11"/>
        <color theme="1"/>
        <rFont val="Calibri"/>
        <family val="2"/>
        <scheme val="minor"/>
      </rPr>
      <t>90</t>
    </r>
    <r>
      <rPr>
        <sz val="11"/>
        <color theme="1"/>
        <rFont val="Calibri"/>
        <family val="2"/>
        <scheme val="minor"/>
      </rPr>
      <t xml:space="preserve"> =</t>
    </r>
  </si>
  <si>
    <r>
      <t>Panjang kait 90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pakai,</t>
    </r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</si>
  <si>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/ d</t>
    </r>
  </si>
  <si>
    <t>B.1.</t>
  </si>
  <si>
    <t>B.2.</t>
  </si>
  <si>
    <t>B.3.</t>
  </si>
  <si>
    <t>B.4.</t>
  </si>
  <si>
    <t>B.5.</t>
  </si>
  <si>
    <t>A.3.</t>
  </si>
  <si>
    <r>
      <t>ρ</t>
    </r>
    <r>
      <rPr>
        <i/>
        <vertAlign val="subscript"/>
        <sz val="11"/>
        <rFont val="Calibri"/>
        <family val="2"/>
        <scheme val="minor"/>
      </rPr>
      <t>min</t>
    </r>
  </si>
  <si>
    <r>
      <t>ρ</t>
    </r>
    <r>
      <rPr>
        <i/>
        <vertAlign val="subscript"/>
        <sz val="11"/>
        <rFont val="Calibri"/>
        <family val="2"/>
        <scheme val="minor"/>
      </rPr>
      <t>maks</t>
    </r>
  </si>
  <si>
    <r>
      <t>A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</si>
  <si>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rFont val="Calibri"/>
        <family val="2"/>
        <scheme val="minor"/>
      </rPr>
      <t>vf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</si>
  <si>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rFont val="Calibri"/>
        <family val="2"/>
        <scheme val="minor"/>
      </rPr>
      <t>sc</t>
    </r>
    <r>
      <rPr>
        <sz val="11"/>
        <rFont val="Calibri"/>
        <family val="2"/>
        <scheme val="minor"/>
      </rPr>
      <t xml:space="preserve"> =</t>
    </r>
  </si>
  <si>
    <t>n =</t>
  </si>
  <si>
    <r>
      <t>n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</si>
  <si>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t>y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</si>
</sst>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name val="Calibri Light"/>
      <family val="2"/>
      <scheme val="major"/>
    </font>
    <font>
      <sz val="11"/>
      <color theme="0" tint="-0.1499984740745262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vertAlign val="subscript"/>
      <sz val="1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theme="0"/>
      <name val="Calibri Light"/>
      <family val="2"/>
      <scheme val="major"/>
    </font>
    <font>
      <b/>
      <sz val="12"/>
      <color theme="0"/>
      <name val="Calibri Light"/>
      <family val="2"/>
      <charset val="1"/>
      <scheme val="major"/>
    </font>
    <font>
      <b/>
      <sz val="11"/>
      <name val="Calibri Light"/>
      <family val="2"/>
      <charset val="1"/>
      <scheme val="major"/>
    </font>
    <font>
      <b/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1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vertical="center"/>
    </xf>
    <xf numFmtId="2" fontId="11" fillId="4" borderId="3" xfId="1" applyNumberFormat="1" applyFont="1" applyFill="1" applyBorder="1" applyAlignment="1" applyProtection="1">
      <alignment horizontal="center" vertical="center"/>
      <protection locked="0"/>
    </xf>
    <xf numFmtId="1" fontId="11" fillId="4" borderId="3" xfId="1" applyNumberFormat="1" applyFont="1" applyFill="1" applyBorder="1" applyAlignment="1" applyProtection="1">
      <alignment horizontal="center" vertical="center"/>
      <protection locked="0"/>
    </xf>
    <xf numFmtId="2" fontId="2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3" xfId="0" applyNumberForma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" fontId="2" fillId="0" borderId="5" xfId="1" applyNumberFormat="1" applyFont="1" applyBorder="1" applyAlignment="1">
      <alignment horizontal="right" vertical="center"/>
    </xf>
    <xf numFmtId="1" fontId="2" fillId="0" borderId="5" xfId="1" applyNumberFormat="1" applyFont="1" applyBorder="1" applyAlignment="1">
      <alignment vertical="center"/>
    </xf>
    <xf numFmtId="1" fontId="2" fillId="0" borderId="6" xfId="1" applyNumberFormat="1" applyFont="1" applyBorder="1" applyAlignment="1">
      <alignment horizontal="right" vertical="center"/>
    </xf>
    <xf numFmtId="0" fontId="2" fillId="3" borderId="0" xfId="1" applyFont="1" applyFill="1" applyAlignment="1">
      <alignment horizontal="center" vertical="center"/>
    </xf>
    <xf numFmtId="0" fontId="5" fillId="2" borderId="8" xfId="1" applyFont="1" applyFill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10" fillId="3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right" vertical="center"/>
    </xf>
    <xf numFmtId="0" fontId="2" fillId="3" borderId="8" xfId="1" applyFont="1" applyFill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2" fontId="10" fillId="0" borderId="0" xfId="1" applyNumberFormat="1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2" fontId="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165" fontId="2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8" xfId="1" applyNumberFormat="1" applyFont="1" applyBorder="1" applyAlignment="1">
      <alignment horizontal="left" vertical="center" indent="1"/>
    </xf>
    <xf numFmtId="1" fontId="2" fillId="0" borderId="0" xfId="1" applyNumberFormat="1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9" fillId="2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5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2" fillId="3" borderId="8" xfId="1" applyFont="1" applyFill="1" applyBorder="1" applyAlignment="1">
      <alignment horizontal="left" vertical="center" indent="1"/>
    </xf>
    <xf numFmtId="0" fontId="2" fillId="0" borderId="8" xfId="1" applyFont="1" applyBorder="1" applyAlignment="1">
      <alignment horizontal="left" vertical="center" indent="1"/>
    </xf>
    <xf numFmtId="164" fontId="2" fillId="0" borderId="8" xfId="1" applyNumberFormat="1" applyFont="1" applyBorder="1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2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123B5A32-2514-4FB3-AC46-F0879DB86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773430</xdr:colOff>
      <xdr:row>38</xdr:row>
      <xdr:rowOff>0</xdr:rowOff>
    </xdr:from>
    <xdr:to>
      <xdr:col>4</xdr:col>
      <xdr:colOff>207645</xdr:colOff>
      <xdr:row>39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CC473E-E062-4C6C-B2C3-06DDA6E8EAE3}"/>
            </a:ext>
          </a:extLst>
        </xdr:cNvPr>
        <xdr:cNvSpPr txBox="1"/>
      </xdr:nvSpPr>
      <xdr:spPr>
        <a:xfrm>
          <a:off x="2773680" y="14763750"/>
          <a:ext cx="24384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38</xdr:row>
      <xdr:rowOff>0</xdr:rowOff>
    </xdr:from>
    <xdr:to>
      <xdr:col>5</xdr:col>
      <xdr:colOff>127635</xdr:colOff>
      <xdr:row>39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B464A4-2B1B-4BA4-8D69-724D72015534}"/>
            </a:ext>
          </a:extLst>
        </xdr:cNvPr>
        <xdr:cNvSpPr txBox="1"/>
      </xdr:nvSpPr>
      <xdr:spPr>
        <a:xfrm>
          <a:off x="3560445" y="14763750"/>
          <a:ext cx="18669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38</xdr:row>
      <xdr:rowOff>198120</xdr:rowOff>
    </xdr:from>
    <xdr:to>
      <xdr:col>4</xdr:col>
      <xdr:colOff>192405</xdr:colOff>
      <xdr:row>39</xdr:row>
      <xdr:rowOff>182880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67F6048-524B-4C10-9773-4096BC392747}"/>
            </a:ext>
          </a:extLst>
        </xdr:cNvPr>
        <xdr:cNvSpPr txBox="1"/>
      </xdr:nvSpPr>
      <xdr:spPr>
        <a:xfrm>
          <a:off x="2767965" y="14961870"/>
          <a:ext cx="234315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38</xdr:row>
      <xdr:rowOff>198120</xdr:rowOff>
    </xdr:from>
    <xdr:to>
      <xdr:col>5</xdr:col>
      <xdr:colOff>112395</xdr:colOff>
      <xdr:row>39</xdr:row>
      <xdr:rowOff>182880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190B726-9F49-481D-8618-7D517AFF4643}"/>
            </a:ext>
          </a:extLst>
        </xdr:cNvPr>
        <xdr:cNvSpPr txBox="1"/>
      </xdr:nvSpPr>
      <xdr:spPr>
        <a:xfrm>
          <a:off x="3564255" y="14961870"/>
          <a:ext cx="167640" cy="22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169545</xdr:colOff>
      <xdr:row>59</xdr:row>
      <xdr:rowOff>0</xdr:rowOff>
    </xdr:from>
    <xdr:to>
      <xdr:col>8</xdr:col>
      <xdr:colOff>17145</xdr:colOff>
      <xdr:row>59</xdr:row>
      <xdr:rowOff>200025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856296F-4C78-48B8-92E6-2929B99FAC35}"/>
            </a:ext>
          </a:extLst>
        </xdr:cNvPr>
        <xdr:cNvSpPr txBox="1"/>
      </xdr:nvSpPr>
      <xdr:spPr>
        <a:xfrm>
          <a:off x="6094095" y="16621125"/>
          <a:ext cx="9906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169545</xdr:colOff>
      <xdr:row>66</xdr:row>
      <xdr:rowOff>228600</xdr:rowOff>
    </xdr:from>
    <xdr:to>
      <xdr:col>8</xdr:col>
      <xdr:colOff>17145</xdr:colOff>
      <xdr:row>67</xdr:row>
      <xdr:rowOff>200025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9DC3C6F-5062-45B5-B734-0820C7DC724B}"/>
            </a:ext>
          </a:extLst>
        </xdr:cNvPr>
        <xdr:cNvSpPr txBox="1"/>
      </xdr:nvSpPr>
      <xdr:spPr>
        <a:xfrm>
          <a:off x="6094095" y="19002375"/>
          <a:ext cx="9906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</a:t>
          </a:r>
          <a:endParaRPr lang="id-ID" sz="1100"/>
        </a:p>
      </xdr:txBody>
    </xdr:sp>
    <xdr:clientData/>
  </xdr:twoCellAnchor>
  <xdr:twoCellAnchor>
    <xdr:from>
      <xdr:col>6</xdr:col>
      <xdr:colOff>379095</xdr:colOff>
      <xdr:row>66</xdr:row>
      <xdr:rowOff>209550</xdr:rowOff>
    </xdr:from>
    <xdr:to>
      <xdr:col>6</xdr:col>
      <xdr:colOff>666750</xdr:colOff>
      <xdr:row>68</xdr:row>
      <xdr:rowOff>19050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8F9EABB-AD22-41A6-96B5-E87DB4DDCAD1}"/>
            </a:ext>
          </a:extLst>
        </xdr:cNvPr>
        <xdr:cNvSpPr txBox="1"/>
      </xdr:nvSpPr>
      <xdr:spPr>
        <a:xfrm>
          <a:off x="5351145" y="18983325"/>
          <a:ext cx="28765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x</a:t>
          </a:r>
          <a:endParaRPr lang="id-ID" sz="1100"/>
        </a:p>
      </xdr:txBody>
    </xdr:sp>
    <xdr:clientData/>
  </xdr:twoCellAnchor>
  <xdr:twoCellAnchor editAs="oneCell">
    <xdr:from>
      <xdr:col>1</xdr:col>
      <xdr:colOff>635001</xdr:colOff>
      <xdr:row>72</xdr:row>
      <xdr:rowOff>34925</xdr:rowOff>
    </xdr:from>
    <xdr:to>
      <xdr:col>7</xdr:col>
      <xdr:colOff>819151</xdr:colOff>
      <xdr:row>83</xdr:row>
      <xdr:rowOff>214083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28BC3A6-C1B4-4C62-9946-9FD8556BE1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208" b="22393"/>
        <a:stretch/>
      </xdr:blipFill>
      <xdr:spPr>
        <a:xfrm>
          <a:off x="1104901" y="16913225"/>
          <a:ext cx="5911850" cy="2763608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2</xdr:row>
      <xdr:rowOff>127001</xdr:rowOff>
    </xdr:from>
    <xdr:to>
      <xdr:col>7</xdr:col>
      <xdr:colOff>66675</xdr:colOff>
      <xdr:row>12</xdr:row>
      <xdr:rowOff>205615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A42A4C3-E6CA-4DA8-B6F4-06E2AD762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442" b="22768"/>
        <a:stretch/>
      </xdr:blipFill>
      <xdr:spPr>
        <a:xfrm>
          <a:off x="1476376" y="565151"/>
          <a:ext cx="4514849" cy="2459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B35D-3D81-4DB6-B1B6-FDF470EC52EF}">
  <dimension ref="A1:M90"/>
  <sheetViews>
    <sheetView showGridLines="0" tabSelected="1" workbookViewId="0">
      <selection activeCell="G88" sqref="G88"/>
    </sheetView>
  </sheetViews>
  <sheetFormatPr defaultRowHeight="15" x14ac:dyDescent="0.25"/>
  <cols>
    <col min="1" max="1" width="6.7109375" customWidth="1"/>
    <col min="2" max="6" width="13.5703125" customWidth="1"/>
    <col min="7" max="7" width="14.28515625" customWidth="1"/>
    <col min="8" max="8" width="17.140625" customWidth="1"/>
    <col min="9" max="9" width="12.140625" customWidth="1"/>
  </cols>
  <sheetData>
    <row r="1" spans="1:13" ht="15.75" x14ac:dyDescent="0.25">
      <c r="A1" s="55" t="s">
        <v>2</v>
      </c>
      <c r="B1" s="66" t="s">
        <v>3</v>
      </c>
      <c r="C1" s="67"/>
      <c r="D1" s="67"/>
      <c r="E1" s="67"/>
      <c r="F1" s="67"/>
      <c r="G1" s="56" t="s">
        <v>4</v>
      </c>
      <c r="H1" s="56" t="s">
        <v>5</v>
      </c>
      <c r="I1" s="56" t="s">
        <v>6</v>
      </c>
    </row>
    <row r="2" spans="1:13" s="2" customFormat="1" ht="18.75" customHeight="1" x14ac:dyDescent="0.25">
      <c r="A2" s="50" t="s">
        <v>8</v>
      </c>
      <c r="B2" s="5" t="s">
        <v>7</v>
      </c>
      <c r="C2" s="3"/>
      <c r="D2" s="3"/>
      <c r="E2" s="3"/>
      <c r="F2" s="3"/>
      <c r="G2" s="21"/>
      <c r="H2" s="3"/>
      <c r="I2" s="30"/>
      <c r="J2" s="1"/>
      <c r="K2" s="1"/>
      <c r="L2" s="1"/>
      <c r="M2" s="1"/>
    </row>
    <row r="3" spans="1:13" s="2" customFormat="1" ht="18.75" customHeight="1" x14ac:dyDescent="0.25">
      <c r="A3" s="51"/>
      <c r="B3" s="19"/>
      <c r="C3" s="18"/>
      <c r="D3" s="18"/>
      <c r="E3" s="18"/>
      <c r="F3" s="18"/>
      <c r="G3" s="22"/>
      <c r="H3" s="18"/>
      <c r="I3" s="31"/>
      <c r="J3" s="1"/>
      <c r="K3" s="1"/>
      <c r="L3" s="1"/>
      <c r="M3" s="1"/>
    </row>
    <row r="4" spans="1:13" s="2" customFormat="1" ht="18.75" customHeight="1" x14ac:dyDescent="0.25">
      <c r="A4" s="51"/>
      <c r="B4" s="19"/>
      <c r="C4" s="18"/>
      <c r="D4" s="18"/>
      <c r="E4" s="18"/>
      <c r="F4" s="18"/>
      <c r="G4" s="22"/>
      <c r="H4" s="18"/>
      <c r="I4" s="31"/>
      <c r="J4" s="1"/>
      <c r="K4" s="1"/>
      <c r="L4" s="1"/>
      <c r="M4" s="1"/>
    </row>
    <row r="5" spans="1:13" s="2" customFormat="1" ht="18.75" customHeight="1" x14ac:dyDescent="0.25">
      <c r="A5" s="51"/>
      <c r="B5" s="19"/>
      <c r="C5" s="18"/>
      <c r="D5" s="18"/>
      <c r="E5" s="18"/>
      <c r="F5" s="18"/>
      <c r="G5" s="22"/>
      <c r="H5" s="18"/>
      <c r="I5" s="31"/>
      <c r="J5" s="1"/>
      <c r="K5" s="1"/>
      <c r="L5" s="1"/>
      <c r="M5" s="1"/>
    </row>
    <row r="6" spans="1:13" s="2" customFormat="1" ht="18.75" customHeight="1" x14ac:dyDescent="0.25">
      <c r="A6" s="51"/>
      <c r="B6" s="19"/>
      <c r="C6" s="18"/>
      <c r="D6" s="18"/>
      <c r="E6" s="18"/>
      <c r="F6" s="18"/>
      <c r="G6" s="22"/>
      <c r="H6" s="18"/>
      <c r="I6" s="31"/>
      <c r="J6" s="1"/>
      <c r="K6" s="1"/>
      <c r="L6" s="1"/>
      <c r="M6" s="1"/>
    </row>
    <row r="7" spans="1:13" s="2" customFormat="1" ht="18.75" customHeight="1" x14ac:dyDescent="0.25">
      <c r="A7" s="51"/>
      <c r="B7" s="19"/>
      <c r="C7" s="18"/>
      <c r="D7" s="18"/>
      <c r="E7" s="18"/>
      <c r="F7" s="18"/>
      <c r="G7" s="22"/>
      <c r="H7" s="18"/>
      <c r="I7" s="31"/>
      <c r="J7" s="1"/>
      <c r="K7" s="1"/>
      <c r="L7" s="1"/>
      <c r="M7" s="1"/>
    </row>
    <row r="8" spans="1:13" s="2" customFormat="1" ht="18.75" customHeight="1" x14ac:dyDescent="0.25">
      <c r="A8" s="51"/>
      <c r="B8" s="19"/>
      <c r="C8" s="18"/>
      <c r="D8" s="18"/>
      <c r="E8" s="18"/>
      <c r="F8" s="18"/>
      <c r="G8" s="22"/>
      <c r="H8" s="18"/>
      <c r="I8" s="31"/>
      <c r="J8" s="1"/>
      <c r="K8" s="1"/>
      <c r="L8" s="1"/>
      <c r="M8" s="1"/>
    </row>
    <row r="9" spans="1:13" s="2" customFormat="1" ht="18.75" customHeight="1" x14ac:dyDescent="0.25">
      <c r="A9" s="51"/>
      <c r="B9" s="19"/>
      <c r="C9" s="18"/>
      <c r="D9" s="18"/>
      <c r="E9" s="18"/>
      <c r="F9" s="18"/>
      <c r="G9" s="22"/>
      <c r="H9" s="18"/>
      <c r="I9" s="31"/>
      <c r="J9" s="1"/>
      <c r="K9" s="1"/>
      <c r="L9" s="1"/>
      <c r="M9" s="1"/>
    </row>
    <row r="10" spans="1:13" s="2" customFormat="1" ht="18.75" customHeight="1" x14ac:dyDescent="0.25">
      <c r="A10" s="51"/>
      <c r="B10" s="19"/>
      <c r="C10" s="18"/>
      <c r="D10" s="18"/>
      <c r="E10" s="18"/>
      <c r="F10" s="18"/>
      <c r="G10" s="22"/>
      <c r="H10" s="18"/>
      <c r="I10" s="31"/>
      <c r="J10" s="1"/>
      <c r="K10" s="1"/>
      <c r="L10" s="1"/>
      <c r="M10" s="1"/>
    </row>
    <row r="11" spans="1:13" s="2" customFormat="1" ht="18.75" customHeight="1" x14ac:dyDescent="0.25">
      <c r="A11" s="51"/>
      <c r="B11" s="19"/>
      <c r="C11" s="18"/>
      <c r="D11" s="18"/>
      <c r="E11" s="18"/>
      <c r="F11" s="18"/>
      <c r="G11" s="22"/>
      <c r="H11" s="18"/>
      <c r="I11" s="31"/>
      <c r="J11" s="1"/>
      <c r="K11" s="1"/>
      <c r="L11" s="1"/>
      <c r="M11" s="1"/>
    </row>
    <row r="12" spans="1:13" s="2" customFormat="1" ht="18.75" customHeight="1" x14ac:dyDescent="0.25">
      <c r="A12" s="51"/>
      <c r="B12" s="19"/>
      <c r="C12" s="18"/>
      <c r="D12" s="18"/>
      <c r="E12" s="18"/>
      <c r="F12" s="18"/>
      <c r="G12" s="22"/>
      <c r="H12" s="18"/>
      <c r="I12" s="31"/>
      <c r="J12" s="1"/>
      <c r="K12" s="1"/>
      <c r="L12" s="1"/>
      <c r="M12" s="1"/>
    </row>
    <row r="13" spans="1:13" s="2" customFormat="1" ht="18.75" customHeight="1" x14ac:dyDescent="0.25">
      <c r="A13" s="51"/>
      <c r="B13" s="19"/>
      <c r="C13" s="18"/>
      <c r="D13" s="18"/>
      <c r="E13" s="18"/>
      <c r="F13" s="18"/>
      <c r="G13" s="22"/>
      <c r="H13" s="18"/>
      <c r="I13" s="31"/>
      <c r="J13" s="1"/>
      <c r="K13" s="1"/>
      <c r="L13" s="1"/>
      <c r="M13" s="1"/>
    </row>
    <row r="14" spans="1:13" s="2" customFormat="1" ht="18.75" customHeight="1" x14ac:dyDescent="0.25">
      <c r="A14" s="51"/>
      <c r="B14" s="19"/>
      <c r="C14" s="18"/>
      <c r="D14" s="18"/>
      <c r="E14" s="18"/>
      <c r="F14" s="18"/>
      <c r="G14" s="22"/>
      <c r="H14" s="18"/>
      <c r="I14" s="31"/>
      <c r="J14" s="1"/>
      <c r="K14" s="1"/>
      <c r="L14" s="1"/>
      <c r="M14" s="1"/>
    </row>
    <row r="15" spans="1:13" s="2" customFormat="1" ht="18.75" customHeight="1" x14ac:dyDescent="0.25">
      <c r="A15" s="52" t="s">
        <v>11</v>
      </c>
      <c r="B15" s="32" t="s">
        <v>12</v>
      </c>
      <c r="C15" s="33"/>
      <c r="D15" s="33"/>
      <c r="E15" s="33"/>
      <c r="F15" s="33"/>
      <c r="G15" s="34"/>
      <c r="H15" s="29"/>
      <c r="I15" s="35"/>
      <c r="J15" s="1"/>
      <c r="K15" s="1"/>
      <c r="L15" s="1"/>
      <c r="M15" s="1"/>
    </row>
    <row r="16" spans="1:13" s="2" customFormat="1" ht="18.75" customHeight="1" x14ac:dyDescent="0.25">
      <c r="A16" s="51"/>
      <c r="B16" s="2" t="s">
        <v>13</v>
      </c>
      <c r="G16" s="22" t="s">
        <v>14</v>
      </c>
      <c r="H16" s="6">
        <v>25</v>
      </c>
      <c r="I16" s="31" t="s">
        <v>0</v>
      </c>
    </row>
    <row r="17" spans="1:13" s="2" customFormat="1" ht="18.75" customHeight="1" x14ac:dyDescent="0.25">
      <c r="A17" s="51"/>
      <c r="B17" s="2" t="s">
        <v>15</v>
      </c>
      <c r="G17" s="22" t="s">
        <v>16</v>
      </c>
      <c r="H17" s="6">
        <v>400</v>
      </c>
      <c r="I17" s="31" t="s">
        <v>0</v>
      </c>
    </row>
    <row r="18" spans="1:13" s="2" customFormat="1" ht="18.75" customHeight="1" x14ac:dyDescent="0.25">
      <c r="A18" s="51"/>
      <c r="G18" s="22"/>
      <c r="H18" s="18"/>
      <c r="I18" s="31"/>
    </row>
    <row r="19" spans="1:13" s="2" customFormat="1" ht="18.75" customHeight="1" x14ac:dyDescent="0.25">
      <c r="A19" s="52" t="s">
        <v>17</v>
      </c>
      <c r="B19" s="32" t="s">
        <v>18</v>
      </c>
      <c r="C19" s="33"/>
      <c r="D19" s="33"/>
      <c r="E19" s="33"/>
      <c r="F19" s="33"/>
      <c r="G19" s="34"/>
      <c r="H19" s="29"/>
      <c r="I19" s="35"/>
    </row>
    <row r="20" spans="1:13" s="2" customFormat="1" ht="18.75" customHeight="1" x14ac:dyDescent="0.25">
      <c r="A20" s="51"/>
      <c r="B20" s="2" t="s">
        <v>19</v>
      </c>
      <c r="C20" s="18"/>
      <c r="D20" s="18"/>
      <c r="E20" s="36"/>
      <c r="F20" s="37"/>
      <c r="G20" s="22" t="s">
        <v>20</v>
      </c>
      <c r="H20" s="7">
        <v>300</v>
      </c>
      <c r="I20" s="31" t="s">
        <v>21</v>
      </c>
    </row>
    <row r="21" spans="1:13" s="2" customFormat="1" ht="18.75" customHeight="1" x14ac:dyDescent="0.25">
      <c r="A21" s="51"/>
      <c r="B21" s="2" t="s">
        <v>22</v>
      </c>
      <c r="C21" s="18"/>
      <c r="D21" s="18"/>
      <c r="E21" s="36"/>
      <c r="F21" s="37"/>
      <c r="G21" s="22" t="s">
        <v>10</v>
      </c>
      <c r="H21" s="7">
        <v>600</v>
      </c>
      <c r="I21" s="31" t="s">
        <v>21</v>
      </c>
    </row>
    <row r="22" spans="1:13" s="2" customFormat="1" ht="18.75" customHeight="1" x14ac:dyDescent="0.25">
      <c r="A22" s="51"/>
      <c r="B22" s="2" t="s">
        <v>23</v>
      </c>
      <c r="C22" s="18"/>
      <c r="D22" s="18"/>
      <c r="E22" s="36"/>
      <c r="F22" s="37"/>
      <c r="G22" s="22" t="s">
        <v>24</v>
      </c>
      <c r="H22" s="8">
        <v>16</v>
      </c>
      <c r="I22" s="31" t="s">
        <v>21</v>
      </c>
    </row>
    <row r="23" spans="1:13" s="2" customFormat="1" ht="18.75" customHeight="1" x14ac:dyDescent="0.25">
      <c r="A23" s="51"/>
      <c r="B23" s="2" t="s">
        <v>25</v>
      </c>
      <c r="C23" s="18"/>
      <c r="D23" s="18"/>
      <c r="E23" s="36"/>
      <c r="F23" s="37"/>
      <c r="G23" s="22" t="s">
        <v>26</v>
      </c>
      <c r="H23" s="8">
        <v>8</v>
      </c>
      <c r="I23" s="31" t="s">
        <v>21</v>
      </c>
    </row>
    <row r="24" spans="1:13" s="2" customFormat="1" ht="18.75" customHeight="1" x14ac:dyDescent="0.25">
      <c r="A24" s="51"/>
      <c r="B24" s="2" t="s">
        <v>27</v>
      </c>
      <c r="D24" s="18"/>
      <c r="E24" s="36"/>
      <c r="F24" s="37"/>
      <c r="G24" s="22" t="s">
        <v>28</v>
      </c>
      <c r="H24" s="7">
        <v>40</v>
      </c>
      <c r="I24" s="31" t="s">
        <v>21</v>
      </c>
    </row>
    <row r="25" spans="1:13" s="2" customFormat="1" ht="18.75" customHeight="1" x14ac:dyDescent="0.25">
      <c r="A25" s="51"/>
      <c r="B25" s="2" t="s">
        <v>36</v>
      </c>
      <c r="D25" s="18"/>
      <c r="E25" s="36"/>
      <c r="F25" s="37"/>
      <c r="G25" s="22" t="s">
        <v>37</v>
      </c>
      <c r="H25" s="7">
        <v>200</v>
      </c>
      <c r="I25" s="31" t="s">
        <v>21</v>
      </c>
    </row>
    <row r="26" spans="1:13" s="2" customFormat="1" ht="18.75" customHeight="1" x14ac:dyDescent="0.25">
      <c r="A26" s="51"/>
      <c r="G26" s="22"/>
      <c r="H26" s="18"/>
      <c r="I26" s="31"/>
    </row>
    <row r="27" spans="1:13" s="2" customFormat="1" ht="18.75" customHeight="1" x14ac:dyDescent="0.25">
      <c r="A27" s="52" t="s">
        <v>86</v>
      </c>
      <c r="B27" s="32" t="s">
        <v>29</v>
      </c>
      <c r="C27" s="33"/>
      <c r="D27" s="33"/>
      <c r="E27" s="33"/>
      <c r="F27" s="33"/>
      <c r="G27" s="34"/>
      <c r="H27" s="29"/>
      <c r="I27" s="35"/>
      <c r="J27" s="1"/>
      <c r="K27" s="1"/>
      <c r="L27" s="1"/>
      <c r="M27" s="1"/>
    </row>
    <row r="28" spans="1:13" s="2" customFormat="1" ht="18.75" customHeight="1" x14ac:dyDescent="0.25">
      <c r="A28" s="51"/>
      <c r="B28" s="2" t="s">
        <v>39</v>
      </c>
      <c r="G28" s="22" t="s">
        <v>41</v>
      </c>
      <c r="H28" s="6">
        <v>215.56800000000001</v>
      </c>
      <c r="I28" s="31" t="s">
        <v>30</v>
      </c>
      <c r="J28" s="1"/>
      <c r="K28" s="1"/>
      <c r="L28" s="1"/>
      <c r="M28" s="1"/>
    </row>
    <row r="29" spans="1:13" s="2" customFormat="1" ht="18.75" customHeight="1" x14ac:dyDescent="0.25">
      <c r="A29" s="51"/>
      <c r="B29" s="2" t="s">
        <v>40</v>
      </c>
      <c r="G29" s="22" t="s">
        <v>38</v>
      </c>
      <c r="H29" s="6">
        <v>68.712000000000003</v>
      </c>
      <c r="I29" s="31" t="s">
        <v>30</v>
      </c>
      <c r="J29" s="1"/>
      <c r="K29" s="1"/>
      <c r="L29" s="1"/>
      <c r="M29" s="1"/>
    </row>
    <row r="30" spans="1:13" s="4" customFormat="1" ht="18.75" customHeight="1" x14ac:dyDescent="0.25">
      <c r="A30" s="53"/>
      <c r="G30" s="10"/>
      <c r="H30" s="14"/>
      <c r="I30" s="38"/>
    </row>
    <row r="31" spans="1:13" s="2" customFormat="1" ht="18.75" customHeight="1" x14ac:dyDescent="0.25">
      <c r="A31" s="65" t="s">
        <v>31</v>
      </c>
      <c r="B31" s="5" t="s">
        <v>35</v>
      </c>
      <c r="C31" s="3"/>
      <c r="D31" s="3"/>
      <c r="E31" s="3"/>
      <c r="F31" s="3"/>
      <c r="G31" s="21"/>
      <c r="H31" s="3"/>
      <c r="I31" s="30"/>
      <c r="J31" s="1"/>
      <c r="K31" s="1"/>
      <c r="L31" s="1"/>
      <c r="M31" s="1"/>
    </row>
    <row r="32" spans="1:13" s="4" customFormat="1" ht="18.75" customHeight="1" x14ac:dyDescent="0.25">
      <c r="A32" s="53"/>
      <c r="B32" s="61" t="s">
        <v>42</v>
      </c>
      <c r="G32" s="10"/>
      <c r="H32" s="14"/>
      <c r="I32" s="57"/>
    </row>
    <row r="33" spans="1:13" s="4" customFormat="1" ht="18.75" customHeight="1" x14ac:dyDescent="0.25">
      <c r="A33" s="53"/>
      <c r="C33" s="4" t="s">
        <v>43</v>
      </c>
      <c r="D33" s="20" t="s">
        <v>80</v>
      </c>
      <c r="E33" s="14" t="s">
        <v>9</v>
      </c>
      <c r="F33" s="11">
        <v>1</v>
      </c>
      <c r="G33" s="10"/>
      <c r="H33" s="14"/>
      <c r="I33" s="57"/>
    </row>
    <row r="34" spans="1:13" s="4" customFormat="1" ht="18.75" customHeight="1" x14ac:dyDescent="0.25">
      <c r="A34" s="53"/>
      <c r="D34" s="13">
        <f>H25/(H21-H24-0.5*H22)</f>
        <v>0.36231884057971014</v>
      </c>
      <c r="E34" s="14" t="str">
        <f>IF(D34&lt;F34,"&lt;","&gt;")</f>
        <v>&lt;</v>
      </c>
      <c r="F34" s="11">
        <f>F33</f>
        <v>1</v>
      </c>
      <c r="G34" s="23" t="s">
        <v>1</v>
      </c>
      <c r="H34" s="24" t="str">
        <f>IF(D34&lt;F34,"[ OK ]","[ UBAH DIMENSI PENAMPANG ]")</f>
        <v>[ OK ]</v>
      </c>
      <c r="I34" s="57"/>
    </row>
    <row r="35" spans="1:13" s="4" customFormat="1" ht="18.75" customHeight="1" x14ac:dyDescent="0.25">
      <c r="A35" s="53"/>
      <c r="G35" s="10"/>
      <c r="H35" s="14"/>
      <c r="I35" s="57"/>
    </row>
    <row r="36" spans="1:13" s="4" customFormat="1" ht="18.75" customHeight="1" x14ac:dyDescent="0.25">
      <c r="A36" s="52" t="s">
        <v>81</v>
      </c>
      <c r="B36" s="32" t="s">
        <v>58</v>
      </c>
      <c r="C36" s="33"/>
      <c r="D36" s="33"/>
      <c r="E36" s="33"/>
      <c r="F36" s="33"/>
      <c r="G36" s="34"/>
      <c r="H36" s="29"/>
      <c r="I36" s="58"/>
    </row>
    <row r="37" spans="1:13" s="2" customFormat="1" ht="18.75" customHeight="1" x14ac:dyDescent="0.25">
      <c r="A37" s="51"/>
      <c r="B37" s="62" t="s">
        <v>34</v>
      </c>
      <c r="F37" s="36" t="s">
        <v>1</v>
      </c>
      <c r="G37" s="22" t="s">
        <v>33</v>
      </c>
      <c r="H37" s="12">
        <f>MAX(IF(H16&gt;=17,IF(H16&lt;=28,0.85,0),0),IF(H16&gt;28,IF(H16&lt;55,0.85-0.05*(H16-28)/7,0),0),IF(H16&gt;=55,0.65,0))</f>
        <v>0.85</v>
      </c>
      <c r="I37" s="59"/>
      <c r="J37" s="1"/>
      <c r="K37" s="1"/>
      <c r="L37" s="1"/>
      <c r="M37" s="1"/>
    </row>
    <row r="38" spans="1:13" s="2" customFormat="1" ht="18.75" customHeight="1" x14ac:dyDescent="0.25">
      <c r="A38" s="51"/>
      <c r="B38" s="62" t="s">
        <v>48</v>
      </c>
      <c r="G38" s="22"/>
      <c r="H38" s="41"/>
      <c r="I38" s="59"/>
      <c r="J38" s="1"/>
      <c r="K38" s="1"/>
      <c r="L38" s="1"/>
      <c r="M38" s="1"/>
    </row>
    <row r="39" spans="1:13" s="2" customFormat="1" ht="18.75" customHeight="1" x14ac:dyDescent="0.25">
      <c r="A39" s="51"/>
      <c r="C39" s="2" t="s">
        <v>43</v>
      </c>
      <c r="D39" s="64" t="s">
        <v>87</v>
      </c>
      <c r="E39" s="64" t="s">
        <v>49</v>
      </c>
      <c r="F39" s="64" t="s">
        <v>88</v>
      </c>
      <c r="G39" s="22"/>
      <c r="H39" s="41"/>
      <c r="I39" s="59"/>
      <c r="J39" s="1"/>
      <c r="K39" s="1"/>
      <c r="L39" s="1"/>
      <c r="M39" s="1"/>
    </row>
    <row r="40" spans="1:13" s="2" customFormat="1" ht="18.75" customHeight="1" x14ac:dyDescent="0.25">
      <c r="A40" s="51"/>
      <c r="D40" s="41">
        <f>MIN(H16^0.5/4/H17,1.4/H17)</f>
        <v>3.1250000000000002E-3</v>
      </c>
      <c r="E40" s="41">
        <f>1/(H17/0.85/H16)*(1-(1-2*(H17/0.85/H16)*((H28*H25/1000+H29*(H21-(H21-H24-0.5*H22))/1000)*10^6/(0.75*H20*(H21-H24-0.5*H22)^2))/$H$17)^0.5)</f>
        <v>1.7202700685965962E-3</v>
      </c>
      <c r="F40" s="41">
        <f>0.75*(H37*0.85*H16/H17*600/(600+H17))</f>
        <v>2.0320312499999993E-2</v>
      </c>
      <c r="G40" s="36" t="s">
        <v>1</v>
      </c>
      <c r="H40" s="42" t="str">
        <f>IF(D40&lt;E40,(IF(E40&lt;F40,"[ OK ]","[ PERBESAR DIMENSI ]")),"[ Pakai ρmin ]")</f>
        <v>[ Pakai ρmin ]</v>
      </c>
      <c r="I40" s="59"/>
      <c r="J40" s="1"/>
      <c r="K40" s="1"/>
      <c r="L40" s="1"/>
      <c r="M40" s="1"/>
    </row>
    <row r="41" spans="1:13" s="2" customFormat="1" ht="18.75" customHeight="1" x14ac:dyDescent="0.25">
      <c r="A41" s="51"/>
      <c r="F41" s="22"/>
      <c r="G41" s="22"/>
      <c r="H41" s="43"/>
      <c r="I41" s="59"/>
      <c r="J41" s="1"/>
      <c r="K41" s="1"/>
      <c r="L41" s="1"/>
      <c r="M41" s="1"/>
    </row>
    <row r="42" spans="1:13" s="2" customFormat="1" ht="18.75" customHeight="1" x14ac:dyDescent="0.25">
      <c r="A42" s="51"/>
      <c r="B42" s="62" t="s">
        <v>50</v>
      </c>
      <c r="C42" s="39"/>
      <c r="G42" s="40" t="s">
        <v>51</v>
      </c>
      <c r="H42" s="25">
        <f>IF(D40&lt;E40,(IF(E40&lt;F40,E40,"[ PERBESAR DIMENSI ]")),D40)</f>
        <v>3.1250000000000002E-3</v>
      </c>
      <c r="I42" s="59"/>
      <c r="J42" s="1"/>
      <c r="K42" s="1"/>
      <c r="L42" s="1"/>
      <c r="M42" s="1"/>
    </row>
    <row r="43" spans="1:13" s="2" customFormat="1" ht="18.75" customHeight="1" x14ac:dyDescent="0.25">
      <c r="A43" s="51"/>
      <c r="B43" s="62" t="s">
        <v>52</v>
      </c>
      <c r="C43" s="18"/>
      <c r="D43" s="22"/>
      <c r="E43" s="18"/>
      <c r="G43" s="22" t="s">
        <v>89</v>
      </c>
      <c r="H43" s="12">
        <f>H42*H20*(H21-H24-0.5*H22)</f>
        <v>517.5</v>
      </c>
      <c r="I43" s="59" t="s">
        <v>32</v>
      </c>
      <c r="J43" s="1"/>
      <c r="K43" s="1"/>
      <c r="L43" s="1"/>
      <c r="M43" s="1"/>
    </row>
    <row r="44" spans="1:13" s="4" customFormat="1" ht="18.75" customHeight="1" x14ac:dyDescent="0.25">
      <c r="A44" s="53"/>
      <c r="G44" s="10"/>
      <c r="H44" s="14"/>
      <c r="I44" s="57"/>
    </row>
    <row r="45" spans="1:13" s="4" customFormat="1" ht="18.75" customHeight="1" x14ac:dyDescent="0.25">
      <c r="A45" s="52" t="s">
        <v>82</v>
      </c>
      <c r="B45" s="32" t="s">
        <v>57</v>
      </c>
      <c r="C45" s="33"/>
      <c r="D45" s="33"/>
      <c r="E45" s="33"/>
      <c r="F45" s="33"/>
      <c r="G45" s="34"/>
      <c r="H45" s="29"/>
      <c r="I45" s="58"/>
    </row>
    <row r="46" spans="1:13" s="2" customFormat="1" ht="18.75" customHeight="1" x14ac:dyDescent="0.25">
      <c r="A46" s="51"/>
      <c r="B46" s="62" t="s">
        <v>53</v>
      </c>
      <c r="F46" s="22"/>
      <c r="G46" s="22" t="s">
        <v>47</v>
      </c>
      <c r="H46" s="9">
        <v>0.75</v>
      </c>
      <c r="I46" s="59"/>
      <c r="J46" s="1"/>
      <c r="K46" s="1"/>
      <c r="L46" s="1"/>
      <c r="M46" s="1"/>
    </row>
    <row r="47" spans="1:13" s="4" customFormat="1" ht="18.75" customHeight="1" x14ac:dyDescent="0.25">
      <c r="A47" s="53"/>
      <c r="B47" s="61" t="s">
        <v>54</v>
      </c>
      <c r="G47" s="10"/>
      <c r="H47" s="14"/>
      <c r="I47" s="57"/>
    </row>
    <row r="48" spans="1:13" s="4" customFormat="1" ht="18.75" customHeight="1" x14ac:dyDescent="0.25">
      <c r="A48" s="53"/>
      <c r="B48" s="61"/>
      <c r="C48" s="4" t="s">
        <v>43</v>
      </c>
      <c r="D48" s="20" t="s">
        <v>55</v>
      </c>
      <c r="E48" s="14" t="s">
        <v>9</v>
      </c>
      <c r="F48" s="11" t="s">
        <v>56</v>
      </c>
      <c r="G48" s="10"/>
      <c r="H48" s="14"/>
      <c r="I48" s="57"/>
    </row>
    <row r="49" spans="1:13" s="4" customFormat="1" ht="18.75" customHeight="1" x14ac:dyDescent="0.25">
      <c r="A49" s="53"/>
      <c r="B49" s="61"/>
      <c r="D49" s="13">
        <f>H28/H46</f>
        <v>287.42400000000004</v>
      </c>
      <c r="E49" s="14" t="str">
        <f>IF(D49&lt;F49,"&lt;","&gt;")</f>
        <v>&lt;</v>
      </c>
      <c r="F49" s="11">
        <f>MIN(0.2*H16*(H20*(H21-H24-0.5*H22))/1000,(3.3+0.08*H16)*(H20*(H21-H24-0.5*H22))/1000,11*(H20*(H21-H24-0.5*H22))/1000)</f>
        <v>828</v>
      </c>
      <c r="G49" s="23" t="s">
        <v>1</v>
      </c>
      <c r="H49" s="24" t="str">
        <f>IF(D49&lt;F49,"[ OK ]","[ UBAH DIMENSI PENAMPANG ]")</f>
        <v>[ OK ]</v>
      </c>
      <c r="I49" s="57"/>
    </row>
    <row r="50" spans="1:13" s="4" customFormat="1" ht="18.75" customHeight="1" x14ac:dyDescent="0.25">
      <c r="A50" s="53"/>
      <c r="B50" s="61"/>
      <c r="G50" s="10"/>
      <c r="H50" s="14"/>
      <c r="I50" s="57"/>
    </row>
    <row r="51" spans="1:13" s="2" customFormat="1" ht="18.75" customHeight="1" x14ac:dyDescent="0.25">
      <c r="A51" s="51"/>
      <c r="B51" s="62" t="s">
        <v>52</v>
      </c>
      <c r="C51" s="18"/>
      <c r="D51" s="22"/>
      <c r="E51" s="18"/>
      <c r="G51" s="22" t="s">
        <v>90</v>
      </c>
      <c r="H51" s="12">
        <f>D49*1000/(H17*1.4)</f>
        <v>513.25714285714298</v>
      </c>
      <c r="I51" s="59" t="s">
        <v>32</v>
      </c>
      <c r="J51" s="1"/>
      <c r="K51" s="1"/>
      <c r="L51" s="1"/>
      <c r="M51" s="1"/>
    </row>
    <row r="52" spans="1:13" s="4" customFormat="1" ht="18.75" customHeight="1" x14ac:dyDescent="0.25">
      <c r="A52" s="53"/>
      <c r="G52" s="10"/>
      <c r="H52" s="14"/>
      <c r="I52" s="57"/>
    </row>
    <row r="53" spans="1:13" s="4" customFormat="1" ht="18.75" customHeight="1" x14ac:dyDescent="0.25">
      <c r="A53" s="52" t="s">
        <v>83</v>
      </c>
      <c r="B53" s="32" t="s">
        <v>59</v>
      </c>
      <c r="C53" s="33"/>
      <c r="D53" s="33"/>
      <c r="E53" s="33"/>
      <c r="F53" s="33"/>
      <c r="G53" s="34"/>
      <c r="H53" s="29"/>
      <c r="I53" s="58"/>
    </row>
    <row r="54" spans="1:13" s="2" customFormat="1" ht="18.75" customHeight="1" x14ac:dyDescent="0.25">
      <c r="A54" s="51"/>
      <c r="B54" s="62" t="s">
        <v>53</v>
      </c>
      <c r="F54" s="22"/>
      <c r="G54" s="22" t="s">
        <v>47</v>
      </c>
      <c r="H54" s="9">
        <f>H46</f>
        <v>0.75</v>
      </c>
      <c r="I54" s="59"/>
      <c r="J54" s="1"/>
      <c r="K54" s="1"/>
      <c r="L54" s="1"/>
      <c r="M54" s="1"/>
    </row>
    <row r="55" spans="1:13" s="2" customFormat="1" ht="18.75" customHeight="1" x14ac:dyDescent="0.25">
      <c r="A55" s="51"/>
      <c r="B55" s="62" t="s">
        <v>52</v>
      </c>
      <c r="C55" s="18"/>
      <c r="D55" s="22"/>
      <c r="E55" s="18"/>
      <c r="G55" s="22" t="s">
        <v>60</v>
      </c>
      <c r="H55" s="12">
        <f>((MAX(H29,0.2*H28))/H54)*1000/H17</f>
        <v>229.04</v>
      </c>
      <c r="I55" s="59" t="s">
        <v>32</v>
      </c>
      <c r="J55" s="1"/>
      <c r="K55" s="1"/>
      <c r="L55" s="1"/>
      <c r="M55" s="1"/>
    </row>
    <row r="56" spans="1:13" s="4" customFormat="1" ht="18.75" customHeight="1" x14ac:dyDescent="0.25">
      <c r="A56" s="53"/>
      <c r="B56" s="61"/>
      <c r="G56" s="10"/>
      <c r="H56" s="14"/>
      <c r="I56" s="57"/>
    </row>
    <row r="57" spans="1:13" s="4" customFormat="1" ht="18.75" customHeight="1" x14ac:dyDescent="0.25">
      <c r="A57" s="52" t="s">
        <v>84</v>
      </c>
      <c r="B57" s="32" t="s">
        <v>61</v>
      </c>
      <c r="C57" s="33"/>
      <c r="D57" s="33"/>
      <c r="E57" s="33"/>
      <c r="F57" s="33"/>
      <c r="G57" s="34"/>
      <c r="H57" s="29"/>
      <c r="I57" s="58"/>
    </row>
    <row r="58" spans="1:13" s="4" customFormat="1" ht="18.75" customHeight="1" x14ac:dyDescent="0.25">
      <c r="A58" s="53"/>
      <c r="B58" s="61" t="s">
        <v>62</v>
      </c>
      <c r="G58" s="10" t="s">
        <v>63</v>
      </c>
      <c r="H58" s="12">
        <f>MAX(H43+H55,2/3*H51+H55,0.04*H16/H17*(H20*(H21-H24-0.5*H22)))</f>
        <v>746.54</v>
      </c>
      <c r="I58" s="59" t="s">
        <v>32</v>
      </c>
    </row>
    <row r="59" spans="1:13" s="2" customFormat="1" ht="18.75" customHeight="1" x14ac:dyDescent="0.25">
      <c r="A59" s="51"/>
      <c r="B59" s="62" t="s">
        <v>44</v>
      </c>
      <c r="G59" s="22" t="s">
        <v>45</v>
      </c>
      <c r="H59" s="15">
        <f>IF((H20-ROUNDDOWN((H20-2*(H24+H23+0.5*H22))/(25+H22)+1,0)*H22-2*(H24+H23+0.5*H22))/(ROUNDDOWN((H20-2*(H24+H23+0.5*H22))/(25+H22)+1,0)-1)&gt;25,ROUNDDOWN((H20-2*(H24+H23+0.5*H22))/(25+H22)+1,0),(ROUNDDOWN((H20-2*(H24+H23+0.5*H22))/(25+H22)+1,0)-1))</f>
        <v>5</v>
      </c>
      <c r="I59" s="59" t="s">
        <v>46</v>
      </c>
      <c r="J59" s="1"/>
      <c r="K59" s="1"/>
      <c r="L59" s="1"/>
      <c r="M59" s="1"/>
    </row>
    <row r="60" spans="1:13" s="2" customFormat="1" ht="18.75" customHeight="1" x14ac:dyDescent="0.25">
      <c r="A60" s="51"/>
      <c r="B60" s="62" t="s">
        <v>71</v>
      </c>
      <c r="C60" s="39"/>
      <c r="D60" s="18"/>
      <c r="E60" s="45"/>
      <c r="G60" s="26">
        <f>ROUNDUP(H58/(1/4*PI()*H22^2),0)</f>
        <v>4</v>
      </c>
      <c r="H60" s="17">
        <f>H22</f>
        <v>16</v>
      </c>
      <c r="I60" s="60"/>
      <c r="J60" s="1"/>
      <c r="K60" s="1"/>
      <c r="L60" s="1"/>
      <c r="M60" s="1"/>
    </row>
    <row r="61" spans="1:13" s="2" customFormat="1" ht="18.75" customHeight="1" x14ac:dyDescent="0.25">
      <c r="A61" s="51"/>
      <c r="B61" s="62" t="s">
        <v>65</v>
      </c>
      <c r="G61" s="22" t="s">
        <v>91</v>
      </c>
      <c r="H61" s="16">
        <f>G60*PI()/4*H60^2</f>
        <v>804.24771931898704</v>
      </c>
      <c r="I61" s="59" t="s">
        <v>32</v>
      </c>
      <c r="J61" s="1"/>
      <c r="K61" s="1"/>
      <c r="L61" s="1"/>
      <c r="M61" s="1"/>
    </row>
    <row r="62" spans="1:13" s="2" customFormat="1" ht="18.75" customHeight="1" x14ac:dyDescent="0.25">
      <c r="A62" s="51"/>
      <c r="B62" s="62" t="s">
        <v>66</v>
      </c>
      <c r="G62" s="22" t="s">
        <v>67</v>
      </c>
      <c r="H62" s="15">
        <f>ROUNDUP(G60/H59,0)</f>
        <v>1</v>
      </c>
      <c r="I62" s="44"/>
      <c r="J62" s="1"/>
      <c r="K62" s="1"/>
      <c r="L62" s="1"/>
      <c r="M62" s="1"/>
    </row>
    <row r="63" spans="1:13" s="2" customFormat="1" ht="18.75" customHeight="1" x14ac:dyDescent="0.25">
      <c r="A63" s="51"/>
      <c r="B63" s="62"/>
      <c r="C63" s="2" t="s">
        <v>68</v>
      </c>
      <c r="D63" s="22" t="s">
        <v>69</v>
      </c>
      <c r="E63" s="18" t="s">
        <v>70</v>
      </c>
      <c r="G63" s="36" t="s">
        <v>1</v>
      </c>
      <c r="H63" s="42" t="str">
        <f>IF(H62&lt;3,"[OK]","[NOT OK]")</f>
        <v>[OK]</v>
      </c>
      <c r="I63" s="44"/>
      <c r="J63" s="1"/>
      <c r="K63" s="1"/>
      <c r="L63" s="1"/>
      <c r="M63" s="1"/>
    </row>
    <row r="64" spans="1:13" s="4" customFormat="1" ht="18.75" customHeight="1" x14ac:dyDescent="0.25">
      <c r="A64" s="53"/>
      <c r="B64" s="61"/>
      <c r="G64" s="10"/>
      <c r="H64" s="14"/>
      <c r="I64" s="57"/>
    </row>
    <row r="65" spans="1:13" s="4" customFormat="1" ht="18.75" customHeight="1" x14ac:dyDescent="0.25">
      <c r="A65" s="53"/>
      <c r="B65" s="61"/>
      <c r="G65" s="10"/>
      <c r="H65" s="14"/>
      <c r="I65" s="57"/>
    </row>
    <row r="66" spans="1:13" s="2" customFormat="1" ht="18.75" customHeight="1" x14ac:dyDescent="0.25">
      <c r="A66" s="51"/>
      <c r="B66" s="62" t="s">
        <v>64</v>
      </c>
      <c r="E66" s="18"/>
      <c r="G66" s="22" t="s">
        <v>92</v>
      </c>
      <c r="H66" s="9">
        <f>MAX(H51/3,0.5*(H58+H55))/(1/4*PI()*H23^2)</f>
        <v>9.7042737113494528</v>
      </c>
      <c r="I66" s="60"/>
      <c r="J66" s="1"/>
      <c r="K66" s="1"/>
      <c r="L66" s="1"/>
      <c r="M66" s="1"/>
    </row>
    <row r="67" spans="1:13" s="4" customFormat="1" ht="18.75" customHeight="1" x14ac:dyDescent="0.25">
      <c r="A67" s="53"/>
      <c r="B67" s="61" t="s">
        <v>72</v>
      </c>
      <c r="G67" s="10" t="s">
        <v>93</v>
      </c>
      <c r="H67" s="11">
        <f>H66/G60</f>
        <v>2.4260684278373632</v>
      </c>
      <c r="I67" s="57"/>
    </row>
    <row r="68" spans="1:13" s="2" customFormat="1" ht="18.75" customHeight="1" x14ac:dyDescent="0.25">
      <c r="A68" s="51"/>
      <c r="B68" s="62" t="s">
        <v>71</v>
      </c>
      <c r="C68" s="39"/>
      <c r="D68" s="18"/>
      <c r="E68" s="45"/>
      <c r="F68" s="27">
        <f>G60</f>
        <v>4</v>
      </c>
      <c r="G68" s="28">
        <f>ROUNDUP(H67,0)</f>
        <v>3</v>
      </c>
      <c r="H68" s="17">
        <f>H23</f>
        <v>8</v>
      </c>
      <c r="I68" s="60"/>
      <c r="J68" s="1"/>
      <c r="K68" s="1"/>
      <c r="L68" s="1"/>
      <c r="M68" s="1"/>
    </row>
    <row r="69" spans="1:13" s="4" customFormat="1" ht="18.75" customHeight="1" x14ac:dyDescent="0.25">
      <c r="A69" s="53"/>
      <c r="B69" s="61" t="s">
        <v>73</v>
      </c>
      <c r="G69" s="10" t="s">
        <v>94</v>
      </c>
      <c r="H69" s="20">
        <f>ROUNDDOWN((2/3*(H21-H24-0.5*H22))/G68/10,0)*10</f>
        <v>120</v>
      </c>
      <c r="I69" s="57" t="s">
        <v>21</v>
      </c>
    </row>
    <row r="70" spans="1:13" s="4" customFormat="1" ht="18.75" customHeight="1" x14ac:dyDescent="0.25">
      <c r="A70" s="53"/>
      <c r="B70" s="61"/>
      <c r="G70" s="10"/>
      <c r="H70" s="14"/>
      <c r="I70" s="57"/>
    </row>
    <row r="71" spans="1:13" s="4" customFormat="1" ht="18.75" customHeight="1" x14ac:dyDescent="0.25">
      <c r="A71" s="53"/>
      <c r="B71" s="61"/>
      <c r="G71" s="10"/>
      <c r="H71" s="14"/>
      <c r="I71" s="57"/>
    </row>
    <row r="72" spans="1:13" s="4" customFormat="1" ht="18.75" customHeight="1" x14ac:dyDescent="0.25">
      <c r="A72" s="52" t="s">
        <v>85</v>
      </c>
      <c r="B72" s="32" t="s">
        <v>74</v>
      </c>
      <c r="C72" s="33"/>
      <c r="D72" s="33"/>
      <c r="E72" s="33"/>
      <c r="F72" s="33"/>
      <c r="G72" s="34"/>
      <c r="H72" s="29"/>
      <c r="I72" s="58"/>
    </row>
    <row r="73" spans="1:13" s="4" customFormat="1" ht="18.75" customHeight="1" x14ac:dyDescent="0.25">
      <c r="A73" s="53"/>
      <c r="G73" s="10"/>
      <c r="H73" s="14"/>
      <c r="I73" s="57"/>
    </row>
    <row r="74" spans="1:13" s="4" customFormat="1" ht="18.75" customHeight="1" x14ac:dyDescent="0.25">
      <c r="A74" s="53"/>
      <c r="G74" s="10"/>
      <c r="H74" s="14"/>
      <c r="I74" s="57"/>
    </row>
    <row r="75" spans="1:13" s="4" customFormat="1" ht="18.75" customHeight="1" x14ac:dyDescent="0.25">
      <c r="A75" s="53"/>
      <c r="G75" s="10"/>
      <c r="H75" s="14"/>
      <c r="I75" s="57"/>
    </row>
    <row r="76" spans="1:13" s="4" customFormat="1" ht="18.75" customHeight="1" x14ac:dyDescent="0.25">
      <c r="A76" s="53"/>
      <c r="G76" s="10"/>
      <c r="H76" s="14"/>
      <c r="I76" s="57"/>
    </row>
    <row r="77" spans="1:13" s="4" customFormat="1" ht="18.75" customHeight="1" x14ac:dyDescent="0.25">
      <c r="A77" s="53"/>
      <c r="G77" s="10"/>
      <c r="H77" s="14"/>
      <c r="I77" s="57"/>
    </row>
    <row r="78" spans="1:13" s="4" customFormat="1" ht="18.75" customHeight="1" x14ac:dyDescent="0.25">
      <c r="A78" s="53"/>
      <c r="G78" s="10"/>
      <c r="H78" s="14"/>
      <c r="I78" s="57"/>
    </row>
    <row r="79" spans="1:13" s="4" customFormat="1" ht="18.75" customHeight="1" x14ac:dyDescent="0.25">
      <c r="A79" s="53"/>
      <c r="G79" s="10"/>
      <c r="H79" s="14"/>
      <c r="I79" s="57"/>
    </row>
    <row r="80" spans="1:13" s="4" customFormat="1" ht="18.75" customHeight="1" x14ac:dyDescent="0.25">
      <c r="A80" s="53"/>
      <c r="G80" s="10"/>
      <c r="H80" s="14"/>
      <c r="I80" s="57"/>
    </row>
    <row r="81" spans="1:9" s="4" customFormat="1" ht="18.75" customHeight="1" x14ac:dyDescent="0.25">
      <c r="A81" s="53"/>
      <c r="G81" s="10"/>
      <c r="H81" s="14"/>
      <c r="I81" s="57"/>
    </row>
    <row r="82" spans="1:9" s="4" customFormat="1" ht="18.75" customHeight="1" x14ac:dyDescent="0.25">
      <c r="A82" s="53"/>
      <c r="G82" s="10"/>
      <c r="H82" s="14"/>
      <c r="I82" s="57"/>
    </row>
    <row r="83" spans="1:9" s="4" customFormat="1" ht="18.75" customHeight="1" x14ac:dyDescent="0.25">
      <c r="A83" s="53"/>
      <c r="G83" s="10"/>
      <c r="H83" s="14"/>
      <c r="I83" s="57"/>
    </row>
    <row r="84" spans="1:9" s="4" customFormat="1" ht="18.75" customHeight="1" x14ac:dyDescent="0.25">
      <c r="A84" s="53"/>
      <c r="G84" s="10"/>
      <c r="H84" s="14"/>
      <c r="I84" s="57"/>
    </row>
    <row r="85" spans="1:9" s="4" customFormat="1" ht="18.75" customHeight="1" x14ac:dyDescent="0.25">
      <c r="A85" s="53"/>
      <c r="B85" s="61" t="s">
        <v>75</v>
      </c>
      <c r="G85" s="10" t="s">
        <v>76</v>
      </c>
      <c r="H85" s="15">
        <f>ROUNDUP(MAX(MAX(1/3*H61*(H21-H24-0.5*H22),4*H61*H60)/H61,150)/25,0)*25</f>
        <v>200</v>
      </c>
      <c r="I85" s="59" t="s">
        <v>21</v>
      </c>
    </row>
    <row r="86" spans="1:9" s="4" customFormat="1" ht="18.75" customHeight="1" x14ac:dyDescent="0.25">
      <c r="A86" s="53"/>
      <c r="B86" s="61"/>
      <c r="G86" s="10"/>
      <c r="H86" s="14"/>
      <c r="I86" s="57"/>
    </row>
    <row r="87" spans="1:9" s="4" customFormat="1" ht="18.75" customHeight="1" x14ac:dyDescent="0.25">
      <c r="A87" s="53"/>
      <c r="B87" s="61" t="s">
        <v>77</v>
      </c>
      <c r="G87" s="10" t="s">
        <v>78</v>
      </c>
      <c r="H87" s="20">
        <f>12*H60</f>
        <v>192</v>
      </c>
      <c r="I87" s="57" t="s">
        <v>21</v>
      </c>
    </row>
    <row r="88" spans="1:9" s="4" customFormat="1" ht="18.75" customHeight="1" x14ac:dyDescent="0.25">
      <c r="A88" s="53"/>
      <c r="B88" s="61" t="s">
        <v>79</v>
      </c>
      <c r="G88" s="10" t="s">
        <v>78</v>
      </c>
      <c r="H88" s="20">
        <f>ROUNDUP(H87/25,0)*25</f>
        <v>200</v>
      </c>
      <c r="I88" s="57" t="s">
        <v>21</v>
      </c>
    </row>
    <row r="89" spans="1:9" s="4" customFormat="1" ht="18.75" customHeight="1" x14ac:dyDescent="0.25">
      <c r="A89" s="53"/>
      <c r="B89" s="61"/>
      <c r="G89" s="10"/>
      <c r="H89" s="14"/>
      <c r="I89" s="38"/>
    </row>
    <row r="90" spans="1:9" s="4" customFormat="1" ht="18.75" customHeight="1" x14ac:dyDescent="0.25">
      <c r="A90" s="54"/>
      <c r="B90" s="63"/>
      <c r="C90" s="46"/>
      <c r="D90" s="46"/>
      <c r="E90" s="46"/>
      <c r="F90" s="46"/>
      <c r="G90" s="47"/>
      <c r="H90" s="48"/>
      <c r="I90" s="49"/>
    </row>
  </sheetData>
  <mergeCells count="1">
    <mergeCell ref="B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+ 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2021-05-19T01:11:17Z</cp:lastPrinted>
  <dcterms:created xsi:type="dcterms:W3CDTF">2015-06-05T18:17:20Z</dcterms:created>
  <dcterms:modified xsi:type="dcterms:W3CDTF">2024-08-19T09:10:00Z</dcterms:modified>
</cp:coreProperties>
</file>