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b751852d1dd4e2/Program Excel (New)/Lite/"/>
    </mc:Choice>
  </mc:AlternateContent>
  <xr:revisionPtr revIDLastSave="367" documentId="13_ncr:1_{C57C80BC-CE2E-4E0E-873E-03DF9B98691A}" xr6:coauthVersionLast="47" xr6:coauthVersionMax="47" xr10:uidLastSave="{2EB16AE2-9183-49C7-926C-FCCFD5180ED3}"/>
  <bookViews>
    <workbookView xWindow="-120" yWindow="-120" windowWidth="29040" windowHeight="15720" xr2:uid="{60F489BD-F391-4CED-AE83-3A2FBF9CB752}"/>
  </bookViews>
  <sheets>
    <sheet name="Input + Proce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0" i="1" l="1"/>
  <c r="H152" i="1" a="1"/>
  <c r="H152" i="1" s="1"/>
  <c r="H151" i="1"/>
  <c r="H138" i="1"/>
  <c r="H137" i="1"/>
  <c r="H136" i="1"/>
  <c r="H129" i="1"/>
  <c r="H128" i="1"/>
  <c r="H127" i="1"/>
  <c r="H120" i="1"/>
  <c r="H119" i="1"/>
  <c r="H118" i="1"/>
  <c r="H111" i="1"/>
  <c r="H110" i="1"/>
  <c r="H109" i="1"/>
  <c r="H95" i="1"/>
  <c r="H98" i="1" s="1"/>
  <c r="H94" i="1"/>
  <c r="H93" i="1"/>
  <c r="E93" i="1"/>
  <c r="H84" i="1"/>
  <c r="H83" i="1"/>
  <c r="H81" i="1"/>
  <c r="F105" i="1"/>
  <c r="D105" i="1"/>
  <c r="F77" i="1"/>
  <c r="F74" i="1"/>
  <c r="F70" i="1"/>
  <c r="D77" i="1"/>
  <c r="D74" i="1"/>
  <c r="D70" i="1"/>
  <c r="H64" i="1"/>
  <c r="G64" i="1"/>
  <c r="D147" i="1" s="1"/>
  <c r="D64" i="1"/>
  <c r="F64" i="1" s="1"/>
  <c r="C64" i="1"/>
  <c r="E64" i="1" s="1"/>
  <c r="H70" i="1" l="1"/>
  <c r="H85" i="1"/>
  <c r="H77" i="1"/>
  <c r="D101" i="1"/>
  <c r="E77" i="1"/>
  <c r="E74" i="1"/>
  <c r="E70" i="1"/>
  <c r="E105" i="1"/>
  <c r="H105" i="1"/>
  <c r="H74" i="1"/>
  <c r="G49" i="1"/>
  <c r="G42" i="1"/>
  <c r="H87" i="1" l="1"/>
  <c r="H89" i="1" s="1"/>
  <c r="D160" i="1" s="1"/>
  <c r="H112" i="1" l="1"/>
  <c r="H130" i="1"/>
  <c r="H139" i="1"/>
  <c r="H121" i="1"/>
  <c r="H114" i="1" l="1"/>
  <c r="H132" i="1"/>
  <c r="H123" i="1"/>
  <c r="H141" i="1"/>
  <c r="H144" i="1" l="1"/>
  <c r="F101" i="1"/>
  <c r="F147" i="1" l="1"/>
  <c r="H154" i="1"/>
  <c r="H101" i="1"/>
  <c r="E101" i="1"/>
  <c r="E147" i="1" l="1"/>
  <c r="H147" i="1"/>
  <c r="H156" i="1"/>
  <c r="F160" i="1" l="1"/>
  <c r="E160" i="1" l="1"/>
  <c r="H160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<sst xmlns="http://schemas.openxmlformats.org/spreadsheetml/2006/main" count="300" uniqueCount="173">
  <si>
    <t>Input Data Material</t>
  </si>
  <si>
    <t>Tegangan leleh struktur baja,</t>
  </si>
  <si>
    <t>Tegangan putus struktur baja,</t>
  </si>
  <si>
    <t>Profil :</t>
  </si>
  <si>
    <t>r =</t>
  </si>
  <si>
    <t>mm</t>
  </si>
  <si>
    <t>Input Data Dimensi Struktur Balok, Kolom, dan Pelat</t>
  </si>
  <si>
    <t>Data dimensi dan posisi baut</t>
  </si>
  <si>
    <t>BJ 37</t>
  </si>
  <si>
    <t xml:space="preserve">MPa </t>
  </si>
  <si>
    <t>Diameter baut pakai,</t>
  </si>
  <si>
    <t>kN.m</t>
  </si>
  <si>
    <t>kN</t>
  </si>
  <si>
    <t>Tebal pelat ujung,</t>
  </si>
  <si>
    <t>Lebar pelat ujung,</t>
  </si>
  <si>
    <t>g</t>
  </si>
  <si>
    <t>g =</t>
  </si>
  <si>
    <r>
      <t>mm</t>
    </r>
    <r>
      <rPr>
        <vertAlign val="superscript"/>
        <sz val="11"/>
        <color theme="1"/>
        <rFont val="Calibri"/>
        <family val="2"/>
        <scheme val="minor"/>
      </rPr>
      <t>3</t>
    </r>
  </si>
  <si>
    <t>Luas badan penampang,</t>
  </si>
  <si>
    <t>Koefisien kekuatan geser badan,</t>
  </si>
  <si>
    <t>Kondisi 1 :</t>
  </si>
  <si>
    <r>
      <t>C</t>
    </r>
    <r>
      <rPr>
        <vertAlign val="subscript"/>
        <sz val="11"/>
        <color theme="1"/>
        <rFont val="Calibri"/>
        <family val="2"/>
        <scheme val="minor"/>
      </rPr>
      <t>v1</t>
    </r>
    <r>
      <rPr>
        <sz val="11"/>
        <color theme="1"/>
        <rFont val="Calibri"/>
        <family val="2"/>
        <charset val="1"/>
        <scheme val="minor"/>
      </rPr>
      <t xml:space="preserve"> =</t>
    </r>
  </si>
  <si>
    <t>Kondisi 2 :</t>
  </si>
  <si>
    <t>Koefisien kekuatan geser badan pakai,</t>
  </si>
  <si>
    <t>Kekuatan geser nominal,</t>
  </si>
  <si>
    <t>→</t>
  </si>
  <si>
    <t>Modulus elastisitas baja,</t>
  </si>
  <si>
    <t>E =</t>
  </si>
  <si>
    <t>≥</t>
  </si>
  <si>
    <t>Mutu struktur baja untuk balok,</t>
  </si>
  <si>
    <t>Mutu struktur baja untuk kolom,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</si>
  <si>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</si>
  <si>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A.</t>
  </si>
  <si>
    <t>B.</t>
  </si>
  <si>
    <r>
      <t>h</t>
    </r>
    <r>
      <rPr>
        <vertAlign val="subscript"/>
        <sz val="11"/>
        <color theme="1"/>
        <rFont val="Calibri"/>
        <family val="2"/>
        <scheme val="minor"/>
      </rPr>
      <t>bt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</si>
  <si>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bf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</si>
  <si>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  <scheme val="minor"/>
      </rPr>
      <t>bw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</si>
  <si>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  <scheme val="minor"/>
      </rPr>
      <t>bf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</si>
  <si>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ct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</si>
  <si>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cf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</si>
  <si>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  <scheme val="minor"/>
      </rPr>
      <t>cw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</si>
  <si>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  <scheme val="minor"/>
      </rPr>
      <t>cf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</si>
  <si>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</si>
  <si>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</si>
  <si>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d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</t>
    </r>
  </si>
  <si>
    <t>NO.</t>
  </si>
  <si>
    <t>EXPLANATORY</t>
  </si>
  <si>
    <t>FORMULA</t>
  </si>
  <si>
    <t>VALUE</t>
  </si>
  <si>
    <t>UNIT</t>
  </si>
  <si>
    <t>INPUT DATA PERENCANAAN</t>
  </si>
  <si>
    <t>A.1.</t>
  </si>
  <si>
    <t>A.2.</t>
  </si>
  <si>
    <t>B.1.</t>
  </si>
  <si>
    <t>B.2.</t>
  </si>
  <si>
    <t>C.</t>
  </si>
  <si>
    <t>C.1.</t>
  </si>
  <si>
    <t>C.2.</t>
  </si>
  <si>
    <t>Mutu baut,</t>
  </si>
  <si>
    <t>A325</t>
  </si>
  <si>
    <r>
      <t>F</t>
    </r>
    <r>
      <rPr>
        <vertAlign val="subscript"/>
        <sz val="11"/>
        <color theme="1"/>
        <rFont val="Calibri"/>
        <family val="2"/>
        <scheme val="minor"/>
      </rPr>
      <t>nt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</si>
  <si>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nv</t>
    </r>
    <r>
      <rPr>
        <sz val="11"/>
        <color theme="1"/>
        <rFont val="Calibri"/>
        <family val="2"/>
        <charset val="1"/>
        <scheme val="minor"/>
      </rPr>
      <t xml:space="preserve"> =</t>
    </r>
  </si>
  <si>
    <t>Mutu struktur baja untuk pelat sambungan,</t>
  </si>
  <si>
    <t>Tegangan leleh,</t>
  </si>
  <si>
    <t>Tegangan putus,</t>
  </si>
  <si>
    <t>Syarat :</t>
  </si>
  <si>
    <t>≤</t>
  </si>
  <si>
    <r>
      <t>p</t>
    </r>
    <r>
      <rPr>
        <vertAlign val="subscript"/>
        <sz val="11"/>
        <color theme="1"/>
        <rFont val="Calibri"/>
        <family val="2"/>
      </rPr>
      <t>f</t>
    </r>
  </si>
  <si>
    <t>(dalam satuan mm)</t>
  </si>
  <si>
    <r>
      <t>M</t>
    </r>
    <r>
      <rPr>
        <vertAlign val="subscript"/>
        <sz val="11"/>
        <color theme="1"/>
        <rFont val="Calibri"/>
        <family val="2"/>
        <scheme val="minor"/>
      </rPr>
      <t>u</t>
    </r>
  </si>
  <si>
    <r>
      <t>ϕM</t>
    </r>
    <r>
      <rPr>
        <vertAlign val="subscript"/>
        <sz val="11"/>
        <color theme="1"/>
        <rFont val="Calibri"/>
        <family val="2"/>
      </rPr>
      <t>np</t>
    </r>
  </si>
  <si>
    <r>
      <t>p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</si>
  <si>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</t>
    </r>
  </si>
  <si>
    <t>Kapasitas Sambungan Berdasarkan Kekuatan Pelat Ujung</t>
  </si>
  <si>
    <t>Kapasitas Sambungan Berdasarkan Kekuatan Baut Tarik</t>
  </si>
  <si>
    <t>Kontrol momen perlu terhadap kapasitas sambungan nominal,</t>
  </si>
  <si>
    <r>
      <t>F</t>
    </r>
    <r>
      <rPr>
        <vertAlign val="subscript"/>
        <sz val="11"/>
        <color theme="1"/>
        <rFont val="Calibri"/>
        <family val="2"/>
        <scheme val="minor"/>
      </rPr>
      <t xml:space="preserve">py </t>
    </r>
    <r>
      <rPr>
        <sz val="11"/>
        <color theme="1"/>
        <rFont val="Calibri"/>
        <family val="2"/>
        <charset val="1"/>
        <scheme val="minor"/>
      </rPr>
      <t>=</t>
    </r>
  </si>
  <si>
    <r>
      <t>F</t>
    </r>
    <r>
      <rPr>
        <vertAlign val="subscript"/>
        <sz val="11"/>
        <color theme="1"/>
        <rFont val="Calibri"/>
        <family val="2"/>
        <scheme val="minor"/>
      </rPr>
      <t>pu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</si>
  <si>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by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</si>
  <si>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bu</t>
    </r>
    <r>
      <rPr>
        <sz val="11"/>
        <color theme="1"/>
        <rFont val="Calibri"/>
        <family val="2"/>
        <charset val="1"/>
        <scheme val="minor"/>
      </rPr>
      <t xml:space="preserve"> =</t>
    </r>
  </si>
  <si>
    <t>Kekuatan tarik nominal,</t>
  </si>
  <si>
    <t>ϕ =</t>
  </si>
  <si>
    <t>Momen Inersia</t>
  </si>
  <si>
    <t>Mod. Penampang Elastis</t>
  </si>
  <si>
    <t>Mod. Penampang Plastis</t>
  </si>
  <si>
    <r>
      <t>I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</si>
  <si>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I</t>
    </r>
    <r>
      <rPr>
        <b/>
        <vertAlign val="subscript"/>
        <sz val="11"/>
        <color theme="1"/>
        <rFont val="Calibri"/>
        <family val="2"/>
        <scheme val="minor"/>
      </rPr>
      <t>Y</t>
    </r>
  </si>
  <si>
    <r>
      <t>S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</si>
  <si>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S</t>
    </r>
    <r>
      <rPr>
        <b/>
        <vertAlign val="subscript"/>
        <sz val="11"/>
        <color theme="1"/>
        <rFont val="Calibri"/>
        <family val="2"/>
        <scheme val="minor"/>
      </rPr>
      <t>Y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</si>
  <si>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</si>
  <si>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Y</t>
    </r>
  </si>
  <si>
    <t>Value</t>
  </si>
  <si>
    <t>Satuan</t>
  </si>
  <si>
    <r>
      <t>mm</t>
    </r>
    <r>
      <rPr>
        <vertAlign val="superscript"/>
        <sz val="11"/>
        <color theme="1"/>
        <rFont val="Calibri"/>
        <family val="2"/>
        <scheme val="minor"/>
      </rPr>
      <t>4</t>
    </r>
  </si>
  <si>
    <t>Sifat - sifat material penampang balok WF</t>
  </si>
  <si>
    <t>Data dimensi dari penampang profil balok WF,</t>
  </si>
  <si>
    <t>ANALISA SIFAT PROFIL WF DAN DIMENSI SAMBUNGAN</t>
  </si>
  <si>
    <t>Konfigurasi pelat ujung dan baut,</t>
  </si>
  <si>
    <r>
      <t>3 * d</t>
    </r>
    <r>
      <rPr>
        <vertAlign val="subscript"/>
        <sz val="11"/>
        <color theme="1"/>
        <rFont val="Calibri"/>
        <family val="2"/>
      </rPr>
      <t>b</t>
    </r>
  </si>
  <si>
    <r>
      <t>1,25 * d</t>
    </r>
    <r>
      <rPr>
        <vertAlign val="subscript"/>
        <sz val="11"/>
        <color theme="1"/>
        <rFont val="Calibri"/>
        <family val="2"/>
      </rPr>
      <t>b</t>
    </r>
  </si>
  <si>
    <t>Spasi minimum antara lubang baut diukur dari as ke as,</t>
  </si>
  <si>
    <t>Jarak minimum dari as baut ke tepi pelat,</t>
  </si>
  <si>
    <t>Jarak horizontal,</t>
  </si>
  <si>
    <t>Jarak vertikal,</t>
  </si>
  <si>
    <r>
      <t>p</t>
    </r>
    <r>
      <rPr>
        <vertAlign val="subscript"/>
        <sz val="11"/>
        <color theme="1"/>
        <rFont val="Calibri"/>
        <family val="2"/>
      </rPr>
      <t>b</t>
    </r>
  </si>
  <si>
    <t>Kapasitas sambungan berdasarkan kuat pelat ujung,</t>
  </si>
  <si>
    <t>Kapasitas tarik baut baris pertama,</t>
  </si>
  <si>
    <t>T =</t>
  </si>
  <si>
    <t>Tinjau baut baris pertama</t>
  </si>
  <si>
    <t>Tinjau baut baris kedua</t>
  </si>
  <si>
    <r>
      <t>T = (1+</t>
    </r>
    <r>
      <rPr>
        <sz val="11"/>
        <color theme="1"/>
        <rFont val="Calibri"/>
        <family val="2"/>
      </rPr>
      <t>δ) / 4b' * (p * F</t>
    </r>
    <r>
      <rPr>
        <vertAlign val="subscript"/>
        <sz val="11"/>
        <color theme="1"/>
        <rFont val="Calibri"/>
        <family val="2"/>
      </rPr>
      <t>py</t>
    </r>
    <r>
      <rPr>
        <sz val="11"/>
        <color theme="1"/>
        <rFont val="Calibri"/>
        <family val="2"/>
      </rPr>
      <t xml:space="preserve"> * t</t>
    </r>
    <r>
      <rPr>
        <vertAlign val="subscript"/>
        <sz val="11"/>
        <color theme="1"/>
        <rFont val="Calibri"/>
        <family val="2"/>
      </rPr>
      <t>p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 =</t>
    </r>
  </si>
  <si>
    <r>
      <t>T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charset val="1"/>
        <scheme val="minor"/>
      </rPr>
      <t xml:space="preserve"> = 2 * T =</t>
    </r>
  </si>
  <si>
    <r>
      <t>T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= 2 * T =</t>
    </r>
  </si>
  <si>
    <t>Tinjau baut baris ketiga</t>
  </si>
  <si>
    <r>
      <t>T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charset val="1"/>
        <scheme val="minor"/>
      </rPr>
      <t xml:space="preserve"> = 2 * T =</t>
    </r>
  </si>
  <si>
    <t>Tinjau baut baris keempat</t>
  </si>
  <si>
    <r>
      <t>T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charset val="1"/>
        <scheme val="minor"/>
      </rPr>
      <t xml:space="preserve"> = 2 * T =</t>
    </r>
  </si>
  <si>
    <t>Kapasitas sambungan berdasarkan baut tarik,</t>
  </si>
  <si>
    <r>
      <t>ϕ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M</t>
    </r>
    <r>
      <rPr>
        <vertAlign val="subscript"/>
        <sz val="11"/>
        <color theme="1"/>
        <rFont val="Calibri"/>
        <family val="2"/>
      </rPr>
      <t>np</t>
    </r>
    <r>
      <rPr>
        <sz val="11"/>
        <color theme="1"/>
        <rFont val="Calibri"/>
        <family val="2"/>
      </rPr>
      <t xml:space="preserve"> = ϕ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M</t>
    </r>
    <r>
      <rPr>
        <vertAlign val="subscript"/>
        <sz val="11"/>
        <color theme="1"/>
        <rFont val="Calibri"/>
        <family val="2"/>
      </rPr>
      <t>pl</t>
    </r>
    <r>
      <rPr>
        <sz val="11"/>
        <color theme="1"/>
        <rFont val="Calibri"/>
        <family val="2"/>
      </rPr>
      <t xml:space="preserve"> = ϕ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* Σ(T</t>
    </r>
    <r>
      <rPr>
        <vertAlign val="subscript"/>
        <sz val="11"/>
        <color theme="1"/>
        <rFont val="Calibri"/>
        <family val="2"/>
      </rPr>
      <t>i</t>
    </r>
    <r>
      <rPr>
        <sz val="11"/>
        <color theme="1"/>
        <rFont val="Calibri"/>
        <family val="2"/>
      </rPr>
      <t xml:space="preserve"> * h</t>
    </r>
    <r>
      <rPr>
        <vertAlign val="subscript"/>
        <sz val="11"/>
        <color theme="1"/>
        <rFont val="Calibri"/>
        <family val="2"/>
      </rPr>
      <t>i</t>
    </r>
    <r>
      <rPr>
        <sz val="11"/>
        <color theme="1"/>
        <rFont val="Calibri"/>
        <family val="2"/>
      </rPr>
      <t xml:space="preserve"> ) =</t>
    </r>
  </si>
  <si>
    <t>Kontrol dimensi a'</t>
  </si>
  <si>
    <r>
      <t>1,25*b + d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>/2</t>
    </r>
  </si>
  <si>
    <t>Kondisi 3 :</t>
  </si>
  <si>
    <r>
      <t>K</t>
    </r>
    <r>
      <rPr>
        <sz val="11"/>
        <color theme="1"/>
        <rFont val="Calibri"/>
        <family val="2"/>
      </rPr>
      <t>apasitas tarik baut,</t>
    </r>
  </si>
  <si>
    <r>
      <t>T</t>
    </r>
    <r>
      <rPr>
        <sz val="11"/>
        <color theme="1"/>
        <rFont val="Calibri"/>
        <family val="2"/>
      </rPr>
      <t xml:space="preserve"> = P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=</t>
    </r>
  </si>
  <si>
    <r>
      <t>T = P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* a' / (a' + b') + (p * F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* t</t>
    </r>
    <r>
      <rPr>
        <vertAlign val="subscript"/>
        <sz val="11"/>
        <color theme="1"/>
        <rFont val="Calibri"/>
        <family val="2"/>
        <scheme val="minor"/>
      </rPr>
      <t>p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)/(4*(a'+b')) =</t>
    </r>
  </si>
  <si>
    <t>a'</t>
  </si>
  <si>
    <t>α ≤ 0</t>
  </si>
  <si>
    <t>α &gt; 1</t>
  </si>
  <si>
    <t>0 &lt; α ≤ 1</t>
  </si>
  <si>
    <t>Jika pf &gt; s, maka pf = s,</t>
  </si>
  <si>
    <t>Kapasitas tarik baut baris keempat,</t>
  </si>
  <si>
    <t>Kapasitas tarik baut baris ketiga,</t>
  </si>
  <si>
    <t>Kapasitas tarik baut baris kedua,</t>
  </si>
  <si>
    <r>
      <t xml:space="preserve">ANALISA KEKUATAN TARIK SAMBUNGAN </t>
    </r>
    <r>
      <rPr>
        <b/>
        <i/>
        <sz val="11"/>
        <color theme="1"/>
        <rFont val="Calibri"/>
        <family val="2"/>
        <scheme val="minor"/>
      </rPr>
      <t>END-PLATE</t>
    </r>
  </si>
  <si>
    <t>D.</t>
  </si>
  <si>
    <r>
      <t xml:space="preserve">ANALISA KEKUATAN GESER SAMBUNGAN </t>
    </r>
    <r>
      <rPr>
        <b/>
        <i/>
        <sz val="11"/>
        <color theme="1"/>
        <rFont val="Calibri"/>
        <family val="2"/>
        <scheme val="minor"/>
      </rPr>
      <t>END-PLATE</t>
    </r>
  </si>
  <si>
    <t>Kuat tumpu pelat,</t>
  </si>
  <si>
    <r>
      <t>R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</t>
    </r>
  </si>
  <si>
    <t>Kuat geser baut,</t>
  </si>
  <si>
    <t>Kuat geser blok,</t>
  </si>
  <si>
    <t>Kuat batas baut yang berpengaruh,</t>
  </si>
  <si>
    <t>Kuat batas baut rencana,</t>
  </si>
  <si>
    <r>
      <t>ϕR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 ϕ * R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</t>
    </r>
  </si>
  <si>
    <t>Gaya geser akibat kombinasi beban terfaktor,</t>
  </si>
  <si>
    <t>Kontrol gaya geser perlu terhadap kekuatan batas nominal,</t>
  </si>
  <si>
    <t>Data dimensi dari penampang profil kolom WF,</t>
  </si>
  <si>
    <r>
      <t>p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</si>
  <si>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ky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</si>
  <si>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ku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</si>
  <si>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</rPr>
      <t>u</t>
    </r>
    <r>
      <rPr>
        <sz val="11"/>
        <color theme="1"/>
        <rFont val="Calibri"/>
        <family val="2"/>
      </rPr>
      <t xml:space="preserve"> =</t>
    </r>
  </si>
  <si>
    <t>ANALISA KUAT PROFIL BALOK</t>
  </si>
  <si>
    <t>Nilai faktor ketahanan untuk kuat geser,</t>
  </si>
  <si>
    <r>
      <rPr>
        <i/>
        <sz val="11"/>
        <color theme="1"/>
        <rFont val="Calibri"/>
        <family val="2"/>
        <scheme val="minor"/>
      </rPr>
      <t>φ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</si>
  <si>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charset val="1"/>
        <scheme val="minor"/>
      </rPr>
      <t>/t</t>
    </r>
    <r>
      <rPr>
        <vertAlign val="subscript"/>
        <sz val="11"/>
        <color theme="1"/>
        <rFont val="Calibri"/>
        <family val="2"/>
        <scheme val="minor"/>
      </rPr>
      <t>bw</t>
    </r>
    <r>
      <rPr>
        <sz val="11"/>
        <color theme="1"/>
        <rFont val="Calibri"/>
        <family val="2"/>
        <charset val="1"/>
        <scheme val="minor"/>
      </rPr>
      <t xml:space="preserve"> </t>
    </r>
    <r>
      <rPr>
        <sz val="11"/>
        <color theme="1"/>
        <rFont val="Calibri"/>
        <family val="2"/>
      </rPr>
      <t>&gt; 2,24 * √(E/F</t>
    </r>
    <r>
      <rPr>
        <vertAlign val="subscript"/>
        <sz val="11"/>
        <color theme="1"/>
        <rFont val="Calibri"/>
        <family val="2"/>
      </rPr>
      <t>by</t>
    </r>
    <r>
      <rPr>
        <sz val="11"/>
        <color theme="1"/>
        <rFont val="Calibri"/>
        <family val="2"/>
      </rPr>
      <t>)</t>
    </r>
  </si>
  <si>
    <r>
      <t>h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charset val="1"/>
        <scheme val="minor"/>
      </rPr>
      <t>/t</t>
    </r>
    <r>
      <rPr>
        <vertAlign val="subscript"/>
        <sz val="11"/>
        <color theme="1"/>
        <rFont val="Calibri"/>
        <family val="2"/>
        <scheme val="minor"/>
      </rPr>
      <t>bw</t>
    </r>
    <r>
      <rPr>
        <sz val="11"/>
        <color theme="1"/>
        <rFont val="Calibri"/>
        <family val="2"/>
        <charset val="1"/>
        <scheme val="minor"/>
      </rPr>
      <t xml:space="preserve"> </t>
    </r>
    <r>
      <rPr>
        <sz val="11"/>
        <color theme="1"/>
        <rFont val="Calibri"/>
        <family val="2"/>
      </rPr>
      <t>≤ 2,24 * √(E/F</t>
    </r>
    <r>
      <rPr>
        <vertAlign val="subscript"/>
        <sz val="11"/>
        <color theme="1"/>
        <rFont val="Calibri"/>
        <family val="2"/>
      </rPr>
      <t>by</t>
    </r>
    <r>
      <rPr>
        <sz val="11"/>
        <color theme="1"/>
        <rFont val="Calibri"/>
        <family val="2"/>
      </rPr>
      <t>)</t>
    </r>
  </si>
  <si>
    <t>Kekuatan geser nominal balok,</t>
  </si>
  <si>
    <t>Gaya geser perlu untuk sambungan sekuat profil,</t>
  </si>
  <si>
    <t>Momen perlu dan geser perlu untuk perencanaan sambungan sekuat profil</t>
  </si>
  <si>
    <r>
      <t xml:space="preserve">Analisa rencana dimensi dan konfigurasi sambungan </t>
    </r>
    <r>
      <rPr>
        <b/>
        <i/>
        <sz val="11"/>
        <color theme="1"/>
        <rFont val="Calibri"/>
        <family val="2"/>
        <scheme val="minor"/>
      </rPr>
      <t>end-plate</t>
    </r>
  </si>
  <si>
    <t>Balok tersambung pada sumbu kolom,</t>
  </si>
  <si>
    <t>KOLOM SUMBU KUAT</t>
  </si>
  <si>
    <t>Jarak dari as baut ke tepi pelat,</t>
  </si>
  <si>
    <t>Jarak vertikal antar baut diukur dari as ke as,</t>
  </si>
  <si>
    <t>Jarak vertikal antar baut diukur dari as ke as baut pada extended pelat,</t>
  </si>
  <si>
    <t>Jarak horizontal antar baut diukur dari as ke as,</t>
  </si>
  <si>
    <r>
      <t>V</t>
    </r>
    <r>
      <rPr>
        <i/>
        <vertAlign val="subscript"/>
        <sz val="11"/>
        <color theme="1"/>
        <rFont val="Calibri"/>
        <family val="2"/>
        <scheme val="minor"/>
      </rPr>
      <t>u</t>
    </r>
  </si>
  <si>
    <r>
      <t>ϕR</t>
    </r>
    <r>
      <rPr>
        <i/>
        <vertAlign val="subscript"/>
        <sz val="11"/>
        <color theme="1"/>
        <rFont val="Calibri"/>
        <family val="2"/>
      </rPr>
      <t>n</t>
    </r>
  </si>
  <si>
    <r>
      <t>A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</si>
  <si>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</si>
  <si>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</si>
  <si>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X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</si>
  <si>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</si>
  <si>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ϕ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M</t>
    </r>
    <r>
      <rPr>
        <vertAlign val="subscript"/>
        <sz val="11"/>
        <color theme="1"/>
        <rFont val="Calibri"/>
        <family val="2"/>
        <scheme val="minor"/>
      </rPr>
      <t>np</t>
    </r>
    <r>
      <rPr>
        <sz val="11"/>
        <color theme="1"/>
        <rFont val="Calibri"/>
        <family val="2"/>
        <charset val="1"/>
        <scheme val="minor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</si>
</sst>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.E+00"/>
  </numFmts>
  <fonts count="2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1"/>
    </font>
    <font>
      <vertAlign val="superscript"/>
      <sz val="11"/>
      <color theme="1"/>
      <name val="Calibri"/>
      <family val="2"/>
    </font>
    <font>
      <i/>
      <sz val="11"/>
      <color theme="1"/>
      <name val="Calibri"/>
      <family val="2"/>
    </font>
    <font>
      <sz val="10"/>
      <name val="Arial"/>
      <family val="2"/>
    </font>
    <font>
      <b/>
      <sz val="12"/>
      <color theme="0"/>
      <name val="Calibri Light"/>
      <family val="2"/>
      <scheme val="major"/>
    </font>
    <font>
      <b/>
      <sz val="11"/>
      <color theme="1"/>
      <name val="Calibri"/>
      <family val="2"/>
      <charset val="1"/>
      <scheme val="minor"/>
    </font>
    <font>
      <b/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7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8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2" fontId="0" fillId="6" borderId="1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right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left" vertical="center" indent="1"/>
    </xf>
    <xf numFmtId="0" fontId="7" fillId="0" borderId="0" xfId="0" applyFont="1" applyAlignment="1">
      <alignment horizontal="right" vertical="center"/>
    </xf>
    <xf numFmtId="164" fontId="0" fillId="0" borderId="4" xfId="0" applyNumberForma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2" fontId="0" fillId="0" borderId="4" xfId="0" applyNumberFormat="1" applyBorder="1" applyAlignment="1">
      <alignment horizontal="center" vertical="center"/>
    </xf>
    <xf numFmtId="0" fontId="0" fillId="6" borderId="4" xfId="0" applyFill="1" applyBorder="1" applyAlignment="1">
      <alignment horizontal="left" vertical="center" indent="2"/>
    </xf>
    <xf numFmtId="0" fontId="0" fillId="0" borderId="5" xfId="0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8" fillId="7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2" fontId="21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64C43393-9A7B-4ED3-9190-81B9EBB54A0A}"/>
  </cellStyles>
  <dxfs count="0"/>
  <tableStyles count="0" defaultTableStyle="TableStyleMedium2" defaultPivotStyle="PivotStyleLight16"/>
  <colors>
    <mruColors>
      <color rgb="FFFF66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18</xdr:row>
      <xdr:rowOff>66261</xdr:rowOff>
    </xdr:from>
    <xdr:to>
      <xdr:col>7</xdr:col>
      <xdr:colOff>424010</xdr:colOff>
      <xdr:row>32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8758EF-20C1-C58B-0688-7431995F4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4352511"/>
          <a:ext cx="5310335" cy="3267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9F15-47A5-425A-B15E-81A9DEFDCCA4}">
  <sheetPr>
    <tabColor theme="5"/>
  </sheetPr>
  <dimension ref="A1:I160"/>
  <sheetViews>
    <sheetView showGridLines="0" tabSelected="1" topLeftCell="A145" zoomScaleNormal="100" workbookViewId="0">
      <selection activeCell="D160" sqref="D160"/>
    </sheetView>
  </sheetViews>
  <sheetFormatPr defaultColWidth="8.85546875" defaultRowHeight="18.75" customHeight="1" x14ac:dyDescent="0.25"/>
  <cols>
    <col min="1" max="1" width="6.7109375" style="15" customWidth="1"/>
    <col min="2" max="6" width="13.5703125" style="1" customWidth="1"/>
    <col min="7" max="7" width="13.5703125" style="4" customWidth="1"/>
    <col min="8" max="8" width="13.5703125" style="3" customWidth="1"/>
    <col min="9" max="9" width="13.5703125" style="5" customWidth="1"/>
    <col min="10" max="16384" width="8.85546875" style="1"/>
  </cols>
  <sheetData>
    <row r="1" spans="1:9" ht="18.75" customHeight="1" x14ac:dyDescent="0.25">
      <c r="A1" s="14" t="s">
        <v>45</v>
      </c>
      <c r="B1" s="64" t="s">
        <v>46</v>
      </c>
      <c r="C1" s="64"/>
      <c r="D1" s="64"/>
      <c r="E1" s="64"/>
      <c r="F1" s="64"/>
      <c r="G1" s="14" t="s">
        <v>47</v>
      </c>
      <c r="H1" s="14" t="s">
        <v>48</v>
      </c>
      <c r="I1" s="14" t="s">
        <v>49</v>
      </c>
    </row>
    <row r="2" spans="1:9" ht="18.75" customHeight="1" x14ac:dyDescent="0.25">
      <c r="A2" s="55" t="s">
        <v>32</v>
      </c>
      <c r="B2" s="29" t="s">
        <v>50</v>
      </c>
      <c r="C2" s="29"/>
      <c r="D2" s="29"/>
      <c r="E2" s="29"/>
      <c r="F2" s="29"/>
      <c r="G2" s="29"/>
      <c r="H2" s="29"/>
      <c r="I2" s="29"/>
    </row>
    <row r="3" spans="1:9" ht="18.75" customHeight="1" x14ac:dyDescent="0.25">
      <c r="A3" s="16" t="s">
        <v>51</v>
      </c>
      <c r="B3" s="17" t="s">
        <v>0</v>
      </c>
      <c r="C3" s="18"/>
      <c r="D3" s="18"/>
      <c r="E3" s="18"/>
      <c r="F3" s="18"/>
      <c r="G3" s="19"/>
      <c r="H3" s="20"/>
      <c r="I3" s="21"/>
    </row>
    <row r="4" spans="1:9" ht="18.75" customHeight="1" x14ac:dyDescent="0.25">
      <c r="B4" s="1" t="s">
        <v>29</v>
      </c>
      <c r="H4" s="57" t="s">
        <v>8</v>
      </c>
    </row>
    <row r="5" spans="1:9" ht="18.75" customHeight="1" x14ac:dyDescent="0.25">
      <c r="B5" s="6" t="s">
        <v>1</v>
      </c>
      <c r="G5" s="4" t="s">
        <v>78</v>
      </c>
      <c r="H5" s="57">
        <v>240</v>
      </c>
      <c r="I5" s="5" t="s">
        <v>9</v>
      </c>
    </row>
    <row r="6" spans="1:9" ht="18.75" customHeight="1" x14ac:dyDescent="0.25">
      <c r="B6" s="6" t="s">
        <v>2</v>
      </c>
      <c r="G6" s="4" t="s">
        <v>79</v>
      </c>
      <c r="H6" s="57">
        <v>370</v>
      </c>
      <c r="I6" s="5" t="s">
        <v>9</v>
      </c>
    </row>
    <row r="7" spans="1:9" ht="18.75" customHeight="1" x14ac:dyDescent="0.25">
      <c r="B7" s="1" t="s">
        <v>30</v>
      </c>
      <c r="H7" s="57" t="s">
        <v>8</v>
      </c>
    </row>
    <row r="8" spans="1:9" ht="18.75" customHeight="1" x14ac:dyDescent="0.25">
      <c r="B8" s="6" t="s">
        <v>1</v>
      </c>
      <c r="G8" s="4" t="s">
        <v>147</v>
      </c>
      <c r="H8" s="57">
        <v>240</v>
      </c>
      <c r="I8" s="5" t="s">
        <v>9</v>
      </c>
    </row>
    <row r="9" spans="1:9" ht="18.75" customHeight="1" x14ac:dyDescent="0.25">
      <c r="B9" s="6" t="s">
        <v>2</v>
      </c>
      <c r="G9" s="4" t="s">
        <v>148</v>
      </c>
      <c r="H9" s="57">
        <v>370</v>
      </c>
      <c r="I9" s="5" t="s">
        <v>9</v>
      </c>
    </row>
    <row r="10" spans="1:9" ht="18.75" customHeight="1" x14ac:dyDescent="0.25">
      <c r="B10" s="1" t="s">
        <v>62</v>
      </c>
      <c r="H10" s="57" t="s">
        <v>8</v>
      </c>
    </row>
    <row r="11" spans="1:9" ht="18.75" customHeight="1" x14ac:dyDescent="0.25">
      <c r="B11" s="6" t="s">
        <v>63</v>
      </c>
      <c r="G11" s="4" t="s">
        <v>76</v>
      </c>
      <c r="H11" s="57">
        <v>250</v>
      </c>
      <c r="I11" s="5" t="s">
        <v>9</v>
      </c>
    </row>
    <row r="12" spans="1:9" ht="18.75" customHeight="1" x14ac:dyDescent="0.25">
      <c r="B12" s="6" t="s">
        <v>64</v>
      </c>
      <c r="G12" s="4" t="s">
        <v>77</v>
      </c>
      <c r="H12" s="57">
        <v>370</v>
      </c>
      <c r="I12" s="5" t="s">
        <v>9</v>
      </c>
    </row>
    <row r="13" spans="1:9" ht="18.75" customHeight="1" x14ac:dyDescent="0.25">
      <c r="B13" s="2" t="s">
        <v>26</v>
      </c>
      <c r="G13" s="4" t="s">
        <v>27</v>
      </c>
      <c r="H13" s="57">
        <v>200000</v>
      </c>
      <c r="I13" s="5" t="s">
        <v>9</v>
      </c>
    </row>
    <row r="14" spans="1:9" ht="18.75" customHeight="1" x14ac:dyDescent="0.25">
      <c r="B14" s="1" t="s">
        <v>58</v>
      </c>
      <c r="H14" s="57" t="s">
        <v>59</v>
      </c>
    </row>
    <row r="15" spans="1:9" ht="18.75" customHeight="1" x14ac:dyDescent="0.25">
      <c r="B15" s="6" t="s">
        <v>80</v>
      </c>
      <c r="G15" s="4" t="s">
        <v>60</v>
      </c>
      <c r="H15" s="57">
        <v>620</v>
      </c>
      <c r="I15" s="5" t="s">
        <v>9</v>
      </c>
    </row>
    <row r="16" spans="1:9" ht="18.75" customHeight="1" x14ac:dyDescent="0.25">
      <c r="B16" s="6" t="s">
        <v>24</v>
      </c>
      <c r="G16" s="4" t="s">
        <v>61</v>
      </c>
      <c r="H16" s="57">
        <v>372</v>
      </c>
      <c r="I16" s="5" t="s">
        <v>9</v>
      </c>
    </row>
    <row r="18" spans="1:9" ht="18.75" customHeight="1" x14ac:dyDescent="0.25">
      <c r="A18" s="16" t="s">
        <v>52</v>
      </c>
      <c r="B18" s="17" t="s">
        <v>6</v>
      </c>
      <c r="C18" s="18"/>
      <c r="D18" s="18"/>
      <c r="E18" s="18"/>
      <c r="F18" s="18"/>
      <c r="G18" s="19"/>
      <c r="H18" s="20"/>
      <c r="I18" s="21"/>
    </row>
    <row r="19" spans="1:9" s="12" customFormat="1" ht="18.75" customHeight="1" x14ac:dyDescent="0.25">
      <c r="A19" s="22"/>
      <c r="G19" s="11"/>
      <c r="H19" s="22"/>
      <c r="I19" s="23"/>
    </row>
    <row r="20" spans="1:9" s="12" customFormat="1" ht="18.75" customHeight="1" x14ac:dyDescent="0.25">
      <c r="A20" s="22"/>
      <c r="G20" s="11"/>
      <c r="H20" s="22"/>
      <c r="I20" s="23"/>
    </row>
    <row r="21" spans="1:9" s="12" customFormat="1" ht="18.75" customHeight="1" x14ac:dyDescent="0.25">
      <c r="A21" s="22"/>
      <c r="G21" s="11"/>
      <c r="H21" s="22"/>
      <c r="I21" s="23"/>
    </row>
    <row r="22" spans="1:9" s="12" customFormat="1" ht="18.75" customHeight="1" x14ac:dyDescent="0.25">
      <c r="A22" s="22"/>
      <c r="G22" s="11"/>
      <c r="H22" s="22"/>
      <c r="I22" s="23"/>
    </row>
    <row r="23" spans="1:9" s="12" customFormat="1" ht="18.75" customHeight="1" x14ac:dyDescent="0.25">
      <c r="A23" s="22"/>
      <c r="G23" s="11"/>
      <c r="H23" s="22"/>
      <c r="I23" s="23"/>
    </row>
    <row r="24" spans="1:9" s="12" customFormat="1" ht="18.75" customHeight="1" x14ac:dyDescent="0.25">
      <c r="A24" s="22"/>
      <c r="G24" s="11"/>
      <c r="H24" s="22"/>
      <c r="I24" s="23"/>
    </row>
    <row r="25" spans="1:9" s="12" customFormat="1" ht="18.75" customHeight="1" x14ac:dyDescent="0.25">
      <c r="A25" s="22"/>
      <c r="G25" s="11"/>
      <c r="H25" s="22"/>
      <c r="I25" s="23"/>
    </row>
    <row r="26" spans="1:9" s="12" customFormat="1" ht="18.75" customHeight="1" x14ac:dyDescent="0.25">
      <c r="A26" s="22"/>
      <c r="G26" s="11"/>
      <c r="H26" s="22"/>
      <c r="I26" s="23"/>
    </row>
    <row r="27" spans="1:9" s="12" customFormat="1" ht="18.75" customHeight="1" x14ac:dyDescent="0.25">
      <c r="A27" s="22"/>
      <c r="G27" s="11"/>
      <c r="H27" s="22"/>
      <c r="I27" s="23"/>
    </row>
    <row r="28" spans="1:9" s="12" customFormat="1" ht="18.75" customHeight="1" x14ac:dyDescent="0.25">
      <c r="A28" s="22"/>
    </row>
    <row r="29" spans="1:9" s="12" customFormat="1" ht="18.75" customHeight="1" x14ac:dyDescent="0.25">
      <c r="A29" s="22"/>
      <c r="G29" s="56"/>
    </row>
    <row r="30" spans="1:9" s="12" customFormat="1" ht="18.75" customHeight="1" x14ac:dyDescent="0.25">
      <c r="A30" s="22"/>
    </row>
    <row r="31" spans="1:9" s="12" customFormat="1" ht="18.75" customHeight="1" x14ac:dyDescent="0.25">
      <c r="A31" s="22"/>
    </row>
    <row r="32" spans="1:9" s="12" customFormat="1" ht="18.75" customHeight="1" x14ac:dyDescent="0.25">
      <c r="A32" s="22"/>
    </row>
    <row r="33" spans="1:9" s="12" customFormat="1" ht="18.75" customHeight="1" x14ac:dyDescent="0.25">
      <c r="A33" s="22"/>
    </row>
    <row r="34" spans="1:9" s="12" customFormat="1" ht="18.75" customHeight="1" x14ac:dyDescent="0.25">
      <c r="A34" s="22"/>
      <c r="B34" s="54" t="s">
        <v>159</v>
      </c>
      <c r="G34" s="65" t="s">
        <v>160</v>
      </c>
      <c r="H34" s="66"/>
      <c r="I34" s="23"/>
    </row>
    <row r="35" spans="1:9" s="12" customFormat="1" ht="18.75" customHeight="1" x14ac:dyDescent="0.25">
      <c r="A35" s="22"/>
      <c r="B35" s="44" t="s">
        <v>97</v>
      </c>
      <c r="G35" s="11"/>
      <c r="H35" s="22"/>
      <c r="I35" s="23"/>
    </row>
    <row r="36" spans="1:9" s="12" customFormat="1" ht="18.75" customHeight="1" x14ac:dyDescent="0.25">
      <c r="A36" s="22"/>
      <c r="B36" s="1" t="s">
        <v>161</v>
      </c>
      <c r="G36" s="4" t="s">
        <v>71</v>
      </c>
      <c r="H36" s="58">
        <v>50</v>
      </c>
      <c r="I36" s="5" t="s">
        <v>5</v>
      </c>
    </row>
    <row r="37" spans="1:9" s="12" customFormat="1" ht="18.75" customHeight="1" x14ac:dyDescent="0.25">
      <c r="A37" s="22"/>
      <c r="B37" s="54" t="s">
        <v>162</v>
      </c>
      <c r="G37" s="4" t="s">
        <v>72</v>
      </c>
      <c r="H37" s="58">
        <v>75</v>
      </c>
      <c r="I37" s="5" t="s">
        <v>5</v>
      </c>
    </row>
    <row r="38" spans="1:9" s="12" customFormat="1" ht="18.75" customHeight="1" x14ac:dyDescent="0.25">
      <c r="A38" s="22"/>
      <c r="B38" s="54" t="s">
        <v>163</v>
      </c>
      <c r="G38" s="4" t="s">
        <v>146</v>
      </c>
      <c r="H38" s="58">
        <v>175</v>
      </c>
      <c r="I38" s="5" t="s">
        <v>5</v>
      </c>
    </row>
    <row r="39" spans="1:9" s="12" customFormat="1" ht="18.75" customHeight="1" x14ac:dyDescent="0.25">
      <c r="A39" s="22"/>
      <c r="B39" s="54" t="s">
        <v>14</v>
      </c>
      <c r="G39" s="4" t="s">
        <v>43</v>
      </c>
      <c r="H39" s="58">
        <v>200</v>
      </c>
      <c r="I39" s="5" t="s">
        <v>5</v>
      </c>
    </row>
    <row r="40" spans="1:9" s="12" customFormat="1" ht="18.75" customHeight="1" x14ac:dyDescent="0.25">
      <c r="A40" s="22"/>
      <c r="B40" s="54" t="s">
        <v>164</v>
      </c>
      <c r="G40" s="4" t="s">
        <v>16</v>
      </c>
      <c r="H40" s="58">
        <v>95</v>
      </c>
      <c r="I40" s="5" t="s">
        <v>5</v>
      </c>
    </row>
    <row r="42" spans="1:9" ht="18.75" customHeight="1" x14ac:dyDescent="0.25">
      <c r="B42" s="1" t="s">
        <v>95</v>
      </c>
      <c r="F42" s="1" t="s">
        <v>3</v>
      </c>
      <c r="G42" s="62" t="str">
        <f>H43&amp;" x "&amp;H44&amp;" x "&amp;H45&amp;" x "&amp;H46</f>
        <v>400 x 200 x 8 x 13</v>
      </c>
      <c r="H42" s="63"/>
    </row>
    <row r="43" spans="1:9" ht="18.75" customHeight="1" x14ac:dyDescent="0.25">
      <c r="G43" s="4" t="s">
        <v>34</v>
      </c>
      <c r="H43" s="57">
        <v>400</v>
      </c>
      <c r="I43" s="5" t="s">
        <v>5</v>
      </c>
    </row>
    <row r="44" spans="1:9" ht="18.75" customHeight="1" x14ac:dyDescent="0.25">
      <c r="G44" s="4" t="s">
        <v>35</v>
      </c>
      <c r="H44" s="57">
        <v>200</v>
      </c>
      <c r="I44" s="5" t="s">
        <v>5</v>
      </c>
    </row>
    <row r="45" spans="1:9" ht="18.75" customHeight="1" x14ac:dyDescent="0.25">
      <c r="G45" s="4" t="s">
        <v>36</v>
      </c>
      <c r="H45" s="61">
        <v>8</v>
      </c>
      <c r="I45" s="5" t="s">
        <v>5</v>
      </c>
    </row>
    <row r="46" spans="1:9" ht="18.75" customHeight="1" x14ac:dyDescent="0.25">
      <c r="G46" s="4" t="s">
        <v>37</v>
      </c>
      <c r="H46" s="61">
        <v>13</v>
      </c>
      <c r="I46" s="5" t="s">
        <v>5</v>
      </c>
    </row>
    <row r="47" spans="1:9" ht="18.75" customHeight="1" x14ac:dyDescent="0.25">
      <c r="G47" s="4" t="s">
        <v>4</v>
      </c>
      <c r="H47" s="61">
        <v>16</v>
      </c>
      <c r="I47" s="5" t="s">
        <v>5</v>
      </c>
    </row>
    <row r="48" spans="1:9" ht="18.75" customHeight="1" x14ac:dyDescent="0.25">
      <c r="H48" s="4"/>
    </row>
    <row r="49" spans="1:9" ht="18.75" customHeight="1" x14ac:dyDescent="0.25">
      <c r="B49" s="1" t="s">
        <v>145</v>
      </c>
      <c r="F49" s="1" t="s">
        <v>3</v>
      </c>
      <c r="G49" s="62" t="str">
        <f>H50&amp;" x "&amp;H51&amp;" x "&amp;H52&amp;" x "&amp;H53</f>
        <v>400 x 400 x 8 x 13</v>
      </c>
      <c r="H49" s="63"/>
    </row>
    <row r="50" spans="1:9" ht="18.75" customHeight="1" x14ac:dyDescent="0.25">
      <c r="G50" s="4" t="s">
        <v>38</v>
      </c>
      <c r="H50" s="57">
        <v>400</v>
      </c>
      <c r="I50" s="5" t="s">
        <v>5</v>
      </c>
    </row>
    <row r="51" spans="1:9" ht="18.75" customHeight="1" x14ac:dyDescent="0.25">
      <c r="G51" s="4" t="s">
        <v>39</v>
      </c>
      <c r="H51" s="57">
        <v>400</v>
      </c>
      <c r="I51" s="5" t="s">
        <v>5</v>
      </c>
    </row>
    <row r="52" spans="1:9" ht="18.75" customHeight="1" x14ac:dyDescent="0.25">
      <c r="G52" s="4" t="s">
        <v>40</v>
      </c>
      <c r="H52" s="61">
        <v>8</v>
      </c>
      <c r="I52" s="5" t="s">
        <v>5</v>
      </c>
    </row>
    <row r="53" spans="1:9" ht="18.75" customHeight="1" x14ac:dyDescent="0.25">
      <c r="G53" s="4" t="s">
        <v>41</v>
      </c>
      <c r="H53" s="61">
        <v>13</v>
      </c>
      <c r="I53" s="5" t="s">
        <v>5</v>
      </c>
    </row>
    <row r="54" spans="1:9" ht="18.75" customHeight="1" x14ac:dyDescent="0.25">
      <c r="G54" s="4" t="s">
        <v>4</v>
      </c>
      <c r="H54" s="61">
        <v>16</v>
      </c>
      <c r="I54" s="5" t="s">
        <v>5</v>
      </c>
    </row>
    <row r="55" spans="1:9" ht="18.75" customHeight="1" x14ac:dyDescent="0.25">
      <c r="B55" s="1" t="s">
        <v>7</v>
      </c>
    </row>
    <row r="56" spans="1:9" ht="18.75" customHeight="1" x14ac:dyDescent="0.25">
      <c r="B56" s="1" t="s">
        <v>10</v>
      </c>
      <c r="G56" s="4" t="s">
        <v>44</v>
      </c>
      <c r="H56" s="57">
        <v>19</v>
      </c>
      <c r="I56" s="5" t="s">
        <v>5</v>
      </c>
    </row>
    <row r="57" spans="1:9" ht="18.75" customHeight="1" x14ac:dyDescent="0.25">
      <c r="B57" s="1" t="s">
        <v>13</v>
      </c>
      <c r="G57" s="4" t="s">
        <v>42</v>
      </c>
      <c r="H57" s="57">
        <v>25</v>
      </c>
      <c r="I57" s="5" t="s">
        <v>5</v>
      </c>
    </row>
    <row r="60" spans="1:9" ht="18.75" customHeight="1" x14ac:dyDescent="0.25">
      <c r="A60" s="28" t="s">
        <v>33</v>
      </c>
      <c r="B60" s="29" t="s">
        <v>96</v>
      </c>
      <c r="C60" s="30"/>
      <c r="D60" s="30"/>
      <c r="E60" s="30"/>
      <c r="F60" s="30"/>
      <c r="G60" s="31"/>
      <c r="H60" s="32"/>
      <c r="I60" s="33"/>
    </row>
    <row r="61" spans="1:9" ht="18.75" customHeight="1" x14ac:dyDescent="0.25">
      <c r="A61" s="38" t="s">
        <v>53</v>
      </c>
      <c r="B61" s="17" t="s">
        <v>94</v>
      </c>
      <c r="C61" s="18"/>
      <c r="D61" s="18"/>
      <c r="E61" s="18"/>
      <c r="F61" s="18"/>
      <c r="G61" s="19"/>
      <c r="H61" s="39"/>
      <c r="I61" s="21"/>
    </row>
    <row r="62" spans="1:9" ht="18.75" customHeight="1" x14ac:dyDescent="0.25">
      <c r="A62" s="7"/>
      <c r="B62" s="67"/>
      <c r="C62" s="67" t="s">
        <v>82</v>
      </c>
      <c r="D62" s="67"/>
      <c r="E62" s="67" t="s">
        <v>83</v>
      </c>
      <c r="F62" s="67"/>
      <c r="G62" s="67" t="s">
        <v>84</v>
      </c>
      <c r="H62" s="67"/>
    </row>
    <row r="63" spans="1:9" ht="18.75" customHeight="1" x14ac:dyDescent="0.25">
      <c r="A63" s="7"/>
      <c r="B63" s="67"/>
      <c r="C63" s="40" t="s">
        <v>85</v>
      </c>
      <c r="D63" s="40" t="s">
        <v>86</v>
      </c>
      <c r="E63" s="40" t="s">
        <v>87</v>
      </c>
      <c r="F63" s="40" t="s">
        <v>88</v>
      </c>
      <c r="G63" s="40" t="s">
        <v>89</v>
      </c>
      <c r="H63" s="40" t="s">
        <v>90</v>
      </c>
      <c r="I63" s="1"/>
    </row>
    <row r="64" spans="1:9" ht="18.75" customHeight="1" x14ac:dyDescent="0.25">
      <c r="A64" s="7"/>
      <c r="B64" s="41" t="s">
        <v>91</v>
      </c>
      <c r="C64" s="42">
        <f>1/12*H45*(H43-2*H46)^3+2*1/12*H44*H46^3+2*H44*H46*(0.5*H43-0.5*H46)^2</f>
        <v>229648682.66666666</v>
      </c>
      <c r="D64" s="42">
        <f>1/12*(H43-2*H46)*H45^3+2*1/12*H46*H44^3</f>
        <v>17349290.666666664</v>
      </c>
      <c r="E64" s="42">
        <f>C64/(0.5*H43)</f>
        <v>1148243.4133333333</v>
      </c>
      <c r="F64" s="42">
        <f>D64/(0.5*H44)</f>
        <v>173492.90666666665</v>
      </c>
      <c r="G64" s="42">
        <f>H44*H46*(H43-H46)+H45*(0.5*H43-H46)^2</f>
        <v>1285952</v>
      </c>
      <c r="H64" s="42">
        <f>0.5*H46*H44^2+0.25*(H43-2*H46)*H45^2</f>
        <v>265984</v>
      </c>
    </row>
    <row r="65" spans="1:9" ht="18.75" customHeight="1" x14ac:dyDescent="0.25">
      <c r="A65" s="7"/>
      <c r="B65" s="41" t="s">
        <v>92</v>
      </c>
      <c r="C65" s="43" t="s">
        <v>93</v>
      </c>
      <c r="D65" s="43" t="s">
        <v>93</v>
      </c>
      <c r="E65" s="43" t="s">
        <v>17</v>
      </c>
      <c r="F65" s="43" t="s">
        <v>17</v>
      </c>
      <c r="G65" s="43" t="s">
        <v>17</v>
      </c>
      <c r="H65" s="43" t="s">
        <v>17</v>
      </c>
    </row>
    <row r="66" spans="1:9" ht="18.75" customHeight="1" x14ac:dyDescent="0.25">
      <c r="A66" s="7"/>
    </row>
    <row r="67" spans="1:9" ht="18.75" customHeight="1" x14ac:dyDescent="0.25">
      <c r="A67" s="38" t="s">
        <v>54</v>
      </c>
      <c r="B67" s="17" t="s">
        <v>158</v>
      </c>
      <c r="C67" s="18"/>
      <c r="D67" s="18"/>
      <c r="E67" s="18"/>
      <c r="F67" s="18"/>
      <c r="G67" s="19"/>
      <c r="H67" s="39"/>
      <c r="I67" s="21"/>
    </row>
    <row r="68" spans="1:9" ht="18.75" customHeight="1" x14ac:dyDescent="0.25">
      <c r="B68" s="1" t="s">
        <v>101</v>
      </c>
    </row>
    <row r="69" spans="1:9" ht="18.75" customHeight="1" x14ac:dyDescent="0.25">
      <c r="D69" s="27" t="s">
        <v>67</v>
      </c>
      <c r="E69" s="27" t="s">
        <v>28</v>
      </c>
      <c r="F69" s="27" t="s">
        <v>99</v>
      </c>
    </row>
    <row r="70" spans="1:9" ht="18.75" customHeight="1" x14ac:dyDescent="0.25">
      <c r="B70" s="6" t="s">
        <v>68</v>
      </c>
      <c r="D70" s="10">
        <f>H36</f>
        <v>50</v>
      </c>
      <c r="E70" s="3" t="str">
        <f>IF(D70&gt;=F70,"≥","&lt;")</f>
        <v>≥</v>
      </c>
      <c r="F70" s="10">
        <f>1.25*H56</f>
        <v>23.75</v>
      </c>
      <c r="G70" s="9" t="s">
        <v>25</v>
      </c>
      <c r="H70" s="37" t="str">
        <f>IF(D70&gt;=F70,"[ OK ]","[ GANTI KONFIGURASI ]")</f>
        <v>[ OK ]</v>
      </c>
    </row>
    <row r="72" spans="1:9" ht="18.75" customHeight="1" x14ac:dyDescent="0.25">
      <c r="B72" s="1" t="s">
        <v>100</v>
      </c>
    </row>
    <row r="73" spans="1:9" ht="18.75" customHeight="1" x14ac:dyDescent="0.25">
      <c r="B73" s="6" t="s">
        <v>102</v>
      </c>
      <c r="D73" s="27" t="s">
        <v>15</v>
      </c>
      <c r="E73" s="27" t="s">
        <v>28</v>
      </c>
      <c r="F73" s="27" t="s">
        <v>98</v>
      </c>
    </row>
    <row r="74" spans="1:9" ht="18.75" customHeight="1" x14ac:dyDescent="0.25">
      <c r="B74" s="6" t="s">
        <v>68</v>
      </c>
      <c r="D74" s="10">
        <f>H40</f>
        <v>95</v>
      </c>
      <c r="E74" s="3" t="str">
        <f>IF(D74&gt;=F74,"≥","&lt;")</f>
        <v>≥</v>
      </c>
      <c r="F74" s="10">
        <f>3*H56</f>
        <v>57</v>
      </c>
      <c r="G74" s="9" t="s">
        <v>25</v>
      </c>
      <c r="H74" s="37" t="str">
        <f>IF(D74&gt;=F74,"[ OK ]","[ GANTI KONFIGURASI ]")</f>
        <v>[ OK ]</v>
      </c>
    </row>
    <row r="75" spans="1:9" ht="18.75" customHeight="1" x14ac:dyDescent="0.25">
      <c r="D75" s="26"/>
      <c r="E75" s="3"/>
      <c r="F75" s="26"/>
      <c r="G75" s="9"/>
      <c r="H75" s="37"/>
    </row>
    <row r="76" spans="1:9" ht="18.75" customHeight="1" x14ac:dyDescent="0.25">
      <c r="B76" s="6" t="s">
        <v>103</v>
      </c>
      <c r="D76" s="27" t="s">
        <v>104</v>
      </c>
      <c r="E76" s="27" t="s">
        <v>28</v>
      </c>
      <c r="F76" s="27" t="s">
        <v>98</v>
      </c>
    </row>
    <row r="77" spans="1:9" ht="18.75" customHeight="1" x14ac:dyDescent="0.25">
      <c r="B77" s="6" t="s">
        <v>68</v>
      </c>
      <c r="D77" s="10">
        <f>H37</f>
        <v>75</v>
      </c>
      <c r="E77" s="3" t="str">
        <f>IF(D77&gt;=F77,"≥","&lt;")</f>
        <v>≥</v>
      </c>
      <c r="F77" s="10">
        <f>3*H56</f>
        <v>57</v>
      </c>
      <c r="G77" s="9" t="s">
        <v>25</v>
      </c>
      <c r="H77" s="37" t="str">
        <f>IF(D77&gt;=F77,"[ OK ]","[ GANTI KONFIGURASI ]")</f>
        <v>[ OK ]</v>
      </c>
    </row>
    <row r="79" spans="1:9" ht="18.75" customHeight="1" x14ac:dyDescent="0.25">
      <c r="A79" s="28" t="s">
        <v>55</v>
      </c>
      <c r="B79" s="29" t="s">
        <v>150</v>
      </c>
      <c r="C79" s="30"/>
      <c r="D79" s="30"/>
      <c r="E79" s="30"/>
      <c r="F79" s="30"/>
      <c r="G79" s="31"/>
      <c r="H79" s="32"/>
      <c r="I79" s="33"/>
    </row>
    <row r="80" spans="1:9" ht="18.75" customHeight="1" x14ac:dyDescent="0.25">
      <c r="A80" s="16" t="s">
        <v>56</v>
      </c>
      <c r="B80" s="17" t="s">
        <v>157</v>
      </c>
      <c r="C80" s="18"/>
      <c r="D80" s="18"/>
      <c r="E80" s="18"/>
      <c r="F80" s="18"/>
      <c r="G80" s="19"/>
      <c r="H80" s="20"/>
      <c r="I80" s="21"/>
    </row>
    <row r="81" spans="1:9" ht="18.75" customHeight="1" x14ac:dyDescent="0.25">
      <c r="A81" s="7"/>
      <c r="B81" s="1" t="s">
        <v>18</v>
      </c>
      <c r="G81" s="4" t="s">
        <v>167</v>
      </c>
      <c r="H81" s="68">
        <f>(H43-H46)*H45</f>
        <v>3096</v>
      </c>
      <c r="I81" s="5" t="s">
        <v>31</v>
      </c>
    </row>
    <row r="82" spans="1:9" ht="18.75" customHeight="1" x14ac:dyDescent="0.25">
      <c r="A82" s="7"/>
      <c r="B82" s="1" t="s">
        <v>19</v>
      </c>
      <c r="H82" s="69"/>
    </row>
    <row r="83" spans="1:9" ht="18.75" customHeight="1" x14ac:dyDescent="0.25">
      <c r="A83" s="7"/>
      <c r="B83" s="1" t="s">
        <v>20</v>
      </c>
      <c r="C83" s="1" t="s">
        <v>154</v>
      </c>
      <c r="G83" s="4" t="s">
        <v>21</v>
      </c>
      <c r="H83" s="70">
        <f>IF(((H43-H46)/H45)&lt;=2.24*SQRT(H13/H5),1,"-")</f>
        <v>1</v>
      </c>
    </row>
    <row r="84" spans="1:9" ht="18.75" customHeight="1" x14ac:dyDescent="0.25">
      <c r="A84" s="7"/>
      <c r="B84" s="1" t="s">
        <v>22</v>
      </c>
      <c r="C84" s="1" t="s">
        <v>153</v>
      </c>
      <c r="G84" s="4" t="s">
        <v>21</v>
      </c>
      <c r="H84" s="70" t="str">
        <f>IF(((H43-H46)/H45)&gt;2.24*SQRT(H13/H5),1.1/((H43-H46)/H45)*SQRT(5.34*H13/H5),"-")</f>
        <v>-</v>
      </c>
    </row>
    <row r="85" spans="1:9" ht="18.75" customHeight="1" x14ac:dyDescent="0.25">
      <c r="A85" s="7"/>
      <c r="B85" s="1" t="s">
        <v>23</v>
      </c>
      <c r="G85" s="4" t="s">
        <v>21</v>
      </c>
      <c r="H85" s="70">
        <f>MAX(H83,H84)</f>
        <v>1</v>
      </c>
    </row>
    <row r="86" spans="1:9" ht="18.75" customHeight="1" x14ac:dyDescent="0.25">
      <c r="A86" s="7"/>
      <c r="H86" s="69"/>
    </row>
    <row r="87" spans="1:9" ht="18.75" customHeight="1" x14ac:dyDescent="0.25">
      <c r="A87" s="7"/>
      <c r="B87" s="1" t="s">
        <v>155</v>
      </c>
      <c r="G87" s="4" t="s">
        <v>168</v>
      </c>
      <c r="H87" s="68">
        <f>0.6*H5*H81*H85/10^3</f>
        <v>445.82400000000001</v>
      </c>
      <c r="I87" s="5" t="s">
        <v>12</v>
      </c>
    </row>
    <row r="88" spans="1:9" ht="18.75" customHeight="1" x14ac:dyDescent="0.25">
      <c r="A88" s="7"/>
      <c r="B88" s="1" t="s">
        <v>151</v>
      </c>
      <c r="G88" s="53" t="s">
        <v>152</v>
      </c>
      <c r="H88" s="70">
        <v>0.9</v>
      </c>
    </row>
    <row r="89" spans="1:9" ht="18.75" customHeight="1" x14ac:dyDescent="0.25">
      <c r="A89" s="7"/>
      <c r="B89" s="1" t="s">
        <v>156</v>
      </c>
      <c r="G89" s="4" t="s">
        <v>169</v>
      </c>
      <c r="H89" s="70">
        <f>H88*H87</f>
        <v>401.24160000000001</v>
      </c>
      <c r="I89" s="5" t="s">
        <v>12</v>
      </c>
    </row>
    <row r="91" spans="1:9" ht="18.75" customHeight="1" x14ac:dyDescent="0.25">
      <c r="A91" s="28" t="s">
        <v>55</v>
      </c>
      <c r="B91" s="29" t="s">
        <v>133</v>
      </c>
      <c r="C91" s="30"/>
      <c r="D91" s="30"/>
      <c r="E91" s="30"/>
      <c r="F91" s="30"/>
      <c r="G91" s="31"/>
      <c r="H91" s="32"/>
      <c r="I91" s="33"/>
    </row>
    <row r="92" spans="1:9" ht="18.75" customHeight="1" x14ac:dyDescent="0.25">
      <c r="A92" s="16" t="s">
        <v>56</v>
      </c>
      <c r="B92" s="17" t="s">
        <v>73</v>
      </c>
      <c r="C92" s="18"/>
      <c r="D92" s="18"/>
      <c r="E92" s="18"/>
      <c r="F92" s="18"/>
      <c r="G92" s="19"/>
      <c r="H92" s="20"/>
      <c r="I92" s="21"/>
    </row>
    <row r="93" spans="1:9" ht="18.75" customHeight="1" x14ac:dyDescent="0.25">
      <c r="B93" s="2" t="s">
        <v>129</v>
      </c>
      <c r="D93" s="9" t="s">
        <v>25</v>
      </c>
      <c r="E93" s="3" t="str">
        <f>IF(H36&gt;(0.5*SQRT(H39*H40)),"pf &gt; s","pf &lt; s")</f>
        <v>pf &lt; s</v>
      </c>
      <c r="F93" s="9" t="s">
        <v>25</v>
      </c>
      <c r="G93" s="4" t="s">
        <v>71</v>
      </c>
      <c r="H93" s="10">
        <f>IF(H36&gt;(0.5*SQRT(H39*H40)),(0.5*SQRT(H39*H40)),H36)</f>
        <v>50</v>
      </c>
      <c r="I93" s="5" t="s">
        <v>5</v>
      </c>
    </row>
    <row r="94" spans="1:9" ht="18.75" customHeight="1" x14ac:dyDescent="0.25">
      <c r="B94" s="2"/>
      <c r="G94" s="4" t="s">
        <v>170</v>
      </c>
      <c r="H94" s="10">
        <f>(2/H40*((3*H37+H38+H36)*(IF(H36&gt;(0.5*SQRT(H39*H40)),(0.5*SQRT(H39*H40)),H36)+2.25*H37)+(H38+H36)*(IF(H36&gt;(0.5*SQRT(H39*H40)),(0.5*SQRT(H39*H40)),H36)+0.75*H37))+H40/2)</f>
        <v>2623.1578947368421</v>
      </c>
    </row>
    <row r="95" spans="1:9" ht="18.75" customHeight="1" x14ac:dyDescent="0.25">
      <c r="G95" s="4" t="s">
        <v>171</v>
      </c>
      <c r="H95" s="10">
        <f>H39/2*((3*H37+H38+H36)*(1/IF(H36&gt;(0.5*SQRT(H39*H40)),(0.5*SQRT(H39*H40)),H36))+(H38+H36)*(1/IF(H36&gt;(0.5*SQRT(H39*H40)),(0.5*SQRT(H39*H40)),H36)))+(2/H40*((3*H37+H38+H36)*(IF(H36&gt;(0.5*SQRT(H39*H40)),(0.5*SQRT(H39*H40)),H36)+2.25*H37)+(H38+H36)*(IF(H36&gt;(0.5*SQRT(H39*H40)),(0.5*SQRT(H39*H40)),H36)+0.75*H37))+H40/2)</f>
        <v>3973.1578947368421</v>
      </c>
    </row>
    <row r="96" spans="1:9" ht="18.75" customHeight="1" x14ac:dyDescent="0.25">
      <c r="G96" s="36"/>
      <c r="H96" s="36"/>
    </row>
    <row r="97" spans="1:9" ht="18.75" customHeight="1" x14ac:dyDescent="0.25">
      <c r="G97" s="1"/>
      <c r="H97" s="1"/>
      <c r="I97" s="1"/>
    </row>
    <row r="98" spans="1:9" ht="18.75" customHeight="1" x14ac:dyDescent="0.25">
      <c r="B98" s="1" t="s">
        <v>105</v>
      </c>
      <c r="G98" s="4" t="s">
        <v>172</v>
      </c>
      <c r="H98" s="71">
        <f>0.9*((H11*H57^2*H95)/10^6)</f>
        <v>558.72532894736844</v>
      </c>
      <c r="I98" s="5" t="s">
        <v>11</v>
      </c>
    </row>
    <row r="99" spans="1:9" ht="18.75" customHeight="1" x14ac:dyDescent="0.25">
      <c r="B99" s="1" t="s">
        <v>75</v>
      </c>
      <c r="H99" s="26"/>
    </row>
    <row r="100" spans="1:9" ht="18.75" customHeight="1" x14ac:dyDescent="0.25">
      <c r="B100" s="1" t="s">
        <v>65</v>
      </c>
      <c r="D100" s="3" t="s">
        <v>69</v>
      </c>
      <c r="E100" s="3" t="s">
        <v>66</v>
      </c>
      <c r="F100" s="27" t="s">
        <v>70</v>
      </c>
      <c r="H100" s="26"/>
    </row>
    <row r="101" spans="1:9" ht="18.75" customHeight="1" x14ac:dyDescent="0.25">
      <c r="D101" s="35">
        <f>(0.9*H5*G64/10^6)</f>
        <v>277.76563199999998</v>
      </c>
      <c r="E101" s="3" t="str">
        <f>IF(D101&lt;F101,"≤","&gt;")</f>
        <v>≤</v>
      </c>
      <c r="F101" s="35">
        <f>H98</f>
        <v>558.72532894736844</v>
      </c>
      <c r="G101" s="9" t="s">
        <v>25</v>
      </c>
      <c r="H101" s="7" t="str">
        <f>IF(D101&lt;F101,"[ OK ]","[ NOT OK ]")</f>
        <v>[ OK ]</v>
      </c>
    </row>
    <row r="103" spans="1:9" ht="18.75" customHeight="1" x14ac:dyDescent="0.25">
      <c r="A103" s="16" t="s">
        <v>57</v>
      </c>
      <c r="B103" s="17" t="s">
        <v>74</v>
      </c>
      <c r="C103" s="18"/>
      <c r="D103" s="18"/>
      <c r="E103" s="18"/>
      <c r="F103" s="18"/>
      <c r="G103" s="19"/>
      <c r="H103" s="20"/>
      <c r="I103" s="21"/>
    </row>
    <row r="104" spans="1:9" ht="18.75" customHeight="1" x14ac:dyDescent="0.25">
      <c r="B104" s="1" t="s">
        <v>119</v>
      </c>
      <c r="D104" s="3" t="s">
        <v>125</v>
      </c>
      <c r="E104" s="3" t="s">
        <v>66</v>
      </c>
      <c r="F104" s="3" t="s">
        <v>120</v>
      </c>
      <c r="H104" s="26"/>
    </row>
    <row r="105" spans="1:9" ht="18.75" customHeight="1" x14ac:dyDescent="0.25">
      <c r="D105" s="46">
        <f>((H39-H40)/2)+H56/2</f>
        <v>62</v>
      </c>
      <c r="E105" s="3" t="str">
        <f>IF(D105&gt;F105,"&gt;","≤")</f>
        <v>≤</v>
      </c>
      <c r="F105" s="46">
        <f>1.25*((H39-((H39-H40)/2)-((H39-H40)/2)-H45)/2)+H56/2</f>
        <v>63.875</v>
      </c>
      <c r="G105" s="9" t="s">
        <v>25</v>
      </c>
      <c r="H105" s="37" t="str">
        <f>IF(D105&gt;F105,"[ NOT OK ]","[ OK ]")</f>
        <v>[ OK ]</v>
      </c>
    </row>
    <row r="107" spans="1:9" ht="18.75" customHeight="1" x14ac:dyDescent="0.25">
      <c r="B107" s="24" t="s">
        <v>108</v>
      </c>
    </row>
    <row r="108" spans="1:9" ht="18.75" customHeight="1" x14ac:dyDescent="0.25">
      <c r="B108" s="44" t="s">
        <v>122</v>
      </c>
      <c r="H108" s="4"/>
    </row>
    <row r="109" spans="1:9" ht="18.75" customHeight="1" x14ac:dyDescent="0.25">
      <c r="A109" s="7"/>
      <c r="B109" s="47" t="s">
        <v>20</v>
      </c>
      <c r="C109" s="50" t="s">
        <v>126</v>
      </c>
      <c r="D109" s="48"/>
      <c r="E109" s="48"/>
      <c r="F109" s="48"/>
      <c r="G109" s="49" t="s">
        <v>123</v>
      </c>
      <c r="H109" s="35" t="str">
        <f>IF((1/(1-((H56+2)/(H36+H37/2)))*((4*(0.75*1/4*3.14*H56^2*H15/10^3)*10^3*(((H39-((H39-H40)/2)-((H39-H40)/2)-H45)/2)-H56/2)/((H36+H37/2)*H11*H57^2))-1))&lt;=0,(0.75*1/4*3.14*H56^2*H15/10^3),"-")</f>
        <v>-</v>
      </c>
      <c r="I109" s="5" t="s">
        <v>12</v>
      </c>
    </row>
    <row r="110" spans="1:9" ht="18.75" customHeight="1" x14ac:dyDescent="0.25">
      <c r="A110" s="7"/>
      <c r="B110" s="47" t="s">
        <v>22</v>
      </c>
      <c r="C110" s="51" t="s">
        <v>128</v>
      </c>
      <c r="D110" s="48"/>
      <c r="E110" s="48"/>
      <c r="F110" s="48"/>
      <c r="G110" s="49" t="s">
        <v>124</v>
      </c>
      <c r="H110" s="35">
        <f>IF(AND((1/(1-((H56+2)/(H36+H37/2)))*((4*(0.75*1/4*3.14*H56^2*H15/10^3)*10^3*(((H39-((H39-H40)/2)-((H39-H40)/2)-H45)/2)-H56/2)/((H36+H37/2)*H11*H57^2))-1))&gt;0,(1/(1-((H56+2)/(H36+H37/2)))*((4*(0.75*1/4*3.14*H56^2*H15/10^3)*10^3*(((H39-((H39-H40)/2)-((H39-H40)/2)-H45)/2)-H56/2)/((H36+H37/2)*H11*H57^2))-1))&lt;=1),((0.75*1/4*3.14*H56^2*H15/10^3)*10^3*(((H39-H40)/2)+H56/2)/((((H39-H40)/2)+H56/2)+(((H39-((H39-H40)/2)-((H39-H40)/2)-H45)/2)-H56/2))+((H36+H37/2)*H11*H57^2)/(4*((((H39-H40)/2)+H56/2)+(((H39-((H39-H40)/2)-((H39-H40)/2)-H45)/2)-H56/2))))/10^3,"-")</f>
        <v>120.70789895833333</v>
      </c>
      <c r="I110" s="5" t="s">
        <v>12</v>
      </c>
    </row>
    <row r="111" spans="1:9" ht="18.75" customHeight="1" x14ac:dyDescent="0.25">
      <c r="A111" s="7"/>
      <c r="B111" s="47" t="s">
        <v>121</v>
      </c>
      <c r="C111" s="50" t="s">
        <v>127</v>
      </c>
      <c r="D111" s="48"/>
      <c r="E111" s="48"/>
      <c r="F111" s="48"/>
      <c r="G111" s="49" t="s">
        <v>110</v>
      </c>
      <c r="H111" s="35" t="str">
        <f>IF((1/(1-((H56+2)/(H36+H37/2)))*((4*(0.75*1/4*3.14*H56^2*H15/10^3)*10^3*(((H39-((H39-H40)/2)-((H39-H40)/2)-H45)/2)-H56/2)/((H36+H37/2)*H11*H57^2))-1))&gt;1,(1+(1-((H56+2)/(H36+H37/2))))/(4*(((H39-((H39-H40)/2)-((H39-H40)/2)-H45)/2)-H56/2))*((H36+H37/2)*H11*H57^2)/10^3,"-")</f>
        <v>-</v>
      </c>
      <c r="I111" s="5" t="s">
        <v>12</v>
      </c>
    </row>
    <row r="112" spans="1:9" ht="18.75" customHeight="1" x14ac:dyDescent="0.25">
      <c r="B112" s="44"/>
      <c r="G112" s="45" t="s">
        <v>107</v>
      </c>
      <c r="H112" s="8">
        <f>MIN(H109:H111)</f>
        <v>120.70789895833333</v>
      </c>
      <c r="I112" s="5" t="s">
        <v>12</v>
      </c>
    </row>
    <row r="113" spans="1:9" ht="18.75" customHeight="1" x14ac:dyDescent="0.25">
      <c r="B113" s="44"/>
      <c r="G113" s="45"/>
      <c r="H113" s="45"/>
    </row>
    <row r="114" spans="1:9" ht="18.75" customHeight="1" x14ac:dyDescent="0.25">
      <c r="B114" s="1" t="s">
        <v>106</v>
      </c>
      <c r="G114" s="4" t="s">
        <v>111</v>
      </c>
      <c r="H114" s="25">
        <f>2*H112</f>
        <v>241.41579791666666</v>
      </c>
      <c r="I114" s="5" t="s">
        <v>12</v>
      </c>
    </row>
    <row r="115" spans="1:9" ht="18.75" customHeight="1" x14ac:dyDescent="0.25">
      <c r="H115" s="26"/>
    </row>
    <row r="116" spans="1:9" ht="18.75" customHeight="1" x14ac:dyDescent="0.25">
      <c r="B116" s="24" t="s">
        <v>109</v>
      </c>
      <c r="H116" s="26"/>
    </row>
    <row r="117" spans="1:9" ht="18.75" customHeight="1" x14ac:dyDescent="0.25">
      <c r="B117" s="44" t="s">
        <v>122</v>
      </c>
      <c r="H117" s="4"/>
    </row>
    <row r="118" spans="1:9" ht="18.75" customHeight="1" x14ac:dyDescent="0.25">
      <c r="A118" s="7"/>
      <c r="B118" s="47" t="s">
        <v>20</v>
      </c>
      <c r="C118" s="50" t="s">
        <v>126</v>
      </c>
      <c r="D118" s="48"/>
      <c r="E118" s="48"/>
      <c r="F118" s="48"/>
      <c r="G118" s="49" t="s">
        <v>123</v>
      </c>
      <c r="H118" s="35" t="str">
        <f>IF((1-((H56+2)/((H37+H37)/2)))&lt;=0,(0.75*1/4*3.14*H56^2*H15/10^3),"-")</f>
        <v>-</v>
      </c>
      <c r="I118" s="5" t="s">
        <v>12</v>
      </c>
    </row>
    <row r="119" spans="1:9" ht="18.75" customHeight="1" x14ac:dyDescent="0.25">
      <c r="A119" s="7"/>
      <c r="B119" s="47" t="s">
        <v>22</v>
      </c>
      <c r="C119" s="51" t="s">
        <v>128</v>
      </c>
      <c r="D119" s="48"/>
      <c r="E119" s="48"/>
      <c r="F119" s="48"/>
      <c r="G119" s="49" t="s">
        <v>124</v>
      </c>
      <c r="H119" s="35">
        <f>IF(AND((1-((H56+2)/((H37+H37)/2)))&gt;0,(1-((H56+2)/((H37+H37)/2)))&lt;=1),((0.75*1/4*3.14*H56^2*H15/10^3)*10^3*(((H39-H40)/2)+H56/2)/((((H39-H40)/2)+H56/2)+(((H39-((H39-H40)/2)-((H39-H40)/2)-H45)/2)-H56/2))+(((H37+H37)/2)*H11*H57^2)/(4*((((H39-H40)/2)+H56/2)+(((H39-((H39-H40)/2)-((H39-H40)/2)-H45)/2)-H56/2))))/10^3,"-")</f>
        <v>115.6216359375</v>
      </c>
      <c r="I119" s="5" t="s">
        <v>12</v>
      </c>
    </row>
    <row r="120" spans="1:9" ht="18.75" customHeight="1" x14ac:dyDescent="0.25">
      <c r="A120" s="7"/>
      <c r="B120" s="47" t="s">
        <v>121</v>
      </c>
      <c r="C120" s="50" t="s">
        <v>127</v>
      </c>
      <c r="D120" s="48"/>
      <c r="E120" s="48"/>
      <c r="F120" s="48"/>
      <c r="G120" s="49" t="s">
        <v>110</v>
      </c>
      <c r="H120" s="35" t="str">
        <f>IF((1-((H56+2)/((H37+H37)/2)))&gt;=1,(1+(1-((H56+2)/((H37+H37)/2))))/(4*(((H39-((H39-H40)/2)-((H39-H40)/2)-H45)/2)-H56/2))*(((H37+H37)/2)*H11*H57^2)/10^3,"-")</f>
        <v>-</v>
      </c>
      <c r="I120" s="5" t="s">
        <v>12</v>
      </c>
    </row>
    <row r="121" spans="1:9" ht="18.75" customHeight="1" x14ac:dyDescent="0.25">
      <c r="B121" s="44"/>
      <c r="G121" s="45" t="s">
        <v>107</v>
      </c>
      <c r="H121" s="8">
        <f>MIN(H118:H120)</f>
        <v>115.6216359375</v>
      </c>
      <c r="I121" s="5" t="s">
        <v>12</v>
      </c>
    </row>
    <row r="122" spans="1:9" ht="18.75" customHeight="1" x14ac:dyDescent="0.25">
      <c r="B122" s="44"/>
      <c r="G122" s="45"/>
      <c r="H122" s="45"/>
    </row>
    <row r="123" spans="1:9" ht="18.75" customHeight="1" x14ac:dyDescent="0.25">
      <c r="B123" s="1" t="s">
        <v>132</v>
      </c>
      <c r="G123" s="4" t="s">
        <v>112</v>
      </c>
      <c r="H123" s="25">
        <f>2*H121</f>
        <v>231.243271875</v>
      </c>
      <c r="I123" s="5" t="s">
        <v>12</v>
      </c>
    </row>
    <row r="124" spans="1:9" ht="18.75" customHeight="1" x14ac:dyDescent="0.25">
      <c r="H124" s="26"/>
    </row>
    <row r="125" spans="1:9" ht="18.75" customHeight="1" x14ac:dyDescent="0.25">
      <c r="B125" s="24" t="s">
        <v>113</v>
      </c>
      <c r="H125" s="26"/>
    </row>
    <row r="126" spans="1:9" ht="18.75" customHeight="1" x14ac:dyDescent="0.25">
      <c r="B126" s="44" t="s">
        <v>122</v>
      </c>
      <c r="H126" s="4"/>
    </row>
    <row r="127" spans="1:9" ht="18.75" customHeight="1" x14ac:dyDescent="0.25">
      <c r="A127" s="7"/>
      <c r="B127" s="47" t="s">
        <v>20</v>
      </c>
      <c r="C127" s="50" t="s">
        <v>126</v>
      </c>
      <c r="D127" s="48"/>
      <c r="E127" s="48"/>
      <c r="F127" s="48"/>
      <c r="G127" s="49" t="s">
        <v>123</v>
      </c>
      <c r="H127" s="35" t="str">
        <f>IF((1/(1-((H56+2)/((H37+H37)/2)))*((4*(0.75*1/4*3.14*H56^2*H15/10^3)*10^3*(((H39-((H39-H40)/2)-((H39-H40)/2)-H45)/2)-H56/2)/(((H37+H37)/2)*H11*H57^2))-1))&lt;=0,(0.75*1/4*3.14*H56^2*H15/10^3),"-")</f>
        <v>-</v>
      </c>
      <c r="I127" s="5" t="s">
        <v>12</v>
      </c>
    </row>
    <row r="128" spans="1:9" ht="18.75" customHeight="1" x14ac:dyDescent="0.25">
      <c r="A128" s="7"/>
      <c r="B128" s="47" t="s">
        <v>22</v>
      </c>
      <c r="C128" s="51" t="s">
        <v>128</v>
      </c>
      <c r="D128" s="48"/>
      <c r="E128" s="48"/>
      <c r="F128" s="48"/>
      <c r="G128" s="49" t="s">
        <v>124</v>
      </c>
      <c r="H128" s="35">
        <f>IF(AND((1/(1-((H56+2)/((H37+H37)/2)))*((4*(0.75*1/4*3.14*H56^2*H15/10^3)*10^3*(((H39-((H39-H40)/2)-((H39-H40)/2)-H45)/2)-H56/2)/(((H37+H37)/2)*H11*H57^2))-1))&gt;0,(1/(1-((H56+2)/((H37+H37)/2)))*((4*(0.75*1/4*3.14*H56^2*H15/10^3)*10^3*(((H39-((H39-H40)/2)-((H39-H40)/2)-H45)/2)-H56/2)/(((H37+H37)/2)*H11*H57^2))-1))&lt;=1),((0.75*1/4*3.14*H56^2*H15/10^3)*10^3*(((H39-H40)/2)+H56/2)/((((H39-H40)/2)+H56/2)+(((H39-((H39-H40)/2)-((H39-H40)/2)-H45)/2)-H56/2))+(((H37+H37)/2)*H11*H57^2)/(4*((((H39-H40)/2)+H56/2)+(((H39-((H39-H40)/2)-((H39-H40)/2)-H45)/2)-H56/2))))/10^3,"-")</f>
        <v>115.6216359375</v>
      </c>
      <c r="I128" s="5" t="s">
        <v>12</v>
      </c>
    </row>
    <row r="129" spans="1:9" ht="18.75" customHeight="1" x14ac:dyDescent="0.25">
      <c r="A129" s="7"/>
      <c r="B129" s="47" t="s">
        <v>121</v>
      </c>
      <c r="C129" s="50" t="s">
        <v>127</v>
      </c>
      <c r="D129" s="48"/>
      <c r="E129" s="48"/>
      <c r="F129" s="48"/>
      <c r="G129" s="49" t="s">
        <v>110</v>
      </c>
      <c r="H129" s="35" t="str">
        <f>IF((1/(1-((H56+2)/((H37+H37)/2)))*((4*(0.75*1/4*3.14*H56^2*H15/10^3)*10^3*(((H39-((H39-H40)/2)-((H39-H40)/2)-H45)/2)-H56/2)/(((H37+H37)/2)*H11*H57^2))-1))&gt;1,(1+(1-((H56+2)/((H37+H37)/2))))/(4*(((H39-((H39-H40)/2)-((H39-H40)/2)-H45)/2)-H56/2))*(((H37+H37)/2)*H11*H57^2)/10^3,"-")</f>
        <v>-</v>
      </c>
      <c r="I129" s="5" t="s">
        <v>12</v>
      </c>
    </row>
    <row r="130" spans="1:9" ht="18.75" customHeight="1" x14ac:dyDescent="0.25">
      <c r="B130" s="44"/>
      <c r="G130" s="45" t="s">
        <v>107</v>
      </c>
      <c r="H130" s="10">
        <f>MIN(H127:H129)</f>
        <v>115.6216359375</v>
      </c>
      <c r="I130" s="5" t="s">
        <v>12</v>
      </c>
    </row>
    <row r="131" spans="1:9" ht="18.75" customHeight="1" x14ac:dyDescent="0.25">
      <c r="B131" s="44"/>
      <c r="G131" s="45"/>
      <c r="H131" s="45"/>
    </row>
    <row r="132" spans="1:9" ht="18.75" customHeight="1" x14ac:dyDescent="0.25">
      <c r="B132" s="1" t="s">
        <v>131</v>
      </c>
      <c r="G132" s="4" t="s">
        <v>114</v>
      </c>
      <c r="H132" s="25">
        <f>2*H130</f>
        <v>231.243271875</v>
      </c>
      <c r="I132" s="5" t="s">
        <v>12</v>
      </c>
    </row>
    <row r="133" spans="1:9" ht="18.75" customHeight="1" x14ac:dyDescent="0.25">
      <c r="B133" s="24"/>
      <c r="H133" s="26"/>
    </row>
    <row r="134" spans="1:9" ht="18.75" customHeight="1" x14ac:dyDescent="0.25">
      <c r="B134" s="24" t="s">
        <v>115</v>
      </c>
      <c r="H134" s="26"/>
    </row>
    <row r="135" spans="1:9" ht="18.75" customHeight="1" x14ac:dyDescent="0.25">
      <c r="B135" s="44" t="s">
        <v>122</v>
      </c>
      <c r="H135" s="4"/>
    </row>
    <row r="136" spans="1:9" ht="18.75" customHeight="1" x14ac:dyDescent="0.25">
      <c r="A136" s="7"/>
      <c r="B136" s="47" t="s">
        <v>20</v>
      </c>
      <c r="C136" s="50" t="s">
        <v>126</v>
      </c>
      <c r="D136" s="48"/>
      <c r="E136" s="48"/>
      <c r="F136" s="48"/>
      <c r="G136" s="49" t="s">
        <v>123</v>
      </c>
      <c r="H136" s="35" t="str">
        <f>IF((1/(1-((H56+2)/(H36+H37/2)))*((4*(0.75*1/4*3.14*H56^2*H15/10^3)*10^3*(((H39-((H39-H40)/2)-((H39-H40)/2)-H45)/2)-H56/2)/((H36+H37/2)*H11*H57^2))-1))&lt;=0,(0.75*1/4*3.14*H56^2*H15/10^3),"-")</f>
        <v>-</v>
      </c>
      <c r="I136" s="5" t="s">
        <v>12</v>
      </c>
    </row>
    <row r="137" spans="1:9" ht="18.75" customHeight="1" x14ac:dyDescent="0.25">
      <c r="A137" s="7"/>
      <c r="B137" s="47" t="s">
        <v>22</v>
      </c>
      <c r="C137" s="51" t="s">
        <v>128</v>
      </c>
      <c r="D137" s="48"/>
      <c r="E137" s="48"/>
      <c r="F137" s="48"/>
      <c r="G137" s="49" t="s">
        <v>124</v>
      </c>
      <c r="H137" s="35">
        <f>IF(AND((1/(1-((H56+2)/(H36+H37/2)))*((4*(0.75*1/4*3.14*H56^2*H15/10^3)*10^3*(((H39-((H39-H40)/2)-((H39-H40)/2)-H45)/2)-H56/2)/((H36+H37/2)*H11*H57^2))-1))&gt;0,(1/(1-((H56+2)/(H36+H37/2)))*((4*(0.75*1/4*3.14*H56^2*H15/10^3)*10^3*(((H39-((H39-H40)/2)-((H39-H40)/2)-H45)/2)-H56/2)/((H36+H37/2)*H11*H57^2))-1))&lt;=1),((0.75*1/4*3.14*H56^2*H15/10^3)*10^3*(((H39-H40)/2)+H56/2)/((((H39-H40)/2)+H56/2)+(((H39-((H39-H40)/2)-((H39-H40)/2)-H45)/2)-H56/2))+((H36+H37/2)*H11*H57^2)/(4*((((H39-H40)/2)+H56/2)+(((H39-((H39-H40)/2)-((H39-H40)/2)-H45)/2)-H56/2))))/10^3,"-")</f>
        <v>120.70789895833333</v>
      </c>
      <c r="I137" s="5" t="s">
        <v>12</v>
      </c>
    </row>
    <row r="138" spans="1:9" ht="18.75" customHeight="1" x14ac:dyDescent="0.25">
      <c r="A138" s="7"/>
      <c r="B138" s="47" t="s">
        <v>121</v>
      </c>
      <c r="C138" s="50" t="s">
        <v>127</v>
      </c>
      <c r="D138" s="48"/>
      <c r="E138" s="48"/>
      <c r="F138" s="48"/>
      <c r="G138" s="49" t="s">
        <v>110</v>
      </c>
      <c r="H138" s="35" t="str">
        <f>IF((1/(1-((H56+2)/(H36+H37/2)))*((4*(0.75*1/4*3.14*H56^2*H15/10^3)*10^3*(((H39-((H39-H40)/2)-((H39-H40)/2)-H45)/2)-H56/2)/((H36+H37/2)*H11*H57^2))-1))&gt;1,(1+(1-((H56+2)/(H36+H37/2))))/(4*(((H39-((H39-H40)/2)-((H39-H40)/2)-H45)/2)-H56/2))*((H36+H37/2)*H11*H57^2)/10^3,"-")</f>
        <v>-</v>
      </c>
      <c r="I138" s="5" t="s">
        <v>12</v>
      </c>
    </row>
    <row r="139" spans="1:9" ht="18.75" customHeight="1" x14ac:dyDescent="0.25">
      <c r="A139" s="7"/>
      <c r="B139" s="7"/>
      <c r="C139" s="52"/>
      <c r="G139" s="45" t="s">
        <v>107</v>
      </c>
      <c r="H139" s="8">
        <f>MIN(H136:H138)</f>
        <v>120.70789895833333</v>
      </c>
      <c r="I139" s="5" t="s">
        <v>12</v>
      </c>
    </row>
    <row r="140" spans="1:9" ht="18.75" customHeight="1" x14ac:dyDescent="0.25">
      <c r="A140" s="7"/>
      <c r="B140" s="7"/>
      <c r="C140" s="52"/>
      <c r="G140" s="45"/>
      <c r="H140" s="13"/>
    </row>
    <row r="141" spans="1:9" ht="18.75" customHeight="1" x14ac:dyDescent="0.25">
      <c r="B141" s="1" t="s">
        <v>130</v>
      </c>
      <c r="G141" s="4" t="s">
        <v>116</v>
      </c>
      <c r="H141" s="25">
        <f>2*H139</f>
        <v>241.41579791666666</v>
      </c>
      <c r="I141" s="5" t="s">
        <v>12</v>
      </c>
    </row>
    <row r="142" spans="1:9" ht="18.75" customHeight="1" x14ac:dyDescent="0.25">
      <c r="H142" s="4"/>
    </row>
    <row r="143" spans="1:9" ht="18.75" customHeight="1" x14ac:dyDescent="0.25">
      <c r="B143" s="24"/>
      <c r="H143" s="26"/>
    </row>
    <row r="144" spans="1:9" ht="18.75" customHeight="1" x14ac:dyDescent="0.25">
      <c r="B144" s="44" t="s">
        <v>117</v>
      </c>
      <c r="G144" s="34" t="s">
        <v>118</v>
      </c>
      <c r="H144" s="10">
        <f>0.9*((H114*(3*H37+H38+H36))+(H123*(2*H37+H38+H36))+(H132*(H37+H38+H36))+(H141*(H38+H36)))/10^3</f>
        <v>287.1403848984375</v>
      </c>
      <c r="I144" s="5" t="s">
        <v>11</v>
      </c>
    </row>
    <row r="145" spans="1:9" ht="18.75" customHeight="1" x14ac:dyDescent="0.25">
      <c r="B145" s="1" t="s">
        <v>75</v>
      </c>
      <c r="H145" s="26"/>
    </row>
    <row r="146" spans="1:9" ht="18.75" customHeight="1" x14ac:dyDescent="0.25">
      <c r="B146" s="1" t="s">
        <v>65</v>
      </c>
      <c r="D146" s="3" t="s">
        <v>69</v>
      </c>
      <c r="E146" s="3" t="s">
        <v>66</v>
      </c>
      <c r="F146" s="27" t="s">
        <v>70</v>
      </c>
      <c r="H146" s="26"/>
    </row>
    <row r="147" spans="1:9" ht="18.75" customHeight="1" x14ac:dyDescent="0.25">
      <c r="D147" s="35">
        <f>(0.9*H5*G64/10^6)</f>
        <v>277.76563199999998</v>
      </c>
      <c r="E147" s="3" t="str">
        <f>IF(D147&lt;F147,"≤","&gt;")</f>
        <v>≤</v>
      </c>
      <c r="F147" s="35">
        <f>H144</f>
        <v>287.1403848984375</v>
      </c>
      <c r="G147" s="9" t="s">
        <v>25</v>
      </c>
      <c r="H147" s="7" t="str">
        <f>IF(D147&lt;F147,"[ OK ]","[ NOT OK ]")</f>
        <v>[ OK ]</v>
      </c>
    </row>
    <row r="149" spans="1:9" ht="18.75" customHeight="1" x14ac:dyDescent="0.25">
      <c r="A149" s="28" t="s">
        <v>134</v>
      </c>
      <c r="B149" s="29" t="s">
        <v>135</v>
      </c>
      <c r="C149" s="30"/>
      <c r="D149" s="30"/>
      <c r="E149" s="30"/>
      <c r="F149" s="30"/>
      <c r="G149" s="31"/>
      <c r="H149" s="32"/>
      <c r="I149" s="33"/>
    </row>
    <row r="150" spans="1:9" ht="18.75" customHeight="1" x14ac:dyDescent="0.25">
      <c r="B150" s="1" t="s">
        <v>136</v>
      </c>
      <c r="G150" s="34" t="s">
        <v>137</v>
      </c>
      <c r="H150" s="10">
        <f>SUM(MIN((1.2*(H36-(H56+2))*H57*H12/10^3),2.4*H56*H57*H12/10^3),MIN((1.2*(H37-(H56+2))*H57*H12/10^3),2.4*H56*H57*H12/10^3),MIN((1.2*(H37-(H56+2))*H57*H12/10^3),2.4*H56*H57*H12/10^3),MIN((1.2*(H37-(H56+2))*H57*H12/10^3),2.4*H56*H57*H12/10^3),MIN((1.2*(H38-(H56+2))*H57*H12/10^3),2.4*H56*H57*H12/10^3))*2</f>
        <v>4018.2</v>
      </c>
      <c r="I150" s="5" t="s">
        <v>12</v>
      </c>
    </row>
    <row r="151" spans="1:9" ht="18.75" customHeight="1" x14ac:dyDescent="0.25">
      <c r="B151" s="1" t="s">
        <v>138</v>
      </c>
      <c r="G151" s="34" t="s">
        <v>137</v>
      </c>
      <c r="H151" s="10">
        <f>((10*H16*1/4*3.14*H56^2)/10^3)</f>
        <v>1054.1922000000002</v>
      </c>
      <c r="I151" s="5" t="s">
        <v>12</v>
      </c>
    </row>
    <row r="152" spans="1:9" ht="18.75" customHeight="1" x14ac:dyDescent="0.25">
      <c r="B152" s="1" t="s">
        <v>139</v>
      </c>
      <c r="G152" s="34" t="s">
        <v>137</v>
      </c>
      <c r="H152" s="10" cm="1">
        <f t="array" ref="H152">MIN(((0.6*MIN(H9,H12)*(((H36+3*H37+H38))*_xlfn.IFS(H4=H7,IF(G34="KOLOM SUMBU KUAT",MIN(H53,H57),MIN(H52,H57)),H9&lt;H12,IF(G34="KOLOM SUMBU KUAT",H53,H52),H9&gt;H12,H57)-((H56+2)*4.5)*_xlfn.IFS(H4=H7,IF(G34="KOLOM SUMBU KUAT",MIN(H53,H57),MIN(H52,H57)),H9&lt;H12,IF(G34="KOLOM SUMBU KUAT",H53,H52),H9&gt;H12,H57))+(1*MIN(H9,H12)*((H39-H40)/2)*_xlfn.IFS(H4=H7,IF(G34="KOLOM SUMBU KUAT",MIN(H53,H57),MIN(H52,H57)),H9&lt;H12,IF(G34="KOLOM SUMBU KUAT",H53,H52),H9&gt;H12,H57)-0.5*(H56+2)*_xlfn.IFS(H4=H7,IF(G34="KOLOM SUMBU KUAT",MIN(H53,H57),MIN(H52,H57)),H9&lt;H12,IF(G34="KOLOM SUMBU KUAT",H53,H52),H9&gt;H12,H57)))/10^3),(0.6*MIN(H8,H11)*((H36+3*H37+H38))*_xlfn.IFS(H4=H7,IF(G34="KOLOM SUMBU KUAT",MIN(H53,H57),MIN(H52,H57)),H9&lt;H12,IF(G34="KOLOM SUMBU KUAT",H53,H52),H9&gt;H12,H57)+(1*MIN(H9,H12)*(((H39-H40)/2)*_xlfn.IFS(H4=H7,IF(G34="KOLOM SUMBU KUAT",MIN(H53,H57),MIN(H52,H57)),H9&lt;H12,IF(G34="KOLOM SUMBU KUAT",H53,H52),H9&gt;H12,H57)-0.5*(H56+2)*_xlfn.IFS(H4=H7,IF(G34="KOLOM SUMBU KUAT",MIN(H53,H57),MIN(H52,H57)),H9&lt;H12,IF(G34="KOLOM SUMBU KUAT",H53,H52),H9&gt;H12,H57))))/10^3)*2</f>
        <v>2088.84</v>
      </c>
      <c r="I152" s="5" t="s">
        <v>12</v>
      </c>
    </row>
    <row r="154" spans="1:9" ht="18.75" customHeight="1" x14ac:dyDescent="0.25">
      <c r="B154" s="1" t="s">
        <v>140</v>
      </c>
      <c r="G154" s="34" t="s">
        <v>137</v>
      </c>
      <c r="H154" s="10">
        <f>MIN(H150:H152)</f>
        <v>1054.1922000000002</v>
      </c>
      <c r="I154" s="5" t="s">
        <v>12</v>
      </c>
    </row>
    <row r="155" spans="1:9" ht="18.75" customHeight="1" x14ac:dyDescent="0.25">
      <c r="G155" s="34" t="s">
        <v>81</v>
      </c>
      <c r="H155" s="10">
        <v>0.75</v>
      </c>
    </row>
    <row r="156" spans="1:9" ht="18.75" customHeight="1" x14ac:dyDescent="0.25">
      <c r="B156" s="1" t="s">
        <v>141</v>
      </c>
      <c r="G156" s="34" t="s">
        <v>142</v>
      </c>
      <c r="H156" s="10">
        <f>H155*H154</f>
        <v>790.64415000000008</v>
      </c>
      <c r="I156" s="5" t="s">
        <v>12</v>
      </c>
    </row>
    <row r="157" spans="1:9" ht="18.75" customHeight="1" x14ac:dyDescent="0.25">
      <c r="B157" s="1" t="s">
        <v>143</v>
      </c>
      <c r="G157" s="34" t="s">
        <v>149</v>
      </c>
      <c r="H157" s="10">
        <v>1</v>
      </c>
      <c r="I157" s="5" t="s">
        <v>12</v>
      </c>
    </row>
    <row r="158" spans="1:9" ht="18.75" customHeight="1" x14ac:dyDescent="0.25">
      <c r="B158" s="1" t="s">
        <v>144</v>
      </c>
      <c r="H158" s="26"/>
    </row>
    <row r="159" spans="1:9" ht="18.75" customHeight="1" x14ac:dyDescent="0.25">
      <c r="B159" s="1" t="s">
        <v>65</v>
      </c>
      <c r="D159" s="59" t="s">
        <v>165</v>
      </c>
      <c r="E159" s="3" t="s">
        <v>66</v>
      </c>
      <c r="F159" s="60" t="s">
        <v>166</v>
      </c>
      <c r="H159" s="26"/>
    </row>
    <row r="160" spans="1:9" ht="18.75" customHeight="1" x14ac:dyDescent="0.25">
      <c r="D160" s="35">
        <f>H89</f>
        <v>401.24160000000001</v>
      </c>
      <c r="E160" s="3" t="str">
        <f>IF(D160&lt;F160,"≤","&gt;")</f>
        <v>≤</v>
      </c>
      <c r="F160" s="35">
        <f>H156</f>
        <v>790.64415000000008</v>
      </c>
      <c r="G160" s="9" t="s">
        <v>25</v>
      </c>
      <c r="H160" s="7" t="str">
        <f>IF(D160&lt;F160,"[ OK ]","[ NOT OK ]")</f>
        <v>[ OK ]</v>
      </c>
    </row>
  </sheetData>
  <mergeCells count="8">
    <mergeCell ref="B62:B63"/>
    <mergeCell ref="C62:D62"/>
    <mergeCell ref="E62:F62"/>
    <mergeCell ref="G42:H42"/>
    <mergeCell ref="B1:F1"/>
    <mergeCell ref="G49:H49"/>
    <mergeCell ref="G34:H34"/>
    <mergeCell ref="G62:H62"/>
  </mergeCells>
  <dataValidations disablePrompts="1" count="1">
    <dataValidation type="list" allowBlank="1" showInputMessage="1" showErrorMessage="1" sqref="G34:H34" xr:uid="{E25AB266-4CC1-4280-8982-B7613C363CD6}">
      <formula1>"KOLOM SUMBU KUAT,KOLOM SUMBU LEMAH"</formula1>
    </dataValidation>
  </dataValidations>
  <pageMargins left="0.7" right="0.7" top="0.75" bottom="0.75" header="0.3" footer="0.3"/>
  <pageSetup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 + Process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indra raj suweda</cp:lastModifiedBy>
  <dcterms:created xsi:type="dcterms:W3CDTF">2021-10-11T06:36:41Z</dcterms:created>
  <dcterms:modified xsi:type="dcterms:W3CDTF">2024-08-13T08:28:35Z</dcterms:modified>
</cp:coreProperties>
</file>