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d.docs.live.net/d1b751852d1dd4e2/Program Excel (New)/Lite/"/>
    </mc:Choice>
  </mc:AlternateContent>
  <xr:revisionPtr revIDLastSave="154" documentId="13_ncr:1_{4CB1CED0-C345-4CDF-B92A-0CFC31290D9A}" xr6:coauthVersionLast="47" xr6:coauthVersionMax="47" xr10:uidLastSave="{13DC7927-3543-4940-BE3B-97DA29976D49}"/>
  <bookViews>
    <workbookView xWindow="-120" yWindow="-120" windowWidth="29040" windowHeight="15720" xr2:uid="{00000000-000D-0000-FFFF-FFFF00000000}"/>
  </bookViews>
  <sheets>
    <sheet name="Input + Process" sheetId="6" r:id="rId1"/>
    <sheet name="Table" sheetId="14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3" i="6" l="1"/>
  <c r="H92" i="6"/>
  <c r="H83" i="6" l="1"/>
  <c r="H51" i="6"/>
  <c r="H50" i="6"/>
  <c r="H52" i="6"/>
  <c r="F72" i="6"/>
  <c r="E70" i="6"/>
  <c r="H110" i="6"/>
  <c r="H109" i="6"/>
  <c r="E56" i="6"/>
  <c r="E57" i="6" s="1"/>
  <c r="F74" i="6" l="1"/>
  <c r="H94" i="6"/>
  <c r="G74" i="6"/>
  <c r="E74" i="6"/>
  <c r="H74" i="6"/>
  <c r="E58" i="6"/>
  <c r="E59" i="6" s="1"/>
  <c r="E60" i="6" s="1"/>
  <c r="E61" i="6" s="1"/>
  <c r="G70" i="6"/>
  <c r="G75" i="6" s="1"/>
  <c r="H36" i="6"/>
  <c r="H97" i="6" s="1"/>
  <c r="H37" i="6"/>
  <c r="H98" i="6" s="1"/>
  <c r="B55" i="14"/>
  <c r="C55" i="14" s="1"/>
  <c r="B56" i="14"/>
  <c r="C56" i="14" s="1"/>
  <c r="C67" i="14"/>
  <c r="B74" i="14"/>
  <c r="C74" i="14" s="1"/>
  <c r="D74" i="14" s="1"/>
  <c r="B47" i="14"/>
  <c r="C47" i="14" s="1"/>
  <c r="C40" i="14"/>
  <c r="B29" i="14"/>
  <c r="B41" i="14" s="1"/>
  <c r="L34" i="14" s="1"/>
  <c r="M34" i="14" s="1"/>
  <c r="B28" i="14"/>
  <c r="F28" i="14" s="1"/>
  <c r="C16" i="14"/>
  <c r="D16" i="14" s="1"/>
  <c r="B15" i="14"/>
  <c r="B3" i="14"/>
  <c r="C3" i="14" s="1"/>
  <c r="B2" i="14"/>
  <c r="B8" i="14" s="1"/>
  <c r="H87" i="6" l="1"/>
  <c r="H77" i="6"/>
  <c r="F103" i="6"/>
  <c r="F105" i="6"/>
  <c r="F104" i="6"/>
  <c r="F102" i="6"/>
  <c r="F107" i="6"/>
  <c r="F106" i="6"/>
  <c r="F70" i="6"/>
  <c r="F75" i="6" s="1"/>
  <c r="H70" i="6"/>
  <c r="H75" i="6" s="1"/>
  <c r="B67" i="14"/>
  <c r="E67" i="14" s="1"/>
  <c r="B61" i="14"/>
  <c r="C61" i="14" s="1"/>
  <c r="D61" i="14" s="1"/>
  <c r="F56" i="14"/>
  <c r="E56" i="14"/>
  <c r="I61" i="14" s="1"/>
  <c r="B75" i="14"/>
  <c r="D56" i="14"/>
  <c r="G61" i="14" s="1"/>
  <c r="D67" i="14"/>
  <c r="E74" i="14"/>
  <c r="D55" i="14"/>
  <c r="H74" i="14"/>
  <c r="B60" i="14"/>
  <c r="F55" i="14"/>
  <c r="B68" i="14"/>
  <c r="E75" i="14"/>
  <c r="J74" i="14"/>
  <c r="B40" i="14"/>
  <c r="B33" i="14"/>
  <c r="C41" i="14"/>
  <c r="H47" i="14"/>
  <c r="D47" i="14"/>
  <c r="F29" i="14"/>
  <c r="B34" i="14"/>
  <c r="E29" i="14"/>
  <c r="C29" i="14"/>
  <c r="C28" i="14"/>
  <c r="F8" i="14"/>
  <c r="G8" i="14" s="1"/>
  <c r="E3" i="14"/>
  <c r="F3" i="14"/>
  <c r="B9" i="14"/>
  <c r="C9" i="14" s="1"/>
  <c r="F22" i="14"/>
  <c r="D3" i="14"/>
  <c r="F9" i="14"/>
  <c r="F15" i="14"/>
  <c r="B21" i="14"/>
  <c r="C15" i="14"/>
  <c r="B16" i="14"/>
  <c r="C2" i="14"/>
  <c r="F2" i="14"/>
  <c r="G107" i="6" l="1"/>
  <c r="H107" i="6"/>
  <c r="G106" i="6"/>
  <c r="H106" i="6"/>
  <c r="H104" i="6"/>
  <c r="G104" i="6"/>
  <c r="G105" i="6"/>
  <c r="D128" i="6" s="1"/>
  <c r="H105" i="6"/>
  <c r="G103" i="6"/>
  <c r="E126" i="6" s="1"/>
  <c r="H103" i="6"/>
  <c r="H78" i="6"/>
  <c r="H79" i="6" s="1"/>
  <c r="H80" i="6" s="1"/>
  <c r="H68" i="14"/>
  <c r="E40" i="14"/>
  <c r="M33" i="14" s="1"/>
  <c r="L33" i="14"/>
  <c r="H61" i="14"/>
  <c r="E55" i="14"/>
  <c r="C68" i="14"/>
  <c r="I74" i="14"/>
  <c r="H41" i="14"/>
  <c r="I34" i="14"/>
  <c r="C34" i="14"/>
  <c r="C48" i="14"/>
  <c r="D41" i="14"/>
  <c r="J47" i="14"/>
  <c r="D40" i="14"/>
  <c r="E47" i="14"/>
  <c r="E48" i="14"/>
  <c r="B48" i="14"/>
  <c r="D29" i="14"/>
  <c r="D28" i="14"/>
  <c r="D15" i="14"/>
  <c r="D9" i="14"/>
  <c r="D2" i="14"/>
  <c r="H9" i="14"/>
  <c r="H8" i="14"/>
  <c r="B22" i="14"/>
  <c r="F16" i="14"/>
  <c r="E16" i="14"/>
  <c r="D126" i="6" l="1"/>
  <c r="D129" i="6"/>
  <c r="E128" i="6"/>
  <c r="D127" i="6"/>
  <c r="E130" i="6"/>
  <c r="D130" i="6"/>
  <c r="E129" i="6"/>
  <c r="E127" i="6"/>
  <c r="H86" i="6"/>
  <c r="H88" i="6" s="1"/>
  <c r="F126" i="6"/>
  <c r="D68" i="14"/>
  <c r="C75" i="14"/>
  <c r="D60" i="14"/>
  <c r="G60" i="14"/>
  <c r="E41" i="14"/>
  <c r="H48" i="14"/>
  <c r="D48" i="14"/>
  <c r="I47" i="14"/>
  <c r="D34" i="14"/>
  <c r="E28" i="14"/>
  <c r="G34" i="14"/>
  <c r="H22" i="14"/>
  <c r="D8" i="14"/>
  <c r="E2" i="14"/>
  <c r="F21" i="14"/>
  <c r="D21" i="14"/>
  <c r="E15" i="14"/>
  <c r="C22" i="14"/>
  <c r="G130" i="6" l="1"/>
  <c r="G126" i="6"/>
  <c r="G128" i="6"/>
  <c r="G127" i="6"/>
  <c r="G129" i="6"/>
  <c r="H67" i="14"/>
  <c r="I60" i="14"/>
  <c r="H60" i="14" s="1"/>
  <c r="C60" i="14"/>
  <c r="G28" i="14" s="1" a="1"/>
  <c r="G28" i="14" s="1"/>
  <c r="H75" i="14"/>
  <c r="D75" i="14"/>
  <c r="E68" i="14"/>
  <c r="H34" i="14"/>
  <c r="D33" i="14"/>
  <c r="G33" i="14"/>
  <c r="I48" i="14"/>
  <c r="J41" i="14"/>
  <c r="G21" i="14"/>
  <c r="D22" i="14"/>
  <c r="C21" i="14"/>
  <c r="G22" i="14"/>
  <c r="G55" i="14" l="1"/>
  <c r="D77" i="14" s="1"/>
  <c r="L36" i="14"/>
  <c r="M36" i="14"/>
  <c r="L35" i="14"/>
  <c r="M35" i="14"/>
  <c r="E43" i="14"/>
  <c r="J68" i="14"/>
  <c r="I75" i="14"/>
  <c r="J67" i="14"/>
  <c r="I50" i="14"/>
  <c r="J48" i="14"/>
  <c r="J50" i="14" s="1"/>
  <c r="B49" i="14"/>
  <c r="F30" i="14"/>
  <c r="E42" i="14"/>
  <c r="B31" i="14"/>
  <c r="C49" i="14"/>
  <c r="B30" i="14"/>
  <c r="B43" i="14"/>
  <c r="B35" i="14"/>
  <c r="C42" i="14"/>
  <c r="B42" i="14"/>
  <c r="E31" i="14"/>
  <c r="B36" i="14"/>
  <c r="C30" i="14"/>
  <c r="F31" i="14"/>
  <c r="C31" i="14"/>
  <c r="H49" i="14"/>
  <c r="C43" i="14"/>
  <c r="D49" i="14"/>
  <c r="E49" i="14"/>
  <c r="B50" i="14"/>
  <c r="H43" i="14"/>
  <c r="D43" i="14"/>
  <c r="E50" i="14"/>
  <c r="D31" i="14"/>
  <c r="D42" i="14"/>
  <c r="C50" i="14"/>
  <c r="C36" i="14"/>
  <c r="J49" i="14"/>
  <c r="D30" i="14"/>
  <c r="I36" i="14"/>
  <c r="I49" i="14"/>
  <c r="D36" i="14"/>
  <c r="E30" i="14"/>
  <c r="D35" i="14"/>
  <c r="C33" i="14"/>
  <c r="C35" i="14" s="1"/>
  <c r="G36" i="14"/>
  <c r="J43" i="14"/>
  <c r="I41" i="14"/>
  <c r="I43" i="14" s="1"/>
  <c r="H50" i="14"/>
  <c r="D50" i="14"/>
  <c r="G35" i="14"/>
  <c r="H40" i="14"/>
  <c r="I33" i="14"/>
  <c r="I35" i="14" s="1"/>
  <c r="H36" i="14"/>
  <c r="B4" i="14" a="1"/>
  <c r="B4" i="14" s="1"/>
  <c r="C23" i="14" s="1"/>
  <c r="H21" i="14"/>
  <c r="J69" i="14" l="1"/>
  <c r="H69" i="14"/>
  <c r="I67" i="14"/>
  <c r="I69" i="14" s="1"/>
  <c r="I62" i="14"/>
  <c r="C62" i="14"/>
  <c r="H77" i="14"/>
  <c r="J75" i="14"/>
  <c r="J77" i="14" s="1"/>
  <c r="I77" i="14"/>
  <c r="H62" i="14"/>
  <c r="G63" i="14"/>
  <c r="B69" i="14"/>
  <c r="C69" i="14"/>
  <c r="B57" i="14"/>
  <c r="B76" i="14"/>
  <c r="H63" i="14"/>
  <c r="B63" i="14"/>
  <c r="I63" i="14"/>
  <c r="E76" i="14"/>
  <c r="D76" i="14"/>
  <c r="B77" i="14"/>
  <c r="E58" i="14"/>
  <c r="C58" i="14"/>
  <c r="C76" i="14"/>
  <c r="E69" i="14"/>
  <c r="C63" i="14"/>
  <c r="F58" i="14"/>
  <c r="C57" i="14"/>
  <c r="D58" i="14"/>
  <c r="B58" i="14"/>
  <c r="D69" i="14"/>
  <c r="J76" i="14"/>
  <c r="H70" i="14"/>
  <c r="D57" i="14"/>
  <c r="B70" i="14"/>
  <c r="B62" i="14"/>
  <c r="H76" i="14"/>
  <c r="E77" i="14"/>
  <c r="F57" i="14"/>
  <c r="D63" i="14"/>
  <c r="C70" i="14"/>
  <c r="I76" i="14"/>
  <c r="E57" i="14"/>
  <c r="G62" i="14"/>
  <c r="D62" i="14"/>
  <c r="C77" i="14"/>
  <c r="D70" i="14"/>
  <c r="E70" i="14"/>
  <c r="J70" i="14"/>
  <c r="I68" i="14"/>
  <c r="I70" i="14" s="1"/>
  <c r="H42" i="14"/>
  <c r="J40" i="14"/>
  <c r="J42" i="14" s="1"/>
  <c r="H33" i="14"/>
  <c r="H35" i="14" s="1"/>
  <c r="G23" i="14"/>
  <c r="D24" i="14"/>
  <c r="H23" i="14"/>
  <c r="C19" i="14"/>
  <c r="C10" i="14"/>
  <c r="B5" i="14"/>
  <c r="F5" i="14" s="1"/>
  <c r="G11" i="14"/>
  <c r="B6" i="14"/>
  <c r="F6" i="14" s="1"/>
  <c r="F24" i="14"/>
  <c r="C6" i="14"/>
  <c r="B10" i="14"/>
  <c r="F10" i="14"/>
  <c r="B11" i="14"/>
  <c r="B18" i="14"/>
  <c r="F18" i="14" s="1"/>
  <c r="E6" i="14"/>
  <c r="D19" i="14"/>
  <c r="C18" i="14"/>
  <c r="B19" i="14"/>
  <c r="F19" i="14" s="1"/>
  <c r="D6" i="14"/>
  <c r="F11" i="14"/>
  <c r="B23" i="14"/>
  <c r="C11" i="14"/>
  <c r="C5" i="14"/>
  <c r="G10" i="14"/>
  <c r="H11" i="14"/>
  <c r="D11" i="14"/>
  <c r="D18" i="14"/>
  <c r="E19" i="14"/>
  <c r="H10" i="14"/>
  <c r="D5" i="14"/>
  <c r="B24" i="14"/>
  <c r="D10" i="14"/>
  <c r="E18" i="14"/>
  <c r="E5" i="14"/>
  <c r="C24" i="14"/>
  <c r="F23" i="14"/>
  <c r="H24" i="14"/>
  <c r="D23" i="14"/>
  <c r="G24" i="14"/>
  <c r="I40" i="14" l="1"/>
  <c r="I42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<sst xmlns="http://schemas.openxmlformats.org/spreadsheetml/2006/main" count="392" uniqueCount="171">
  <si>
    <t>mm</t>
  </si>
  <si>
    <t>kN.m</t>
  </si>
  <si>
    <t>kN</t>
  </si>
  <si>
    <t>c =</t>
  </si>
  <si>
    <r>
      <t>D</t>
    </r>
    <r>
      <rPr>
        <vertAlign val="subscript"/>
        <sz val="11"/>
        <rFont val="Calibri"/>
        <family val="2"/>
        <scheme val="minor"/>
      </rPr>
      <t>f</t>
    </r>
    <r>
      <rPr>
        <sz val="11"/>
        <rFont val="Calibri"/>
        <family val="2"/>
        <scheme val="minor"/>
      </rPr>
      <t xml:space="preserve"> =</t>
    </r>
  </si>
  <si>
    <t>m</t>
  </si>
  <si>
    <t>Berat volume tanah,</t>
  </si>
  <si>
    <r>
      <t xml:space="preserve"> </t>
    </r>
    <r>
      <rPr>
        <sz val="11"/>
        <rFont val="Symbol"/>
        <family val="1"/>
        <charset val="2"/>
      </rPr>
      <t xml:space="preserve">g </t>
    </r>
    <r>
      <rPr>
        <sz val="11"/>
        <rFont val="Arial"/>
        <family val="2"/>
      </rPr>
      <t>=</t>
    </r>
  </si>
  <si>
    <r>
      <t>kN/m</t>
    </r>
    <r>
      <rPr>
        <vertAlign val="superscript"/>
        <sz val="11"/>
        <rFont val="Calibri"/>
        <family val="2"/>
        <scheme val="minor"/>
      </rPr>
      <t>3</t>
    </r>
  </si>
  <si>
    <t>Sudut gesek dalam,</t>
  </si>
  <si>
    <r>
      <t xml:space="preserve"> </t>
    </r>
    <r>
      <rPr>
        <sz val="11"/>
        <rFont val="Symbol"/>
        <family val="1"/>
        <charset val="2"/>
      </rPr>
      <t xml:space="preserve">f </t>
    </r>
    <r>
      <rPr>
        <sz val="11"/>
        <rFont val="Arial"/>
        <family val="2"/>
      </rPr>
      <t>=</t>
    </r>
  </si>
  <si>
    <t>°</t>
  </si>
  <si>
    <t>Kohesi,</t>
  </si>
  <si>
    <t>kPa</t>
  </si>
  <si>
    <t>Tahanan konus rata-rata (hasil pengujian sondir),</t>
  </si>
  <si>
    <r>
      <t>q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</si>
  <si>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r>
      <t>kg/cm</t>
    </r>
    <r>
      <rPr>
        <vertAlign val="superscript"/>
        <sz val="11"/>
        <rFont val="Calibri"/>
        <family val="2"/>
        <scheme val="minor"/>
      </rPr>
      <t>2</t>
    </r>
  </si>
  <si>
    <r>
      <t>kN/m</t>
    </r>
    <r>
      <rPr>
        <vertAlign val="superscript"/>
        <sz val="11"/>
        <rFont val="Calibri"/>
        <family val="2"/>
        <scheme val="minor"/>
      </rPr>
      <t>2</t>
    </r>
  </si>
  <si>
    <t>Faktor kapasitas dukung tanah menurut Terzaghi :</t>
  </si>
  <si>
    <t>Kapasitas dukung ultimit tanah menurut Terzaghi :</t>
  </si>
  <si>
    <t>Kapasitas dukung tanah,</t>
  </si>
  <si>
    <t>Kapasitas dukung ijin tanah,</t>
  </si>
  <si>
    <r>
      <t>q</t>
    </r>
    <r>
      <rPr>
        <vertAlign val="subscript"/>
        <sz val="11"/>
        <rFont val="Calibri"/>
        <family val="2"/>
        <scheme val="minor"/>
      </rPr>
      <t>a</t>
    </r>
    <r>
      <rPr>
        <sz val="11"/>
        <rFont val="Calibri"/>
        <family val="2"/>
        <scheme val="minor"/>
      </rPr>
      <t xml:space="preserve"> =</t>
    </r>
  </si>
  <si>
    <t>Kapasitas dukung tanah menurut Terzaghi dan Peck :</t>
  </si>
  <si>
    <t>Kapasitas dukung tanah tanah menurut Meyerhof :</t>
  </si>
  <si>
    <t>Kapasitas dukung tanah yang dipakai :</t>
  </si>
  <si>
    <r>
      <t>m</t>
    </r>
    <r>
      <rPr>
        <vertAlign val="superscript"/>
        <sz val="11"/>
        <rFont val="Calibri"/>
        <family val="2"/>
        <scheme val="minor"/>
      </rPr>
      <t>3</t>
    </r>
  </si>
  <si>
    <t>Max</t>
  </si>
  <si>
    <t>Min</t>
  </si>
  <si>
    <t>NO.</t>
  </si>
  <si>
    <t>OUTPUT CASE</t>
  </si>
  <si>
    <t>CASE TYPE</t>
  </si>
  <si>
    <t>STEP TYPE</t>
  </si>
  <si>
    <t>Combination</t>
  </si>
  <si>
    <t>A.1.</t>
  </si>
  <si>
    <t>A.2.</t>
  </si>
  <si>
    <t>INPUT DATA TANAH</t>
  </si>
  <si>
    <t>INPUT DIMENSI FONDASI</t>
  </si>
  <si>
    <t>Lebar fondasi pilecap arah X,</t>
  </si>
  <si>
    <t>Lebar fondasi pilecap arah Y,</t>
  </si>
  <si>
    <t>Lebar kolom arah X,</t>
  </si>
  <si>
    <t>Lebar kolom arah Y,</t>
  </si>
  <si>
    <t>KOMB. GEMPA X</t>
  </si>
  <si>
    <t>ENVE KOMB. BEBAN TERFAKTOR</t>
  </si>
  <si>
    <t>KOMB. GEMPA Y</t>
  </si>
  <si>
    <t>Tebal total pilecap,</t>
  </si>
  <si>
    <t>A.3.</t>
  </si>
  <si>
    <t>DATA BERAT VOLUME MATERIAL</t>
  </si>
  <si>
    <r>
      <t>w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</t>
    </r>
  </si>
  <si>
    <t>Berat volume beton bertulang,</t>
  </si>
  <si>
    <r>
      <t>w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</si>
  <si>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t>KOMB. LAYAN</t>
  </si>
  <si>
    <t>KAPASITAS DUKUNG TANAH</t>
  </si>
  <si>
    <t>MENURUT TERZAGHI DAN PECK (1943)</t>
  </si>
  <si>
    <t>MENURUT MEYERHOF (1956)</t>
  </si>
  <si>
    <t>KAPASITAS DUKUNG TANAH YANG DIPAKAI</t>
  </si>
  <si>
    <t>KONTROL TEGANGAN TANAH</t>
  </si>
  <si>
    <t>Berat total pilecap,</t>
  </si>
  <si>
    <t>Berat total tanah di atas pilecap,</t>
  </si>
  <si>
    <t>Berat total tanah dan pilecap,</t>
  </si>
  <si>
    <t>Posisi kolom (dalam = 40, tepi = 30, sudut = 20),</t>
  </si>
  <si>
    <r>
      <rPr>
        <sz val="11"/>
        <rFont val="Calibri"/>
        <family val="2"/>
      </rPr>
      <t>α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</t>
    </r>
  </si>
  <si>
    <t>EXPLANATORY</t>
  </si>
  <si>
    <t>FORMULA</t>
  </si>
  <si>
    <t>VALUE</t>
  </si>
  <si>
    <t>UNIT</t>
  </si>
  <si>
    <t>A.</t>
  </si>
  <si>
    <t>INPUT DATA PERENCANAAN FONDASI DANGKAL</t>
  </si>
  <si>
    <r>
      <t>P</t>
    </r>
    <r>
      <rPr>
        <b/>
        <vertAlign val="subscript"/>
        <sz val="11"/>
        <color theme="0"/>
        <rFont val="Calibri"/>
        <family val="2"/>
        <scheme val="minor"/>
      </rPr>
      <t>uk</t>
    </r>
  </si>
  <si>
    <r>
      <t>M</t>
    </r>
    <r>
      <rPr>
        <b/>
        <vertAlign val="subscript"/>
        <sz val="11"/>
        <color theme="0"/>
        <rFont val="Calibri"/>
        <family val="2"/>
        <scheme val="minor"/>
      </rPr>
      <t>X</t>
    </r>
  </si>
  <si>
    <r>
      <t>M</t>
    </r>
    <r>
      <rPr>
        <b/>
        <vertAlign val="subscript"/>
        <sz val="11"/>
        <color theme="0"/>
        <rFont val="Calibri"/>
        <family val="2"/>
        <scheme val="minor"/>
      </rPr>
      <t>Y</t>
    </r>
  </si>
  <si>
    <t>B.</t>
  </si>
  <si>
    <t>a.</t>
  </si>
  <si>
    <t>b.</t>
  </si>
  <si>
    <t>c.</t>
  </si>
  <si>
    <t>C.</t>
  </si>
  <si>
    <t>C.1.</t>
  </si>
  <si>
    <t>C.2.</t>
  </si>
  <si>
    <t>KAPASITAS TEGANGAN TERHADAP DAYA DUKUNG TANAH</t>
  </si>
  <si>
    <r>
      <t>H</t>
    </r>
    <r>
      <rPr>
        <vertAlign val="subscript"/>
        <sz val="11"/>
        <rFont val="Calibri"/>
        <family val="2"/>
        <scheme val="minor"/>
      </rPr>
      <t>p</t>
    </r>
    <r>
      <rPr>
        <sz val="11"/>
        <rFont val="Calibri"/>
        <family val="2"/>
        <scheme val="minor"/>
      </rPr>
      <t xml:space="preserve"> =</t>
    </r>
  </si>
  <si>
    <t>Tebal bersih selimut beton,</t>
  </si>
  <si>
    <r>
      <t>t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 xml:space="preserve"> =</t>
    </r>
  </si>
  <si>
    <r>
      <t>b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</si>
  <si>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r>
      <t>L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=</t>
    </r>
  </si>
  <si>
    <r>
      <t>L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</t>
    </r>
  </si>
  <si>
    <t>Elevasi dasar fondasi dari muka tanah,</t>
  </si>
  <si>
    <t>A</t>
  </si>
  <si>
    <t>B</t>
  </si>
  <si>
    <t>C</t>
  </si>
  <si>
    <t>D</t>
  </si>
  <si>
    <t>X</t>
  </si>
  <si>
    <t>Y</t>
  </si>
  <si>
    <t>X'</t>
  </si>
  <si>
    <t>Y'</t>
  </si>
  <si>
    <t>E</t>
  </si>
  <si>
    <t>Fondasi</t>
  </si>
  <si>
    <t>Kolom</t>
  </si>
  <si>
    <t>a</t>
  </si>
  <si>
    <t>b</t>
  </si>
  <si>
    <t>c</t>
  </si>
  <si>
    <t>d</t>
  </si>
  <si>
    <t>e</t>
  </si>
  <si>
    <t>Garis X</t>
  </si>
  <si>
    <t>Garis Y</t>
  </si>
  <si>
    <t>I</t>
  </si>
  <si>
    <t>J</t>
  </si>
  <si>
    <t>K</t>
  </si>
  <si>
    <t>L</t>
  </si>
  <si>
    <t>F</t>
  </si>
  <si>
    <t>G</t>
  </si>
  <si>
    <t>H</t>
  </si>
  <si>
    <t>MAX</t>
  </si>
  <si>
    <t>SCALE</t>
  </si>
  <si>
    <t>FONDASI</t>
  </si>
  <si>
    <t>KOLOM</t>
  </si>
  <si>
    <t>TANAH</t>
  </si>
  <si>
    <r>
      <t>Garis L</t>
    </r>
    <r>
      <rPr>
        <vertAlign val="subscript"/>
        <sz val="11"/>
        <color theme="1"/>
        <rFont val="Calibri"/>
        <family val="2"/>
        <scheme val="minor"/>
      </rPr>
      <t>x</t>
    </r>
  </si>
  <si>
    <t>Garis Hp</t>
  </si>
  <si>
    <t>Garis Df</t>
  </si>
  <si>
    <t>Garis bc</t>
  </si>
  <si>
    <r>
      <t>Garis L</t>
    </r>
    <r>
      <rPr>
        <vertAlign val="subscript"/>
        <sz val="11"/>
        <color theme="1"/>
        <rFont val="Calibri"/>
        <family val="2"/>
        <scheme val="minor"/>
      </rPr>
      <t>y</t>
    </r>
  </si>
  <si>
    <t>Garis wc</t>
  </si>
  <si>
    <r>
      <t>e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scheme val="minor"/>
      </rPr>
      <t xml:space="preserve"> =</t>
    </r>
  </si>
  <si>
    <r>
      <t>e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scheme val="minor"/>
      </rPr>
      <t xml:space="preserve"> =</t>
    </r>
  </si>
  <si>
    <t>Nilai eksentrisitas c.g. kolom terhadap c.g. fondasi,</t>
  </si>
  <si>
    <t>INPUT GAYA AKSI PADA PILECAP</t>
  </si>
  <si>
    <t>1. ENVE KOMB. BEBAN TERFAKTOR</t>
  </si>
  <si>
    <t>2. KOMB. LAYAN</t>
  </si>
  <si>
    <t>3. KOMB. GEMPA X</t>
  </si>
  <si>
    <t>4. KOMB. GEMPA X</t>
  </si>
  <si>
    <t>5. KOMB. GEMPA Y</t>
  </si>
  <si>
    <t>6. KOMB. GEMPA Y</t>
  </si>
  <si>
    <t>Penyesuaian gaya aksi akibat eksentrisitas pada c.g. kolom dan fondasi:</t>
  </si>
  <si>
    <r>
      <t>Tahanan momen X (M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charset val="1"/>
        <scheme val="minor"/>
      </rPr>
      <t>),</t>
    </r>
  </si>
  <si>
    <r>
      <t>Tahanan momen Y (M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charset val="1"/>
        <scheme val="minor"/>
      </rPr>
      <t>),</t>
    </r>
  </si>
  <si>
    <r>
      <t>q</t>
    </r>
    <r>
      <rPr>
        <b/>
        <vertAlign val="subscript"/>
        <sz val="11"/>
        <color theme="0"/>
        <rFont val="Calibri"/>
        <family val="2"/>
        <scheme val="minor"/>
      </rPr>
      <t>max</t>
    </r>
  </si>
  <si>
    <r>
      <t>kN/m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</si>
  <si>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t>Ket.</t>
  </si>
  <si>
    <r>
      <t>q</t>
    </r>
    <r>
      <rPr>
        <b/>
        <vertAlign val="subscript"/>
        <sz val="11"/>
        <color theme="0"/>
        <rFont val="Calibri"/>
        <family val="2"/>
        <scheme val="minor"/>
      </rPr>
      <t>a</t>
    </r>
  </si>
  <si>
    <r>
      <t>q</t>
    </r>
    <r>
      <rPr>
        <b/>
        <vertAlign val="subscript"/>
        <sz val="11"/>
        <color theme="0"/>
        <rFont val="Calibri"/>
        <family val="2"/>
        <scheme val="minor"/>
      </rPr>
      <t>min</t>
    </r>
  </si>
  <si>
    <t>Garis MAT</t>
  </si>
  <si>
    <t>Elevasi muka air tanah (M.A.T) dari permukaan tanah,</t>
  </si>
  <si>
    <t>Zw =</t>
  </si>
  <si>
    <t>Berat volume tanah basah,</t>
  </si>
  <si>
    <r>
      <t xml:space="preserve"> </t>
    </r>
    <r>
      <rPr>
        <sz val="11"/>
        <rFont val="Symbol"/>
        <family val="1"/>
        <charset val="2"/>
      </rPr>
      <t>g</t>
    </r>
    <r>
      <rPr>
        <vertAlign val="subscript"/>
        <sz val="11"/>
        <rFont val="Calibri"/>
        <family val="2"/>
        <scheme val="minor"/>
      </rPr>
      <t>sat</t>
    </r>
    <r>
      <rPr>
        <sz val="11"/>
        <rFont val="Symbol"/>
        <family val="1"/>
        <charset val="2"/>
      </rPr>
      <t xml:space="preserve"> </t>
    </r>
    <r>
      <rPr>
        <sz val="11"/>
        <rFont val="Arial"/>
        <family val="2"/>
      </rPr>
      <t>=</t>
    </r>
  </si>
  <si>
    <t>Berat volume tanah di atas pilecap (tanah urug),</t>
  </si>
  <si>
    <t>φ</t>
  </si>
  <si>
    <t>Kegagalan geser umum:</t>
  </si>
  <si>
    <t>Kegagalan geser lokal:</t>
  </si>
  <si>
    <r>
      <t>N'</t>
    </r>
    <r>
      <rPr>
        <vertAlign val="subscript"/>
        <sz val="11"/>
        <color theme="0"/>
        <rFont val="Calibri"/>
        <family val="2"/>
        <scheme val="minor"/>
      </rPr>
      <t>c</t>
    </r>
  </si>
  <si>
    <r>
      <t>N'</t>
    </r>
    <r>
      <rPr>
        <vertAlign val="subscript"/>
        <sz val="11"/>
        <color theme="0"/>
        <rFont val="Calibri"/>
        <family val="2"/>
        <scheme val="minor"/>
      </rPr>
      <t>q</t>
    </r>
  </si>
  <si>
    <r>
      <t>N'</t>
    </r>
    <r>
      <rPr>
        <vertAlign val="subscript"/>
        <sz val="11"/>
        <color theme="0"/>
        <rFont val="Calibri"/>
        <family val="2"/>
        <scheme val="minor"/>
      </rPr>
      <t>ϒ</t>
    </r>
  </si>
  <si>
    <r>
      <t>N'</t>
    </r>
    <r>
      <rPr>
        <b/>
        <vertAlign val="subscript"/>
        <sz val="11"/>
        <color theme="0"/>
        <rFont val="Calibri"/>
        <family val="2"/>
        <scheme val="minor"/>
      </rPr>
      <t>c</t>
    </r>
  </si>
  <si>
    <r>
      <t>N'</t>
    </r>
    <r>
      <rPr>
        <b/>
        <vertAlign val="subscript"/>
        <sz val="11"/>
        <color theme="0"/>
        <rFont val="Calibri"/>
        <family val="2"/>
        <scheme val="minor"/>
      </rPr>
      <t>q</t>
    </r>
  </si>
  <si>
    <r>
      <t>N'</t>
    </r>
    <r>
      <rPr>
        <b/>
        <vertAlign val="subscript"/>
        <sz val="11"/>
        <color theme="0"/>
        <rFont val="Calibri"/>
        <family val="2"/>
        <scheme val="minor"/>
      </rPr>
      <t>ϒ</t>
    </r>
  </si>
  <si>
    <t>Kecendrungan kegagalan geser:</t>
  </si>
  <si>
    <t>Faktor kapasitas dukung tanah pakai:</t>
  </si>
  <si>
    <r>
      <t>N</t>
    </r>
    <r>
      <rPr>
        <vertAlign val="subscript"/>
        <sz val="11"/>
        <color theme="0"/>
        <rFont val="Calibri"/>
        <family val="2"/>
        <scheme val="minor"/>
      </rPr>
      <t>c</t>
    </r>
  </si>
  <si>
    <r>
      <t>N</t>
    </r>
    <r>
      <rPr>
        <vertAlign val="subscript"/>
        <sz val="11"/>
        <color theme="0"/>
        <rFont val="Calibri"/>
        <family val="2"/>
        <scheme val="minor"/>
      </rPr>
      <t>q</t>
    </r>
  </si>
  <si>
    <r>
      <t>N</t>
    </r>
    <r>
      <rPr>
        <vertAlign val="subscript"/>
        <sz val="11"/>
        <color theme="0"/>
        <rFont val="Calibri"/>
        <family val="2"/>
        <scheme val="minor"/>
      </rPr>
      <t>ϒ</t>
    </r>
  </si>
  <si>
    <r>
      <t>q</t>
    </r>
    <r>
      <rPr>
        <vertAlign val="subscript"/>
        <sz val="11"/>
        <rFont val="Calibri"/>
        <family val="2"/>
        <scheme val="minor"/>
      </rPr>
      <t>u (umum)</t>
    </r>
    <r>
      <rPr>
        <sz val="11"/>
        <rFont val="Calibri"/>
        <family val="2"/>
        <scheme val="minor"/>
      </rPr>
      <t xml:space="preserve"> =</t>
    </r>
  </si>
  <si>
    <r>
      <t>q</t>
    </r>
    <r>
      <rPr>
        <vertAlign val="subscript"/>
        <sz val="11"/>
        <rFont val="Calibri"/>
        <family val="2"/>
        <scheme val="minor"/>
      </rPr>
      <t>u (lokal)</t>
    </r>
    <r>
      <rPr>
        <sz val="11"/>
        <rFont val="Calibri"/>
        <family val="2"/>
        <scheme val="minor"/>
      </rPr>
      <t>=</t>
    </r>
  </si>
  <si>
    <r>
      <t>q</t>
    </r>
    <r>
      <rPr>
        <vertAlign val="subscript"/>
        <sz val="11"/>
        <rFont val="Calibri"/>
        <family val="2"/>
        <scheme val="minor"/>
      </rPr>
      <t>u-pakai</t>
    </r>
    <r>
      <rPr>
        <sz val="11"/>
        <rFont val="Calibri"/>
        <family val="2"/>
        <scheme val="minor"/>
      </rPr>
      <t xml:space="preserve"> =</t>
    </r>
  </si>
  <si>
    <r>
      <t>N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 xml:space="preserve"> =</t>
    </r>
  </si>
  <si>
    <r>
      <t>N</t>
    </r>
    <r>
      <rPr>
        <vertAlign val="subscript"/>
        <sz val="11"/>
        <rFont val="Calibri"/>
        <family val="2"/>
        <scheme val="minor"/>
      </rPr>
      <t>q</t>
    </r>
    <r>
      <rPr>
        <sz val="11"/>
        <rFont val="Calibri"/>
        <family val="2"/>
        <scheme val="minor"/>
      </rPr>
      <t xml:space="preserve"> =</t>
    </r>
  </si>
  <si>
    <r>
      <t>N</t>
    </r>
    <r>
      <rPr>
        <vertAlign val="subscript"/>
        <sz val="11"/>
        <rFont val="Calibri"/>
        <family val="2"/>
        <scheme val="minor"/>
      </rPr>
      <t>ϒ</t>
    </r>
    <r>
      <rPr>
        <sz val="11"/>
        <rFont val="Calibri"/>
        <family val="2"/>
        <scheme val="minor"/>
      </rPr>
      <t xml:space="preserve"> =</t>
    </r>
  </si>
  <si>
    <r>
      <t>Q</t>
    </r>
    <r>
      <rPr>
        <vertAlign val="subscript"/>
        <sz val="11"/>
        <rFont val="Calibri"/>
        <family val="2"/>
        <scheme val="minor"/>
      </rPr>
      <t>C</t>
    </r>
    <r>
      <rPr>
        <sz val="11"/>
        <rFont val="Calibri"/>
        <family val="2"/>
        <charset val="1"/>
        <scheme val="minor"/>
      </rPr>
      <t xml:space="preserve"> =</t>
    </r>
  </si>
  <si>
    <r>
      <t>Q</t>
    </r>
    <r>
      <rPr>
        <vertAlign val="subscript"/>
        <sz val="11"/>
        <rFont val="Calibri"/>
        <family val="2"/>
        <scheme val="minor"/>
      </rPr>
      <t>s</t>
    </r>
    <r>
      <rPr>
        <sz val="11"/>
        <rFont val="Calibri"/>
        <family val="2"/>
        <charset val="1"/>
        <scheme val="minor"/>
      </rPr>
      <t xml:space="preserve"> =</t>
    </r>
  </si>
  <si>
    <r>
      <t>Q</t>
    </r>
    <r>
      <rPr>
        <vertAlign val="subscript"/>
        <sz val="11"/>
        <rFont val="Calibri"/>
        <family val="2"/>
        <scheme val="minor"/>
      </rPr>
      <t>TOT</t>
    </r>
    <r>
      <rPr>
        <sz val="11"/>
        <rFont val="Calibri"/>
        <family val="2"/>
        <charset val="1"/>
        <scheme val="minor"/>
      </rPr>
      <t xml:space="preserve"> =</t>
    </r>
  </si>
  <si>
    <r>
      <t>W</t>
    </r>
    <r>
      <rPr>
        <vertAlign val="subscript"/>
        <sz val="11"/>
        <rFont val="Calibri"/>
        <family val="2"/>
        <scheme val="minor"/>
      </rPr>
      <t>X</t>
    </r>
    <r>
      <rPr>
        <sz val="11"/>
        <rFont val="Calibri"/>
        <family val="2"/>
        <charset val="1"/>
        <scheme val="minor"/>
      </rPr>
      <t xml:space="preserve"> =</t>
    </r>
  </si>
  <si>
    <r>
      <t>W</t>
    </r>
    <r>
      <rPr>
        <vertAlign val="subscript"/>
        <sz val="11"/>
        <rFont val="Calibri"/>
        <family val="2"/>
        <scheme val="minor"/>
      </rPr>
      <t>Y</t>
    </r>
    <r>
      <rPr>
        <sz val="11"/>
        <rFont val="Calibri"/>
        <family val="2"/>
        <charset val="1"/>
        <scheme val="minor"/>
      </rPr>
      <t xml:space="preserve"> =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</si>
</sst>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6" formatCode="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name val="Calibri"/>
      <family val="2"/>
    </font>
    <font>
      <sz val="11"/>
      <name val="Arial"/>
      <family val="2"/>
    </font>
    <font>
      <sz val="11"/>
      <name val="Arial"/>
      <family val="2"/>
      <charset val="1"/>
    </font>
    <font>
      <sz val="11"/>
      <name val="Symbol"/>
      <family val="1"/>
      <charset val="2"/>
    </font>
    <font>
      <sz val="11"/>
      <color indexed="10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name val="Calibri"/>
      <family val="2"/>
      <charset val="1"/>
      <scheme val="minor"/>
    </font>
    <font>
      <b/>
      <sz val="11"/>
      <name val="Calibri"/>
      <family val="2"/>
      <charset val="1"/>
      <scheme val="minor"/>
    </font>
    <font>
      <b/>
      <sz val="11"/>
      <name val="Arial"/>
      <family val="2"/>
      <charset val="1"/>
    </font>
    <font>
      <sz val="11"/>
      <color theme="0" tint="-0.1499984740745262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b/>
      <sz val="11"/>
      <color theme="0"/>
      <name val="Calibri"/>
      <family val="2"/>
    </font>
    <font>
      <vertAlign val="subscript"/>
      <sz val="11"/>
      <color theme="0"/>
      <name val="Calibri"/>
      <family val="2"/>
      <scheme val="minor"/>
    </font>
    <font>
      <i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 diagonalUp="1" diagonalDown="1"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 style="dotted">
        <color theme="0" tint="-0.24994659260841701"/>
      </diagonal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2">
    <xf numFmtId="0" fontId="0" fillId="0" borderId="0"/>
    <xf numFmtId="0" fontId="2" fillId="0" borderId="0"/>
  </cellStyleXfs>
  <cellXfs count="177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left" vertical="center" indent="1"/>
    </xf>
    <xf numFmtId="2" fontId="0" fillId="0" borderId="1" xfId="0" applyNumberForma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3" fillId="0" borderId="0" xfId="1" applyFont="1" applyAlignment="1">
      <alignment vertical="center"/>
    </xf>
    <xf numFmtId="0" fontId="19" fillId="0" borderId="0" xfId="1" applyFont="1" applyAlignment="1">
      <alignment vertical="center"/>
    </xf>
    <xf numFmtId="0" fontId="1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2" fontId="3" fillId="0" borderId="0" xfId="0" applyNumberFormat="1" applyFont="1" applyAlignment="1" applyProtection="1">
      <alignment horizontal="center" vertical="center"/>
      <protection locked="0"/>
    </xf>
    <xf numFmtId="2" fontId="11" fillId="0" borderId="0" xfId="0" applyNumberFormat="1" applyFont="1" applyAlignment="1">
      <alignment horizontal="center" vertical="center"/>
    </xf>
    <xf numFmtId="0" fontId="3" fillId="0" borderId="6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4" fillId="0" borderId="0" xfId="1" applyFont="1" applyAlignment="1">
      <alignment horizontal="right" vertical="center"/>
    </xf>
    <xf numFmtId="2" fontId="4" fillId="0" borderId="0" xfId="1" applyNumberFormat="1" applyFont="1" applyAlignment="1">
      <alignment horizontal="center" vertical="center"/>
    </xf>
    <xf numFmtId="0" fontId="3" fillId="0" borderId="0" xfId="1" applyFont="1" applyAlignment="1">
      <alignment horizontal="right" vertical="center"/>
    </xf>
    <xf numFmtId="0" fontId="3" fillId="0" borderId="6" xfId="1" applyFont="1" applyBorder="1" applyAlignment="1">
      <alignment horizontal="left" vertical="center" inden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horizontal="left" vertical="center" indent="1"/>
    </xf>
    <xf numFmtId="0" fontId="12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" fillId="0" borderId="12" xfId="1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2" fillId="0" borderId="9" xfId="0" applyFont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12" fillId="5" borderId="0" xfId="0" applyFont="1" applyFill="1" applyAlignment="1">
      <alignment vertical="center"/>
    </xf>
    <xf numFmtId="0" fontId="1" fillId="5" borderId="0" xfId="0" applyFont="1" applyFill="1" applyAlignment="1">
      <alignment vertical="center"/>
    </xf>
    <xf numFmtId="0" fontId="1" fillId="5" borderId="6" xfId="0" applyFont="1" applyFill="1" applyBorder="1" applyAlignment="1">
      <alignment horizontal="left" vertical="center" indent="1"/>
    </xf>
    <xf numFmtId="0" fontId="12" fillId="5" borderId="12" xfId="0" applyFont="1" applyFill="1" applyBorder="1" applyAlignment="1">
      <alignment horizontal="center" vertical="center"/>
    </xf>
    <xf numFmtId="0" fontId="4" fillId="5" borderId="0" xfId="0" applyFont="1" applyFill="1" applyAlignment="1">
      <alignment vertical="center"/>
    </xf>
    <xf numFmtId="0" fontId="8" fillId="5" borderId="0" xfId="0" applyFont="1" applyFill="1" applyAlignment="1">
      <alignment vertical="center"/>
    </xf>
    <xf numFmtId="2" fontId="11" fillId="5" borderId="0" xfId="0" applyNumberFormat="1" applyFont="1" applyFill="1" applyAlignment="1">
      <alignment horizontal="center" vertical="center"/>
    </xf>
    <xf numFmtId="0" fontId="3" fillId="5" borderId="6" xfId="0" applyFont="1" applyFill="1" applyBorder="1" applyAlignment="1">
      <alignment horizontal="left" vertical="center" indent="1"/>
    </xf>
    <xf numFmtId="0" fontId="8" fillId="5" borderId="6" xfId="0" applyFont="1" applyFill="1" applyBorder="1" applyAlignment="1">
      <alignment horizontal="left" vertical="center" indent="1"/>
    </xf>
    <xf numFmtId="0" fontId="12" fillId="7" borderId="12" xfId="0" applyFont="1" applyFill="1" applyBorder="1" applyAlignment="1">
      <alignment horizontal="center" vertical="center"/>
    </xf>
    <xf numFmtId="0" fontId="12" fillId="7" borderId="0" xfId="0" applyFont="1" applyFill="1" applyAlignment="1">
      <alignment vertical="center"/>
    </xf>
    <xf numFmtId="0" fontId="22" fillId="7" borderId="0" xfId="1" applyFont="1" applyFill="1" applyAlignment="1">
      <alignment horizontal="center" vertical="center"/>
    </xf>
    <xf numFmtId="0" fontId="22" fillId="7" borderId="6" xfId="1" applyFont="1" applyFill="1" applyBorder="1" applyAlignment="1">
      <alignment horizontal="center" vertical="center"/>
    </xf>
    <xf numFmtId="2" fontId="4" fillId="3" borderId="1" xfId="0" applyNumberFormat="1" applyFont="1" applyFill="1" applyBorder="1" applyAlignment="1" applyProtection="1">
      <alignment horizontal="center" vertical="center"/>
      <protection locked="0"/>
    </xf>
    <xf numFmtId="1" fontId="4" fillId="3" borderId="1" xfId="0" applyNumberFormat="1" applyFont="1" applyFill="1" applyBorder="1" applyAlignment="1" applyProtection="1">
      <alignment horizontal="center" vertical="center"/>
      <protection locked="0"/>
    </xf>
    <xf numFmtId="2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/>
    </xf>
    <xf numFmtId="0" fontId="15" fillId="7" borderId="0" xfId="0" applyFont="1" applyFill="1" applyAlignment="1">
      <alignment vertical="center"/>
    </xf>
    <xf numFmtId="0" fontId="16" fillId="7" borderId="0" xfId="0" applyFont="1" applyFill="1" applyAlignment="1">
      <alignment vertical="center"/>
    </xf>
    <xf numFmtId="0" fontId="16" fillId="7" borderId="6" xfId="0" applyFont="1" applyFill="1" applyBorder="1" applyAlignment="1">
      <alignment horizontal="left" vertical="center" indent="1"/>
    </xf>
    <xf numFmtId="0" fontId="15" fillId="5" borderId="0" xfId="0" applyFont="1" applyFill="1" applyAlignment="1">
      <alignment vertical="center"/>
    </xf>
    <xf numFmtId="0" fontId="16" fillId="5" borderId="0" xfId="0" applyFont="1" applyFill="1" applyAlignment="1">
      <alignment vertical="center"/>
    </xf>
    <xf numFmtId="0" fontId="16" fillId="5" borderId="6" xfId="0" applyFont="1" applyFill="1" applyBorder="1" applyAlignment="1">
      <alignment horizontal="left" vertical="center" indent="1"/>
    </xf>
    <xf numFmtId="0" fontId="9" fillId="0" borderId="0" xfId="0" applyFont="1" applyAlignment="1">
      <alignment vertical="center"/>
    </xf>
    <xf numFmtId="0" fontId="9" fillId="0" borderId="6" xfId="0" applyFont="1" applyBorder="1" applyAlignment="1">
      <alignment horizontal="left" vertical="center" indent="1"/>
    </xf>
    <xf numFmtId="0" fontId="14" fillId="0" borderId="6" xfId="0" applyFont="1" applyBorder="1" applyAlignment="1">
      <alignment horizontal="left" vertical="center" indent="1"/>
    </xf>
    <xf numFmtId="0" fontId="14" fillId="0" borderId="0" xfId="0" applyFont="1" applyAlignment="1">
      <alignment horizontal="right" vertical="center"/>
    </xf>
    <xf numFmtId="2" fontId="9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4" fillId="7" borderId="12" xfId="0" applyFont="1" applyFill="1" applyBorder="1" applyAlignment="1">
      <alignment horizontal="center" vertical="center"/>
    </xf>
    <xf numFmtId="0" fontId="23" fillId="8" borderId="7" xfId="0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1" fillId="6" borderId="3" xfId="1" applyFont="1" applyFill="1" applyBorder="1" applyAlignment="1">
      <alignment horizontal="center" vertical="center"/>
    </xf>
    <xf numFmtId="0" fontId="21" fillId="6" borderId="8" xfId="1" applyFont="1" applyFill="1" applyBorder="1" applyAlignment="1">
      <alignment horizontal="center" vertical="center"/>
    </xf>
    <xf numFmtId="0" fontId="21" fillId="6" borderId="4" xfId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4" fillId="3" borderId="1" xfId="1" applyNumberFormat="1" applyFont="1" applyFill="1" applyBorder="1" applyAlignment="1" applyProtection="1">
      <alignment horizontal="center" vertical="center"/>
      <protection locked="0"/>
    </xf>
    <xf numFmtId="2" fontId="3" fillId="0" borderId="0" xfId="0" applyNumberFormat="1" applyFont="1" applyAlignment="1">
      <alignment horizontal="center" vertical="center"/>
    </xf>
    <xf numFmtId="2" fontId="3" fillId="0" borderId="1" xfId="0" applyNumberFormat="1" applyFont="1" applyBorder="1" applyAlignment="1" applyProtection="1">
      <alignment horizontal="center" vertical="center"/>
      <protection locked="0"/>
    </xf>
    <xf numFmtId="16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/>
    </xf>
    <xf numFmtId="49" fontId="0" fillId="2" borderId="1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49" fontId="0" fillId="4" borderId="1" xfId="0" applyNumberFormat="1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3" borderId="1" xfId="0" applyNumberFormat="1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0" fillId="0" borderId="6" xfId="0" applyBorder="1"/>
    <xf numFmtId="0" fontId="1" fillId="0" borderId="0" xfId="0" applyFont="1" applyAlignment="1">
      <alignment horizontal="center" vertical="center"/>
    </xf>
    <xf numFmtId="2" fontId="0" fillId="4" borderId="17" xfId="0" applyNumberForma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vertical="center"/>
    </xf>
    <xf numFmtId="0" fontId="0" fillId="5" borderId="0" xfId="0" applyFill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  <protection locked="0"/>
    </xf>
    <xf numFmtId="49" fontId="18" fillId="4" borderId="1" xfId="0" applyNumberFormat="1" applyFont="1" applyFill="1" applyBorder="1" applyAlignment="1">
      <alignment horizontal="left" vertical="center" indent="1"/>
    </xf>
    <xf numFmtId="49" fontId="18" fillId="3" borderId="1" xfId="0" applyNumberFormat="1" applyFont="1" applyFill="1" applyBorder="1" applyAlignment="1">
      <alignment horizontal="left" vertical="center" indent="1"/>
    </xf>
    <xf numFmtId="49" fontId="18" fillId="2" borderId="1" xfId="0" applyNumberFormat="1" applyFont="1" applyFill="1" applyBorder="1" applyAlignment="1">
      <alignment horizontal="left" vertical="center" indent="1"/>
    </xf>
    <xf numFmtId="0" fontId="26" fillId="8" borderId="12" xfId="0" applyFont="1" applyFill="1" applyBorder="1" applyAlignment="1">
      <alignment horizontal="center" vertical="center"/>
    </xf>
    <xf numFmtId="0" fontId="14" fillId="0" borderId="6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26" fillId="8" borderId="9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8" fillId="9" borderId="5" xfId="0" applyFont="1" applyFill="1" applyBorder="1" applyAlignment="1">
      <alignment horizontal="center" vertical="center"/>
    </xf>
    <xf numFmtId="0" fontId="23" fillId="9" borderId="5" xfId="0" applyFont="1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166" fontId="0" fillId="0" borderId="5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" fontId="0" fillId="5" borderId="5" xfId="0" applyNumberFormat="1" applyFill="1" applyBorder="1" applyAlignment="1">
      <alignment horizontal="center" vertical="center"/>
    </xf>
    <xf numFmtId="0" fontId="20" fillId="0" borderId="0" xfId="0" applyFont="1" applyAlignment="1">
      <alignment horizontal="left" vertical="center" indent="1"/>
    </xf>
    <xf numFmtId="0" fontId="30" fillId="0" borderId="0" xfId="0" applyFont="1" applyAlignment="1">
      <alignment horizontal="center" vertical="center"/>
    </xf>
    <xf numFmtId="0" fontId="1" fillId="0" borderId="13" xfId="0" applyFont="1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14" fillId="0" borderId="15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0" fontId="23" fillId="8" borderId="1" xfId="0" applyFont="1" applyFill="1" applyBorder="1" applyAlignment="1">
      <alignment horizontal="center" vertical="center"/>
    </xf>
    <xf numFmtId="0" fontId="21" fillId="6" borderId="8" xfId="1" applyFont="1" applyFill="1" applyBorder="1" applyAlignment="1">
      <alignment horizontal="center" vertical="center"/>
    </xf>
    <xf numFmtId="0" fontId="23" fillId="8" borderId="1" xfId="0" applyFont="1" applyFill="1" applyBorder="1" applyAlignment="1">
      <alignment horizontal="center" vertical="center"/>
    </xf>
    <xf numFmtId="49" fontId="23" fillId="8" borderId="1" xfId="0" applyNumberFormat="1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23" fillId="8" borderId="7" xfId="0" applyFont="1" applyFill="1" applyBorder="1" applyAlignment="1">
      <alignment horizontal="center" vertical="center"/>
    </xf>
    <xf numFmtId="0" fontId="26" fillId="8" borderId="9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left" vertical="center" indent="1"/>
    </xf>
    <xf numFmtId="49" fontId="18" fillId="0" borderId="1" xfId="0" applyNumberFormat="1" applyFont="1" applyBorder="1" applyAlignment="1">
      <alignment horizontal="left" vertical="center" indent="1"/>
    </xf>
    <xf numFmtId="49" fontId="18" fillId="2" borderId="1" xfId="0" applyNumberFormat="1" applyFont="1" applyFill="1" applyBorder="1" applyAlignment="1">
      <alignment horizontal="left" vertical="center" indent="1"/>
    </xf>
    <xf numFmtId="49" fontId="18" fillId="4" borderId="1" xfId="0" applyNumberFormat="1" applyFont="1" applyFill="1" applyBorder="1" applyAlignment="1">
      <alignment horizontal="left" vertical="center" indent="1"/>
    </xf>
    <xf numFmtId="49" fontId="18" fillId="3" borderId="1" xfId="0" applyNumberFormat="1" applyFont="1" applyFill="1" applyBorder="1" applyAlignment="1">
      <alignment horizontal="left" vertical="center" indent="1"/>
    </xf>
    <xf numFmtId="49" fontId="23" fillId="8" borderId="7" xfId="0" applyNumberFormat="1" applyFont="1" applyFill="1" applyBorder="1" applyAlignment="1">
      <alignment horizontal="center" vertical="center"/>
    </xf>
    <xf numFmtId="49" fontId="23" fillId="8" borderId="15" xfId="0" applyNumberFormat="1" applyFont="1" applyFill="1" applyBorder="1" applyAlignment="1">
      <alignment horizontal="center" vertical="center"/>
    </xf>
    <xf numFmtId="49" fontId="23" fillId="8" borderId="16" xfId="0" applyNumberFormat="1" applyFont="1" applyFill="1" applyBorder="1" applyAlignment="1">
      <alignment horizontal="center" vertical="center"/>
    </xf>
    <xf numFmtId="49" fontId="23" fillId="8" borderId="13" xfId="0" applyNumberFormat="1" applyFont="1" applyFill="1" applyBorder="1" applyAlignment="1">
      <alignment horizontal="center" vertical="center"/>
    </xf>
    <xf numFmtId="49" fontId="23" fillId="8" borderId="6" xfId="0" applyNumberFormat="1" applyFont="1" applyFill="1" applyBorder="1" applyAlignment="1">
      <alignment horizontal="center" vertical="center"/>
    </xf>
    <xf numFmtId="0" fontId="30" fillId="0" borderId="18" xfId="0" applyFont="1" applyBorder="1" applyAlignment="1">
      <alignment horizontal="right" vertical="center" indent="1"/>
    </xf>
    <xf numFmtId="0" fontId="30" fillId="0" borderId="19" xfId="0" applyFont="1" applyBorder="1" applyAlignment="1">
      <alignment horizontal="right" vertical="center" indent="1"/>
    </xf>
    <xf numFmtId="0" fontId="30" fillId="0" borderId="20" xfId="0" applyFont="1" applyBorder="1" applyAlignment="1">
      <alignment horizontal="right" vertical="center" indent="1"/>
    </xf>
    <xf numFmtId="2" fontId="0" fillId="5" borderId="21" xfId="0" applyNumberFormat="1" applyFill="1" applyBorder="1" applyAlignment="1">
      <alignment horizontal="center" vertical="center"/>
    </xf>
    <xf numFmtId="2" fontId="0" fillId="5" borderId="22" xfId="0" applyNumberFormat="1" applyFill="1" applyBorder="1" applyAlignment="1">
      <alignment horizontal="center" vertical="center"/>
    </xf>
    <xf numFmtId="0" fontId="12" fillId="7" borderId="15" xfId="0" applyFont="1" applyFill="1" applyBorder="1" applyAlignment="1">
      <alignment horizontal="center" vertical="center"/>
    </xf>
    <xf numFmtId="0" fontId="12" fillId="7" borderId="2" xfId="0" applyFont="1" applyFill="1" applyBorder="1" applyAlignment="1">
      <alignment vertical="center"/>
    </xf>
    <xf numFmtId="0" fontId="0" fillId="7" borderId="2" xfId="0" applyFill="1" applyBorder="1"/>
    <xf numFmtId="0" fontId="0" fillId="7" borderId="16" xfId="0" applyFill="1" applyBorder="1"/>
    <xf numFmtId="0" fontId="0" fillId="0" borderId="13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/>
    <xf numFmtId="0" fontId="0" fillId="0" borderId="13" xfId="0" applyBorder="1"/>
    <xf numFmtId="0" fontId="17" fillId="0" borderId="13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17" fillId="0" borderId="14" xfId="0" applyFont="1" applyBorder="1" applyAlignment="1">
      <alignment vertical="center"/>
    </xf>
    <xf numFmtId="0" fontId="17" fillId="0" borderId="10" xfId="0" applyFont="1" applyBorder="1" applyAlignment="1">
      <alignment vertical="center"/>
    </xf>
    <xf numFmtId="0" fontId="0" fillId="0" borderId="11" xfId="0" applyBorder="1" applyAlignment="1">
      <alignment vertical="center"/>
    </xf>
    <xf numFmtId="49" fontId="0" fillId="4" borderId="1" xfId="0" applyNumberFormat="1" applyFill="1" applyBorder="1" applyAlignment="1">
      <alignment horizontal="left" vertical="center" indent="1"/>
    </xf>
    <xf numFmtId="49" fontId="0" fillId="3" borderId="1" xfId="0" applyNumberFormat="1" applyFill="1" applyBorder="1" applyAlignment="1">
      <alignment horizontal="left" vertical="center" indent="1"/>
    </xf>
    <xf numFmtId="49" fontId="0" fillId="2" borderId="1" xfId="0" applyNumberFormat="1" applyFill="1" applyBorder="1" applyAlignment="1">
      <alignment horizontal="left" vertical="center" indent="1"/>
    </xf>
    <xf numFmtId="0" fontId="0" fillId="6" borderId="15" xfId="0" applyFill="1" applyBorder="1" applyAlignment="1">
      <alignment vertical="center"/>
    </xf>
    <xf numFmtId="0" fontId="0" fillId="6" borderId="2" xfId="0" applyFill="1" applyBorder="1" applyAlignment="1">
      <alignment vertical="center"/>
    </xf>
    <xf numFmtId="0" fontId="0" fillId="6" borderId="16" xfId="0" applyFill="1" applyBorder="1" applyAlignment="1">
      <alignment vertical="center"/>
    </xf>
    <xf numFmtId="0" fontId="17" fillId="0" borderId="15" xfId="0" applyFont="1" applyBorder="1" applyAlignment="1">
      <alignment vertical="center"/>
    </xf>
    <xf numFmtId="0" fontId="17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3" xfId="0" applyBorder="1" applyAlignment="1">
      <alignment vertical="center"/>
    </xf>
    <xf numFmtId="0" fontId="1" fillId="0" borderId="0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0" fillId="0" borderId="14" xfId="0" applyBorder="1" applyAlignment="1">
      <alignment vertical="center"/>
    </xf>
    <xf numFmtId="2" fontId="14" fillId="10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9BB709C9-C676-4BA1-9A95-0C93F281965F}"/>
  </cellStyles>
  <dxfs count="2">
    <dxf>
      <font>
        <b/>
        <i/>
        <color theme="9" tint="-0.499984740745262"/>
      </font>
      <fill>
        <patternFill>
          <bgColor theme="9" tint="0.79998168889431442"/>
        </patternFill>
      </fill>
    </dxf>
    <dxf>
      <font>
        <b/>
        <i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509744</xdr:colOff>
      <xdr:row>11</xdr:row>
      <xdr:rowOff>65491</xdr:rowOff>
    </xdr:from>
    <xdr:to>
      <xdr:col>7</xdr:col>
      <xdr:colOff>792869</xdr:colOff>
      <xdr:row>26</xdr:row>
      <xdr:rowOff>6259</xdr:rowOff>
    </xdr:to>
    <xdr:pic>
      <xdr:nvPicPr>
        <xdr:cNvPr id="4" name="Picture 3" descr="A diagram of a concrete slab&#10;&#10;Description automatically generated with medium confidence">
          <a:extLst>
            <a:ext uri="{FF2B5EF4-FFF2-40B4-BE49-F238E27FC236}">
              <a16:creationId xmlns:a16="http://schemas.microsoft.com/office/drawing/2014/main" id="{583289DD-EDF2-4716-8427-AEDA265B4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4244" y="2499658"/>
          <a:ext cx="5786458" cy="3592018"/>
        </a:xfrm>
        <a:prstGeom prst="rect">
          <a:avLst/>
        </a:prstGeom>
      </xdr:spPr>
    </xdr:pic>
    <xdr:clientData/>
  </xdr:twoCellAnchor>
  <xdr:oneCellAnchor>
    <xdr:from>
      <xdr:col>10</xdr:col>
      <xdr:colOff>143933</xdr:colOff>
      <xdr:row>2</xdr:row>
      <xdr:rowOff>192616</xdr:rowOff>
    </xdr:from>
    <xdr:ext cx="5295900" cy="3154209"/>
    <xdr:pic>
      <xdr:nvPicPr>
        <xdr:cNvPr id="3" name="Picture 2">
          <a:extLst>
            <a:ext uri="{FF2B5EF4-FFF2-40B4-BE49-F238E27FC236}">
              <a16:creationId xmlns:a16="http://schemas.microsoft.com/office/drawing/2014/main" id="{BEA913ED-928D-4E01-96E1-C8BF26C6A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52933" y="436033"/>
          <a:ext cx="5295900" cy="3154209"/>
        </a:xfrm>
        <a:prstGeom prst="rect">
          <a:avLst/>
        </a:prstGeom>
      </xdr:spPr>
    </xdr:pic>
    <xdr:clientData/>
  </xdr:oneCellAnchor>
  <xdr:oneCellAnchor>
    <xdr:from>
      <xdr:col>1</xdr:col>
      <xdr:colOff>809625</xdr:colOff>
      <xdr:row>111</xdr:row>
      <xdr:rowOff>0</xdr:rowOff>
    </xdr:from>
    <xdr:ext cx="5457825" cy="1962150"/>
    <xdr:pic>
      <xdr:nvPicPr>
        <xdr:cNvPr id="5" name="Picture 4">
          <a:extLst>
            <a:ext uri="{FF2B5EF4-FFF2-40B4-BE49-F238E27FC236}">
              <a16:creationId xmlns:a16="http://schemas.microsoft.com/office/drawing/2014/main" id="{416179A3-A446-4F1A-9B62-2D954780A9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20512" b="19127"/>
        <a:stretch/>
      </xdr:blipFill>
      <xdr:spPr>
        <a:xfrm>
          <a:off x="1257300" y="21907500"/>
          <a:ext cx="5457825" cy="196215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5517800-F51F-462E-9ACC-1B68FCEB8AA5}">
  <we:reference id="wa200001584" version="2.8.1.5" store="en-US" storeType="OMEX"/>
  <we:alternateReferences>
    <we:reference id="wa200001584" version="2.8.1.5" store="WA200001584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3A337-44B6-42BB-B406-FC9BF44568C4}">
  <sheetPr>
    <tabColor theme="7"/>
  </sheetPr>
  <dimension ref="A1:S132"/>
  <sheetViews>
    <sheetView showGridLines="0" tabSelected="1" zoomScale="90" zoomScaleNormal="90" workbookViewId="0">
      <selection activeCell="L50" sqref="L50:M50"/>
    </sheetView>
  </sheetViews>
  <sheetFormatPr defaultRowHeight="18.75" customHeight="1" x14ac:dyDescent="0.25"/>
  <cols>
    <col min="1" max="1" width="6.7109375" style="11" customWidth="1"/>
    <col min="2" max="6" width="13.5703125" style="1" customWidth="1"/>
    <col min="7" max="7" width="14.28515625" style="1" customWidth="1"/>
    <col min="8" max="8" width="15.7109375" style="1" customWidth="1"/>
    <col min="9" max="9" width="11.42578125" style="3" customWidth="1"/>
    <col min="10" max="10" width="6.7109375" style="1" customWidth="1"/>
    <col min="11" max="18" width="11.28515625" style="1" customWidth="1"/>
    <col min="19" max="16384" width="9.140625" style="1"/>
  </cols>
  <sheetData>
    <row r="1" spans="1:19" ht="18.75" customHeight="1" x14ac:dyDescent="0.25">
      <c r="A1" s="71" t="s">
        <v>29</v>
      </c>
      <c r="B1" s="125" t="s">
        <v>62</v>
      </c>
      <c r="C1" s="125"/>
      <c r="D1" s="125"/>
      <c r="E1" s="125"/>
      <c r="F1" s="125"/>
      <c r="G1" s="72" t="s">
        <v>63</v>
      </c>
      <c r="H1" s="72" t="s">
        <v>64</v>
      </c>
      <c r="I1" s="73" t="s">
        <v>65</v>
      </c>
      <c r="J1" s="163"/>
      <c r="K1" s="164"/>
      <c r="L1" s="164"/>
      <c r="M1" s="164"/>
      <c r="N1" s="164"/>
      <c r="O1" s="164"/>
      <c r="P1" s="164"/>
      <c r="Q1" s="164"/>
      <c r="R1" s="165"/>
      <c r="S1"/>
    </row>
    <row r="2" spans="1:19" ht="18.75" customHeight="1" x14ac:dyDescent="0.25">
      <c r="A2" s="43" t="s">
        <v>66</v>
      </c>
      <c r="B2" s="44" t="s">
        <v>67</v>
      </c>
      <c r="C2" s="45"/>
      <c r="D2" s="45"/>
      <c r="E2" s="45"/>
      <c r="F2" s="45"/>
      <c r="G2" s="45"/>
      <c r="H2" s="45"/>
      <c r="I2" s="46"/>
      <c r="J2" s="146" t="s">
        <v>71</v>
      </c>
      <c r="K2" s="147" t="s">
        <v>125</v>
      </c>
      <c r="L2" s="148"/>
      <c r="M2" s="148"/>
      <c r="N2" s="148"/>
      <c r="O2" s="148"/>
      <c r="P2" s="148"/>
      <c r="Q2" s="148"/>
      <c r="R2" s="149"/>
      <c r="S2"/>
    </row>
    <row r="3" spans="1:19" ht="18.75" customHeight="1" x14ac:dyDescent="0.25">
      <c r="A3" s="37" t="s">
        <v>34</v>
      </c>
      <c r="B3" s="38" t="s">
        <v>36</v>
      </c>
      <c r="C3" s="39"/>
      <c r="D3" s="39"/>
      <c r="E3" s="39"/>
      <c r="F3" s="39"/>
      <c r="G3" s="39"/>
      <c r="H3" s="39"/>
      <c r="I3" s="42"/>
      <c r="J3" s="150"/>
      <c r="K3" s="151"/>
      <c r="L3" s="152"/>
      <c r="M3" s="152"/>
      <c r="N3" s="152"/>
      <c r="O3" s="152"/>
      <c r="P3" s="152"/>
      <c r="Q3" s="152"/>
      <c r="R3" s="89"/>
      <c r="S3"/>
    </row>
    <row r="4" spans="1:19" ht="18.75" customHeight="1" x14ac:dyDescent="0.25">
      <c r="A4" s="27"/>
      <c r="B4" s="2" t="s">
        <v>85</v>
      </c>
      <c r="C4" s="15"/>
      <c r="D4" s="15"/>
      <c r="E4" s="15"/>
      <c r="F4" s="15"/>
      <c r="G4" s="12" t="s">
        <v>4</v>
      </c>
      <c r="H4" s="47">
        <v>-2</v>
      </c>
      <c r="I4" s="19" t="s">
        <v>5</v>
      </c>
      <c r="J4" s="150"/>
      <c r="K4" s="151"/>
      <c r="L4" s="152"/>
      <c r="M4" s="152"/>
      <c r="N4" s="152"/>
      <c r="O4" s="152"/>
      <c r="P4" s="152"/>
      <c r="Q4" s="152"/>
      <c r="R4" s="89"/>
      <c r="S4"/>
    </row>
    <row r="5" spans="1:19" ht="18.75" customHeight="1" x14ac:dyDescent="0.25">
      <c r="A5" s="27"/>
      <c r="B5" s="2" t="s">
        <v>6</v>
      </c>
      <c r="C5" s="15"/>
      <c r="D5" s="15"/>
      <c r="E5" s="15"/>
      <c r="F5" s="15"/>
      <c r="G5" s="16" t="s">
        <v>7</v>
      </c>
      <c r="H5" s="47">
        <v>16</v>
      </c>
      <c r="I5" s="19" t="s">
        <v>8</v>
      </c>
      <c r="J5" s="150"/>
      <c r="K5" s="151"/>
      <c r="L5" s="152"/>
      <c r="M5" s="152"/>
      <c r="N5" s="152"/>
      <c r="O5" s="152"/>
      <c r="P5" s="152"/>
      <c r="Q5" s="152"/>
      <c r="R5" s="89"/>
      <c r="S5"/>
    </row>
    <row r="6" spans="1:19" ht="18.75" customHeight="1" x14ac:dyDescent="0.25">
      <c r="A6" s="27"/>
      <c r="B6" s="2" t="s">
        <v>143</v>
      </c>
      <c r="C6" s="15"/>
      <c r="D6" s="15"/>
      <c r="E6" s="15"/>
      <c r="F6" s="15"/>
      <c r="G6" s="16" t="s">
        <v>144</v>
      </c>
      <c r="H6" s="47">
        <v>18</v>
      </c>
      <c r="I6" s="19" t="s">
        <v>8</v>
      </c>
      <c r="J6" s="150"/>
      <c r="K6" s="151"/>
      <c r="L6" s="152"/>
      <c r="M6" s="152"/>
      <c r="N6" s="152"/>
      <c r="O6" s="152"/>
      <c r="P6" s="152"/>
      <c r="Q6" s="152"/>
      <c r="R6" s="89"/>
      <c r="S6"/>
    </row>
    <row r="7" spans="1:19" ht="18.75" customHeight="1" x14ac:dyDescent="0.25">
      <c r="A7" s="27"/>
      <c r="B7" s="2" t="s">
        <v>9</v>
      </c>
      <c r="C7" s="15"/>
      <c r="D7" s="15"/>
      <c r="E7" s="15"/>
      <c r="F7" s="15"/>
      <c r="G7" s="16" t="s">
        <v>10</v>
      </c>
      <c r="H7" s="47">
        <v>34</v>
      </c>
      <c r="I7" s="19" t="s">
        <v>11</v>
      </c>
      <c r="J7" s="150"/>
      <c r="K7" s="151"/>
      <c r="L7" s="152"/>
      <c r="M7" s="152"/>
      <c r="N7" s="152"/>
      <c r="O7" s="152"/>
      <c r="P7" s="152"/>
      <c r="Q7" s="152"/>
      <c r="R7" s="89"/>
      <c r="S7"/>
    </row>
    <row r="8" spans="1:19" ht="18.75" customHeight="1" x14ac:dyDescent="0.25">
      <c r="A8" s="27"/>
      <c r="B8" s="2" t="s">
        <v>12</v>
      </c>
      <c r="C8" s="15"/>
      <c r="D8" s="15"/>
      <c r="E8" s="15"/>
      <c r="F8" s="15"/>
      <c r="G8" s="12" t="s">
        <v>3</v>
      </c>
      <c r="H8" s="47">
        <v>0</v>
      </c>
      <c r="I8" s="19" t="s">
        <v>13</v>
      </c>
      <c r="J8" s="150"/>
      <c r="K8" s="151"/>
      <c r="L8" s="152"/>
      <c r="M8" s="152"/>
      <c r="N8" s="152"/>
      <c r="O8" s="152"/>
      <c r="P8" s="152"/>
      <c r="Q8" s="152"/>
      <c r="R8" s="89"/>
      <c r="S8"/>
    </row>
    <row r="9" spans="1:19" ht="18.75" customHeight="1" x14ac:dyDescent="0.25">
      <c r="A9" s="27"/>
      <c r="B9" s="2" t="s">
        <v>14</v>
      </c>
      <c r="C9" s="15"/>
      <c r="D9" s="15"/>
      <c r="E9" s="15"/>
      <c r="F9" s="15"/>
      <c r="G9" s="12" t="s">
        <v>15</v>
      </c>
      <c r="H9" s="47">
        <v>200</v>
      </c>
      <c r="I9" s="19" t="s">
        <v>16</v>
      </c>
      <c r="J9" s="150"/>
      <c r="K9" s="151"/>
      <c r="L9" s="152"/>
      <c r="M9" s="152"/>
      <c r="N9" s="152"/>
      <c r="O9" s="152"/>
      <c r="P9" s="152"/>
      <c r="Q9" s="152"/>
      <c r="R9" s="89"/>
      <c r="S9"/>
    </row>
    <row r="10" spans="1:19" ht="18.75" customHeight="1" x14ac:dyDescent="0.25">
      <c r="A10" s="27"/>
      <c r="B10" s="2"/>
      <c r="C10" s="15"/>
      <c r="D10" s="15"/>
      <c r="E10" s="15"/>
      <c r="F10" s="15"/>
      <c r="G10" s="12"/>
      <c r="H10" s="17"/>
      <c r="I10" s="19"/>
      <c r="J10" s="150"/>
      <c r="K10" s="151"/>
      <c r="L10" s="152"/>
      <c r="M10" s="152"/>
      <c r="N10" s="152"/>
      <c r="O10" s="152"/>
      <c r="P10" s="152"/>
      <c r="Q10" s="152"/>
      <c r="R10" s="89"/>
      <c r="S10"/>
    </row>
    <row r="11" spans="1:19" ht="18.75" customHeight="1" x14ac:dyDescent="0.25">
      <c r="A11" s="37" t="s">
        <v>35</v>
      </c>
      <c r="B11" s="38" t="s">
        <v>37</v>
      </c>
      <c r="C11" s="39"/>
      <c r="D11" s="39"/>
      <c r="E11" s="39"/>
      <c r="F11" s="39"/>
      <c r="G11" s="39"/>
      <c r="H11" s="40"/>
      <c r="I11" s="41"/>
      <c r="J11" s="150"/>
      <c r="K11" s="151"/>
      <c r="L11" s="152"/>
      <c r="M11" s="152"/>
      <c r="N11" s="152"/>
      <c r="O11" s="152"/>
      <c r="P11" s="152"/>
      <c r="Q11" s="152"/>
      <c r="R11" s="89"/>
      <c r="S11"/>
    </row>
    <row r="12" spans="1:19" ht="18.75" customHeight="1" x14ac:dyDescent="0.25">
      <c r="A12" s="27"/>
      <c r="B12" s="14"/>
      <c r="C12" s="15"/>
      <c r="D12" s="15"/>
      <c r="E12" s="15"/>
      <c r="F12" s="15"/>
      <c r="G12" s="15"/>
      <c r="H12" s="18"/>
      <c r="I12" s="19"/>
      <c r="J12" s="150"/>
      <c r="K12" s="151"/>
      <c r="L12" s="152"/>
      <c r="M12" s="152"/>
      <c r="N12" s="152"/>
      <c r="O12" s="152"/>
      <c r="P12" s="152"/>
      <c r="Q12" s="152"/>
      <c r="R12" s="89"/>
      <c r="S12"/>
    </row>
    <row r="13" spans="1:19" ht="18.75" customHeight="1" x14ac:dyDescent="0.25">
      <c r="A13" s="27"/>
      <c r="B13" s="14"/>
      <c r="C13" s="15"/>
      <c r="D13" s="15"/>
      <c r="E13" s="15"/>
      <c r="F13" s="15"/>
      <c r="G13" s="15"/>
      <c r="H13" s="18"/>
      <c r="I13" s="19"/>
      <c r="J13" s="150"/>
      <c r="K13" s="151"/>
      <c r="L13" s="152"/>
      <c r="M13" s="152"/>
      <c r="N13" s="152"/>
      <c r="O13" s="152"/>
      <c r="P13" s="152"/>
      <c r="Q13" s="152"/>
      <c r="R13" s="89"/>
      <c r="S13"/>
    </row>
    <row r="14" spans="1:19" ht="18.75" customHeight="1" x14ac:dyDescent="0.25">
      <c r="A14" s="27"/>
      <c r="B14" s="14"/>
      <c r="C14" s="15"/>
      <c r="D14" s="15"/>
      <c r="E14" s="15"/>
      <c r="F14" s="15"/>
      <c r="G14" s="15"/>
      <c r="H14" s="18"/>
      <c r="I14" s="19"/>
      <c r="J14" s="150"/>
      <c r="K14" s="151"/>
      <c r="L14" s="152"/>
      <c r="M14" s="152"/>
      <c r="N14" s="152"/>
      <c r="O14" s="152"/>
      <c r="P14" s="152"/>
      <c r="Q14" s="152"/>
      <c r="R14" s="89"/>
      <c r="S14"/>
    </row>
    <row r="15" spans="1:19" ht="18.75" customHeight="1" x14ac:dyDescent="0.25">
      <c r="A15" s="27"/>
      <c r="B15" s="14"/>
      <c r="C15" s="15"/>
      <c r="D15" s="15"/>
      <c r="E15" s="15"/>
      <c r="F15" s="15"/>
      <c r="G15" s="15"/>
      <c r="H15" s="18"/>
      <c r="I15" s="19"/>
      <c r="J15" s="150"/>
      <c r="K15" s="151"/>
      <c r="L15" s="152"/>
      <c r="M15" s="152"/>
      <c r="N15" s="152"/>
      <c r="O15" s="152"/>
      <c r="P15" s="152"/>
      <c r="Q15" s="152"/>
      <c r="R15" s="89"/>
      <c r="S15"/>
    </row>
    <row r="16" spans="1:19" ht="18.75" customHeight="1" x14ac:dyDescent="0.25">
      <c r="A16" s="27"/>
      <c r="B16" s="14"/>
      <c r="C16" s="15"/>
      <c r="D16" s="15"/>
      <c r="E16" s="15"/>
      <c r="F16" s="15"/>
      <c r="G16" s="15"/>
      <c r="H16" s="18"/>
      <c r="I16" s="19"/>
      <c r="J16" s="150"/>
      <c r="K16" s="151"/>
      <c r="L16" s="152"/>
      <c r="M16" s="152"/>
      <c r="N16" s="152"/>
      <c r="O16" s="152"/>
      <c r="P16" s="152"/>
      <c r="Q16" s="152"/>
      <c r="R16" s="89"/>
      <c r="S16"/>
    </row>
    <row r="17" spans="1:19" ht="18.75" customHeight="1" x14ac:dyDescent="0.25">
      <c r="A17" s="27"/>
      <c r="B17" s="14"/>
      <c r="C17" s="15"/>
      <c r="D17" s="15"/>
      <c r="E17" s="15"/>
      <c r="F17" s="15"/>
      <c r="G17" s="15"/>
      <c r="H17" s="18"/>
      <c r="I17" s="19"/>
      <c r="J17" s="150"/>
      <c r="K17" s="151"/>
      <c r="L17" s="152"/>
      <c r="M17" s="152"/>
      <c r="N17" s="152"/>
      <c r="O17" s="152"/>
      <c r="P17" s="152"/>
      <c r="Q17" s="152"/>
      <c r="R17" s="89"/>
      <c r="S17"/>
    </row>
    <row r="18" spans="1:19" ht="18.75" customHeight="1" x14ac:dyDescent="0.25">
      <c r="A18" s="27"/>
      <c r="B18" s="14"/>
      <c r="C18" s="15"/>
      <c r="D18" s="15"/>
      <c r="E18" s="15"/>
      <c r="F18" s="15"/>
      <c r="G18" s="15"/>
      <c r="H18" s="18"/>
      <c r="I18" s="19"/>
      <c r="J18" s="126" t="s">
        <v>29</v>
      </c>
      <c r="K18" s="127" t="s">
        <v>30</v>
      </c>
      <c r="L18" s="127"/>
      <c r="M18" s="127" t="s">
        <v>31</v>
      </c>
      <c r="N18" s="127"/>
      <c r="O18" s="127" t="s">
        <v>32</v>
      </c>
      <c r="P18" s="124" t="s">
        <v>68</v>
      </c>
      <c r="Q18" s="124" t="s">
        <v>69</v>
      </c>
      <c r="R18" s="124" t="s">
        <v>70</v>
      </c>
      <c r="S18"/>
    </row>
    <row r="19" spans="1:19" ht="18.75" customHeight="1" x14ac:dyDescent="0.25">
      <c r="A19" s="27"/>
      <c r="B19" s="14"/>
      <c r="C19" s="15"/>
      <c r="D19" s="15"/>
      <c r="E19" s="15"/>
      <c r="F19" s="15"/>
      <c r="G19" s="15"/>
      <c r="H19" s="18"/>
      <c r="I19" s="19"/>
      <c r="J19" s="126"/>
      <c r="K19" s="127"/>
      <c r="L19" s="127"/>
      <c r="M19" s="127"/>
      <c r="N19" s="127"/>
      <c r="O19" s="127"/>
      <c r="P19" s="124" t="s">
        <v>2</v>
      </c>
      <c r="Q19" s="124" t="s">
        <v>1</v>
      </c>
      <c r="R19" s="124" t="s">
        <v>1</v>
      </c>
      <c r="S19"/>
    </row>
    <row r="20" spans="1:19" ht="18.75" customHeight="1" x14ac:dyDescent="0.25">
      <c r="A20" s="27"/>
      <c r="B20" s="14"/>
      <c r="C20" s="15"/>
      <c r="D20" s="15"/>
      <c r="E20" s="15"/>
      <c r="F20" s="15"/>
      <c r="G20" s="15"/>
      <c r="H20" s="18"/>
      <c r="I20" s="19"/>
      <c r="J20" s="82">
        <v>1</v>
      </c>
      <c r="K20" s="160" t="s">
        <v>43</v>
      </c>
      <c r="L20" s="160"/>
      <c r="M20" s="160" t="s">
        <v>33</v>
      </c>
      <c r="N20" s="160"/>
      <c r="O20" s="83" t="s">
        <v>27</v>
      </c>
      <c r="P20" s="84">
        <v>620</v>
      </c>
      <c r="Q20" s="91"/>
      <c r="R20" s="91"/>
      <c r="S20"/>
    </row>
    <row r="21" spans="1:19" ht="18.75" customHeight="1" x14ac:dyDescent="0.25">
      <c r="A21" s="27"/>
      <c r="B21" s="14"/>
      <c r="C21" s="15"/>
      <c r="D21" s="15"/>
      <c r="E21" s="15"/>
      <c r="F21" s="15"/>
      <c r="G21" s="15"/>
      <c r="H21" s="18"/>
      <c r="I21" s="19"/>
      <c r="J21" s="82">
        <v>2</v>
      </c>
      <c r="K21" s="160" t="s">
        <v>51</v>
      </c>
      <c r="L21" s="160"/>
      <c r="M21" s="160" t="s">
        <v>33</v>
      </c>
      <c r="N21" s="160"/>
      <c r="O21" s="83" t="s">
        <v>27</v>
      </c>
      <c r="P21" s="84">
        <v>220</v>
      </c>
      <c r="Q21" s="84">
        <v>8</v>
      </c>
      <c r="R21" s="84">
        <v>14</v>
      </c>
      <c r="S21"/>
    </row>
    <row r="22" spans="1:19" ht="18.75" customHeight="1" x14ac:dyDescent="0.25">
      <c r="A22" s="27"/>
      <c r="B22" s="14"/>
      <c r="C22" s="15"/>
      <c r="D22" s="15"/>
      <c r="E22" s="15"/>
      <c r="F22" s="15"/>
      <c r="G22" s="15"/>
      <c r="H22" s="18"/>
      <c r="I22" s="19"/>
      <c r="J22" s="85">
        <v>3</v>
      </c>
      <c r="K22" s="161" t="s">
        <v>42</v>
      </c>
      <c r="L22" s="161"/>
      <c r="M22" s="161" t="s">
        <v>33</v>
      </c>
      <c r="N22" s="161"/>
      <c r="O22" s="86" t="s">
        <v>27</v>
      </c>
      <c r="P22" s="87">
        <v>170</v>
      </c>
      <c r="Q22" s="87">
        <v>60</v>
      </c>
      <c r="R22" s="87">
        <v>90</v>
      </c>
      <c r="S22"/>
    </row>
    <row r="23" spans="1:19" ht="18.75" customHeight="1" x14ac:dyDescent="0.25">
      <c r="A23" s="27"/>
      <c r="B23" s="14"/>
      <c r="C23" s="15"/>
      <c r="D23" s="15"/>
      <c r="E23" s="15"/>
      <c r="F23" s="15"/>
      <c r="G23" s="15"/>
      <c r="H23" s="18"/>
      <c r="I23" s="19"/>
      <c r="J23" s="85">
        <v>4</v>
      </c>
      <c r="K23" s="161" t="s">
        <v>42</v>
      </c>
      <c r="L23" s="161"/>
      <c r="M23" s="161" t="s">
        <v>33</v>
      </c>
      <c r="N23" s="161"/>
      <c r="O23" s="86" t="s">
        <v>28</v>
      </c>
      <c r="P23" s="87">
        <v>90</v>
      </c>
      <c r="Q23" s="87">
        <v>-30</v>
      </c>
      <c r="R23" s="87">
        <v>-95</v>
      </c>
      <c r="S23"/>
    </row>
    <row r="24" spans="1:19" ht="18.75" customHeight="1" x14ac:dyDescent="0.25">
      <c r="A24" s="27"/>
      <c r="B24" s="14"/>
      <c r="C24" s="15"/>
      <c r="D24" s="15"/>
      <c r="E24" s="15"/>
      <c r="F24" s="15"/>
      <c r="G24" s="15"/>
      <c r="H24" s="18"/>
      <c r="I24" s="19"/>
      <c r="J24" s="79">
        <v>5</v>
      </c>
      <c r="K24" s="162" t="s">
        <v>44</v>
      </c>
      <c r="L24" s="162"/>
      <c r="M24" s="162" t="s">
        <v>33</v>
      </c>
      <c r="N24" s="162"/>
      <c r="O24" s="80" t="s">
        <v>27</v>
      </c>
      <c r="P24" s="81">
        <v>160</v>
      </c>
      <c r="Q24" s="81">
        <v>110</v>
      </c>
      <c r="R24" s="81">
        <v>40</v>
      </c>
      <c r="S24"/>
    </row>
    <row r="25" spans="1:19" ht="18.75" customHeight="1" x14ac:dyDescent="0.25">
      <c r="A25" s="27"/>
      <c r="B25" s="14"/>
      <c r="C25" s="15"/>
      <c r="D25" s="15"/>
      <c r="E25" s="15"/>
      <c r="F25" s="15"/>
      <c r="G25" s="15"/>
      <c r="H25" s="18"/>
      <c r="I25" s="19"/>
      <c r="J25" s="79">
        <v>6</v>
      </c>
      <c r="K25" s="162" t="s">
        <v>44</v>
      </c>
      <c r="L25" s="162"/>
      <c r="M25" s="162" t="s">
        <v>33</v>
      </c>
      <c r="N25" s="162"/>
      <c r="O25" s="80" t="s">
        <v>28</v>
      </c>
      <c r="P25" s="81">
        <v>100</v>
      </c>
      <c r="Q25" s="81">
        <v>-90</v>
      </c>
      <c r="R25" s="81">
        <v>-30</v>
      </c>
      <c r="S25"/>
    </row>
    <row r="26" spans="1:19" ht="18.75" customHeight="1" x14ac:dyDescent="0.25">
      <c r="A26" s="27"/>
      <c r="B26" s="14"/>
      <c r="C26" s="15"/>
      <c r="D26" s="15"/>
      <c r="E26" s="15"/>
      <c r="F26" s="15"/>
      <c r="G26" s="15"/>
      <c r="H26" s="18"/>
      <c r="I26" s="19"/>
      <c r="J26" s="153"/>
      <c r="K26" s="152"/>
      <c r="L26" s="152"/>
      <c r="M26" s="152"/>
      <c r="N26" s="152"/>
      <c r="O26" s="152"/>
      <c r="P26" s="152"/>
      <c r="Q26" s="152"/>
      <c r="R26" s="89"/>
    </row>
    <row r="27" spans="1:19" ht="18.75" customHeight="1" x14ac:dyDescent="0.25">
      <c r="A27" s="27"/>
      <c r="B27" s="14"/>
      <c r="C27" s="15"/>
      <c r="D27" s="15"/>
      <c r="E27" s="15"/>
      <c r="F27" s="15"/>
      <c r="G27" s="15"/>
      <c r="H27" s="18"/>
      <c r="I27" s="19"/>
      <c r="J27" s="154"/>
      <c r="K27" s="155"/>
      <c r="L27" s="151"/>
      <c r="M27" s="151"/>
      <c r="N27" s="151"/>
      <c r="O27" s="151"/>
      <c r="P27" s="151"/>
      <c r="Q27" s="151"/>
      <c r="R27" s="156"/>
    </row>
    <row r="28" spans="1:19" ht="18.75" customHeight="1" x14ac:dyDescent="0.25">
      <c r="A28" s="27"/>
      <c r="B28" s="2" t="s">
        <v>40</v>
      </c>
      <c r="C28" s="15"/>
      <c r="D28" s="15"/>
      <c r="F28" s="15"/>
      <c r="G28" s="12" t="s">
        <v>82</v>
      </c>
      <c r="H28" s="47">
        <v>0.5</v>
      </c>
      <c r="I28" s="19" t="s">
        <v>5</v>
      </c>
      <c r="J28" s="154"/>
      <c r="K28" s="155"/>
      <c r="L28" s="151"/>
      <c r="M28" s="151"/>
      <c r="N28" s="151"/>
      <c r="O28" s="151"/>
      <c r="P28" s="151"/>
      <c r="Q28" s="151"/>
      <c r="R28" s="156"/>
    </row>
    <row r="29" spans="1:19" ht="18.75" customHeight="1" x14ac:dyDescent="0.25">
      <c r="A29" s="27"/>
      <c r="B29" s="2" t="s">
        <v>41</v>
      </c>
      <c r="C29" s="15"/>
      <c r="D29" s="15"/>
      <c r="F29" s="15"/>
      <c r="G29" s="12" t="s">
        <v>50</v>
      </c>
      <c r="H29" s="47">
        <v>0.6</v>
      </c>
      <c r="I29" s="19" t="s">
        <v>5</v>
      </c>
      <c r="J29" s="157"/>
      <c r="K29" s="158"/>
      <c r="L29" s="25"/>
      <c r="M29" s="25"/>
      <c r="N29" s="25"/>
      <c r="O29" s="25"/>
      <c r="P29" s="25"/>
      <c r="Q29" s="25"/>
      <c r="R29" s="159"/>
    </row>
    <row r="30" spans="1:19" ht="18.75" customHeight="1" x14ac:dyDescent="0.25">
      <c r="A30" s="27"/>
      <c r="B30" s="2" t="s">
        <v>38</v>
      </c>
      <c r="C30" s="15"/>
      <c r="D30" s="15"/>
      <c r="F30" s="15"/>
      <c r="G30" s="12" t="s">
        <v>83</v>
      </c>
      <c r="H30" s="47">
        <v>1.6</v>
      </c>
      <c r="I30" s="19" t="s">
        <v>5</v>
      </c>
      <c r="J30" s="166"/>
      <c r="K30" s="167"/>
      <c r="L30" s="168"/>
      <c r="M30" s="168"/>
      <c r="N30" s="168"/>
      <c r="O30" s="168"/>
      <c r="P30" s="168"/>
      <c r="Q30" s="168"/>
      <c r="R30" s="169"/>
    </row>
    <row r="31" spans="1:19" ht="18.75" customHeight="1" x14ac:dyDescent="0.25">
      <c r="A31" s="27"/>
      <c r="B31" s="2" t="s">
        <v>39</v>
      </c>
      <c r="C31" s="15"/>
      <c r="D31" s="15"/>
      <c r="F31" s="15"/>
      <c r="G31" s="12" t="s">
        <v>84</v>
      </c>
      <c r="H31" s="47">
        <v>1.6</v>
      </c>
      <c r="I31" s="19" t="s">
        <v>5</v>
      </c>
      <c r="J31" s="170"/>
      <c r="K31" s="151"/>
      <c r="L31" s="151"/>
      <c r="M31" s="151"/>
      <c r="N31" s="151"/>
      <c r="O31" s="151"/>
      <c r="P31" s="151"/>
      <c r="Q31" s="151"/>
      <c r="R31" s="156"/>
    </row>
    <row r="32" spans="1:19" ht="18.75" customHeight="1" x14ac:dyDescent="0.25">
      <c r="A32" s="27"/>
      <c r="B32" s="2" t="s">
        <v>45</v>
      </c>
      <c r="C32" s="15"/>
      <c r="D32" s="15"/>
      <c r="F32" s="15"/>
      <c r="G32" s="12" t="s">
        <v>79</v>
      </c>
      <c r="H32" s="47">
        <v>0.4</v>
      </c>
      <c r="I32" s="19" t="s">
        <v>5</v>
      </c>
      <c r="J32" s="170"/>
      <c r="K32" s="151"/>
      <c r="L32" s="151"/>
      <c r="M32" s="151"/>
      <c r="N32" s="151"/>
      <c r="O32" s="151"/>
      <c r="P32" s="151"/>
      <c r="Q32" s="151"/>
      <c r="R32" s="156"/>
    </row>
    <row r="33" spans="1:18" ht="18.75" customHeight="1" x14ac:dyDescent="0.25">
      <c r="A33" s="27"/>
      <c r="B33" s="2" t="s">
        <v>60</v>
      </c>
      <c r="C33" s="15"/>
      <c r="D33" s="15"/>
      <c r="F33" s="15"/>
      <c r="G33" s="12" t="s">
        <v>61</v>
      </c>
      <c r="H33" s="48">
        <v>40</v>
      </c>
      <c r="I33" s="19"/>
      <c r="J33" s="170"/>
      <c r="K33" s="151"/>
      <c r="L33" s="151"/>
      <c r="M33" s="151"/>
      <c r="N33" s="151"/>
      <c r="O33" s="151"/>
      <c r="P33" s="151"/>
      <c r="Q33" s="151"/>
      <c r="R33" s="156"/>
    </row>
    <row r="34" spans="1:18" ht="18.75" customHeight="1" x14ac:dyDescent="0.25">
      <c r="A34" s="29"/>
      <c r="B34" s="6" t="s">
        <v>80</v>
      </c>
      <c r="C34" s="6"/>
      <c r="D34" s="13"/>
      <c r="E34" s="21"/>
      <c r="F34" s="22"/>
      <c r="G34" s="23" t="s">
        <v>81</v>
      </c>
      <c r="H34" s="75">
        <v>100</v>
      </c>
      <c r="I34" s="24" t="s">
        <v>0</v>
      </c>
      <c r="J34" s="170"/>
      <c r="K34" s="151"/>
      <c r="L34" s="151"/>
      <c r="M34" s="151"/>
      <c r="N34" s="151"/>
      <c r="O34" s="151"/>
      <c r="P34" s="151"/>
      <c r="Q34" s="151"/>
      <c r="R34" s="156"/>
    </row>
    <row r="35" spans="1:18" ht="18.75" customHeight="1" x14ac:dyDescent="0.25">
      <c r="A35" s="27"/>
      <c r="B35" s="100"/>
      <c r="C35" s="100"/>
      <c r="D35" s="100"/>
      <c r="E35" s="100"/>
      <c r="I35" s="20"/>
      <c r="J35" s="170"/>
      <c r="K35" s="151"/>
      <c r="L35" s="151"/>
      <c r="M35" s="151"/>
      <c r="N35" s="151"/>
      <c r="O35" s="151"/>
      <c r="P35" s="151"/>
      <c r="Q35" s="151"/>
      <c r="R35" s="156"/>
    </row>
    <row r="36" spans="1:18" ht="18.75" customHeight="1" x14ac:dyDescent="0.25">
      <c r="A36" s="27"/>
      <c r="B36" s="2" t="s">
        <v>124</v>
      </c>
      <c r="C36" s="15"/>
      <c r="D36" s="15"/>
      <c r="F36" s="15"/>
      <c r="G36" s="12" t="s">
        <v>123</v>
      </c>
      <c r="H36" s="101">
        <f>IF(H33=40,0,0.5*(H30-H28))</f>
        <v>0</v>
      </c>
      <c r="I36" s="19" t="s">
        <v>5</v>
      </c>
      <c r="J36" s="170"/>
      <c r="K36" s="151"/>
      <c r="L36" s="151"/>
      <c r="M36" s="151"/>
      <c r="N36" s="151"/>
      <c r="O36" s="151"/>
      <c r="P36" s="151"/>
      <c r="Q36" s="151"/>
      <c r="R36" s="156"/>
    </row>
    <row r="37" spans="1:18" ht="18.75" customHeight="1" x14ac:dyDescent="0.25">
      <c r="A37" s="27"/>
      <c r="B37" s="2"/>
      <c r="C37" s="15"/>
      <c r="D37" s="15"/>
      <c r="F37" s="15"/>
      <c r="G37" s="12" t="s">
        <v>122</v>
      </c>
      <c r="H37" s="101">
        <f>IF(H33=20,0.5*H31-0.5*H29,0)</f>
        <v>0</v>
      </c>
      <c r="I37" s="19" t="s">
        <v>5</v>
      </c>
      <c r="J37" s="170"/>
      <c r="K37" s="151"/>
      <c r="L37" s="151"/>
      <c r="M37" s="151"/>
      <c r="N37" s="151"/>
      <c r="O37" s="151"/>
      <c r="P37" s="151"/>
      <c r="Q37" s="151"/>
      <c r="R37" s="156"/>
    </row>
    <row r="38" spans="1:18" ht="18.75" customHeight="1" x14ac:dyDescent="0.25">
      <c r="A38" s="27"/>
      <c r="B38" s="2" t="s">
        <v>141</v>
      </c>
      <c r="C38" s="15"/>
      <c r="D38" s="15"/>
      <c r="F38" s="15"/>
      <c r="G38" s="12" t="s">
        <v>142</v>
      </c>
      <c r="H38" s="47">
        <v>-1.2</v>
      </c>
      <c r="I38" s="19" t="s">
        <v>5</v>
      </c>
      <c r="J38" s="170"/>
      <c r="K38" s="151"/>
      <c r="L38" s="151"/>
      <c r="M38" s="151"/>
      <c r="N38" s="151"/>
      <c r="O38" s="151"/>
      <c r="P38" s="151"/>
      <c r="Q38" s="151"/>
      <c r="R38" s="156"/>
    </row>
    <row r="39" spans="1:18" ht="18.75" customHeight="1" x14ac:dyDescent="0.25">
      <c r="A39" s="27"/>
      <c r="B39" s="100"/>
      <c r="C39" s="100"/>
      <c r="D39" s="100"/>
      <c r="E39" s="100"/>
      <c r="I39" s="20"/>
      <c r="J39" s="170"/>
      <c r="K39" s="155"/>
      <c r="L39" s="151"/>
      <c r="M39" s="151"/>
      <c r="N39" s="151"/>
      <c r="O39" s="151"/>
      <c r="P39" s="151"/>
      <c r="Q39" s="151"/>
      <c r="R39" s="156"/>
    </row>
    <row r="40" spans="1:18" s="8" customFormat="1" ht="18.75" customHeight="1" x14ac:dyDescent="0.25">
      <c r="A40" s="33" t="s">
        <v>46</v>
      </c>
      <c r="B40" s="34" t="s">
        <v>47</v>
      </c>
      <c r="C40" s="35"/>
      <c r="D40" s="35"/>
      <c r="E40" s="35"/>
      <c r="F40" s="35"/>
      <c r="G40" s="35"/>
      <c r="H40" s="35"/>
      <c r="I40" s="36"/>
      <c r="J40" s="170"/>
      <c r="K40" s="151"/>
      <c r="L40" s="151"/>
      <c r="M40" s="151"/>
      <c r="N40" s="151"/>
      <c r="O40" s="151"/>
      <c r="P40" s="151"/>
      <c r="Q40" s="151"/>
      <c r="R40" s="156"/>
    </row>
    <row r="41" spans="1:18" s="2" customFormat="1" ht="18.75" customHeight="1" x14ac:dyDescent="0.25">
      <c r="A41" s="30"/>
      <c r="B41" s="2" t="s">
        <v>145</v>
      </c>
      <c r="C41" s="15"/>
      <c r="D41" s="15"/>
      <c r="E41" s="15"/>
      <c r="F41" s="15"/>
      <c r="G41" s="12" t="s">
        <v>48</v>
      </c>
      <c r="H41" s="47">
        <v>17.2</v>
      </c>
      <c r="I41" s="19" t="s">
        <v>8</v>
      </c>
      <c r="J41" s="119"/>
      <c r="K41" s="171"/>
      <c r="L41" s="171"/>
      <c r="M41" s="171"/>
      <c r="N41" s="171"/>
      <c r="O41" s="171"/>
      <c r="P41" s="171"/>
      <c r="Q41" s="171"/>
      <c r="R41" s="88"/>
    </row>
    <row r="42" spans="1:18" s="8" customFormat="1" ht="18.75" customHeight="1" x14ac:dyDescent="0.25">
      <c r="A42" s="31"/>
      <c r="B42" s="8" t="s">
        <v>49</v>
      </c>
      <c r="G42" s="12" t="s">
        <v>50</v>
      </c>
      <c r="H42" s="47">
        <v>24</v>
      </c>
      <c r="I42" s="19" t="s">
        <v>8</v>
      </c>
      <c r="J42" s="172"/>
      <c r="K42" s="173"/>
      <c r="L42" s="173"/>
      <c r="M42" s="173"/>
      <c r="N42" s="173"/>
      <c r="O42" s="173"/>
      <c r="P42" s="173"/>
      <c r="Q42" s="173"/>
      <c r="R42" s="174"/>
    </row>
    <row r="43" spans="1:18" ht="18.75" customHeight="1" x14ac:dyDescent="0.25">
      <c r="A43" s="27"/>
      <c r="I43" s="20"/>
      <c r="J43" s="119"/>
      <c r="K43" s="171"/>
      <c r="L43" s="171"/>
      <c r="M43" s="171"/>
      <c r="N43" s="171"/>
      <c r="O43" s="171"/>
      <c r="P43" s="171"/>
      <c r="Q43" s="171"/>
      <c r="R43" s="88"/>
    </row>
    <row r="44" spans="1:18" ht="18.75" customHeight="1" x14ac:dyDescent="0.25">
      <c r="A44" s="32"/>
      <c r="B44" s="25"/>
      <c r="C44" s="25"/>
      <c r="D44" s="25"/>
      <c r="E44" s="25"/>
      <c r="F44" s="25"/>
      <c r="G44" s="25"/>
      <c r="H44" s="25"/>
      <c r="I44" s="26"/>
      <c r="J44" s="175"/>
      <c r="K44" s="25"/>
      <c r="L44" s="25"/>
      <c r="M44" s="25"/>
      <c r="N44" s="25"/>
      <c r="O44" s="25"/>
      <c r="P44" s="25"/>
      <c r="Q44" s="25"/>
      <c r="R44" s="159"/>
    </row>
    <row r="45" spans="1:18" ht="18.75" customHeight="1" x14ac:dyDescent="0.25">
      <c r="A45" s="71" t="s">
        <v>29</v>
      </c>
      <c r="B45" s="125" t="s">
        <v>62</v>
      </c>
      <c r="C45" s="125"/>
      <c r="D45" s="125"/>
      <c r="E45" s="125"/>
      <c r="F45" s="125"/>
      <c r="G45" s="72" t="s">
        <v>63</v>
      </c>
      <c r="H45" s="72" t="s">
        <v>64</v>
      </c>
      <c r="I45" s="73" t="s">
        <v>65</v>
      </c>
    </row>
    <row r="46" spans="1:18" ht="18.75" customHeight="1" x14ac:dyDescent="0.25">
      <c r="A46" s="67" t="s">
        <v>75</v>
      </c>
      <c r="B46" s="54" t="s">
        <v>78</v>
      </c>
      <c r="C46" s="55"/>
      <c r="D46" s="55"/>
      <c r="E46" s="55"/>
      <c r="F46" s="55"/>
      <c r="G46" s="55"/>
      <c r="H46" s="55"/>
      <c r="I46" s="56"/>
    </row>
    <row r="47" spans="1:18" ht="18.75" customHeight="1" x14ac:dyDescent="0.25">
      <c r="A47" s="33" t="s">
        <v>76</v>
      </c>
      <c r="B47" s="57" t="s">
        <v>52</v>
      </c>
      <c r="C47" s="58"/>
      <c r="D47" s="58"/>
      <c r="E47" s="58"/>
      <c r="F47" s="58"/>
      <c r="G47" s="58"/>
      <c r="H47" s="58"/>
      <c r="I47" s="59"/>
    </row>
    <row r="48" spans="1:18" ht="18.75" customHeight="1" x14ac:dyDescent="0.25">
      <c r="A48" s="28" t="s">
        <v>72</v>
      </c>
      <c r="B48" s="14" t="s">
        <v>53</v>
      </c>
      <c r="C48" s="60"/>
      <c r="D48" s="60"/>
      <c r="E48" s="60"/>
      <c r="F48" s="60"/>
      <c r="G48" s="60"/>
      <c r="H48" s="60"/>
      <c r="I48" s="61"/>
    </row>
    <row r="49" spans="1:9" ht="18.75" customHeight="1" x14ac:dyDescent="0.25">
      <c r="A49" s="28"/>
      <c r="B49" s="10" t="s">
        <v>18</v>
      </c>
      <c r="C49" s="60"/>
      <c r="D49" s="60"/>
      <c r="E49" s="60"/>
      <c r="F49" s="60"/>
      <c r="G49" s="2"/>
      <c r="H49" s="10"/>
      <c r="I49" s="62"/>
    </row>
    <row r="50" spans="1:9" ht="18.75" customHeight="1" x14ac:dyDescent="0.25">
      <c r="A50" s="28"/>
      <c r="B50" s="117" t="s">
        <v>147</v>
      </c>
      <c r="C50" s="60"/>
      <c r="D50" s="60"/>
      <c r="E50" s="60"/>
      <c r="F50" s="60"/>
      <c r="G50" s="12" t="s">
        <v>163</v>
      </c>
      <c r="H50" s="50">
        <f>1/TAN((H7/180*PI()))*((EXP((3*PI()/4-(H7/180*PI())/2)*TAN((H7/180*PI()))))^2/(2*(COS(PI()/4+(H7/180*PI())/2))^2)-1)</f>
        <v>52.637449090803408</v>
      </c>
      <c r="I50" s="62"/>
    </row>
    <row r="51" spans="1:9" ht="18.75" customHeight="1" x14ac:dyDescent="0.25">
      <c r="A51" s="28"/>
      <c r="B51" s="10"/>
      <c r="C51" s="60"/>
      <c r="D51" s="60"/>
      <c r="E51" s="60"/>
      <c r="F51" s="60"/>
      <c r="G51" s="12" t="s">
        <v>164</v>
      </c>
      <c r="H51" s="50">
        <f>(EXP((3*PI()/4-(H7/180*PI())/2)*TAN((H7/180*PI()))))^2/((2*(COS(PI()/4+(H7/180*PI())/2))^2))</f>
        <v>36.504407716606536</v>
      </c>
      <c r="I51" s="62"/>
    </row>
    <row r="52" spans="1:9" ht="18.75" customHeight="1" x14ac:dyDescent="0.25">
      <c r="A52" s="28"/>
      <c r="B52" s="10"/>
      <c r="C52" s="60"/>
      <c r="D52" s="60"/>
      <c r="E52" s="60"/>
      <c r="F52" s="60"/>
      <c r="G52" s="12" t="s">
        <v>165</v>
      </c>
      <c r="H52" s="50">
        <f>1/2*TAN((H7/180*PI()))*((3*(TAN((45+1/2*(H7+33))/180*PI()))^2)/(COS((H7/180*PI())))^2-1)</f>
        <v>35.226292320396446</v>
      </c>
      <c r="I52" s="62"/>
    </row>
    <row r="53" spans="1:9" ht="18.75" customHeight="1" x14ac:dyDescent="0.25">
      <c r="A53" s="28"/>
      <c r="B53" s="10"/>
      <c r="C53" s="60"/>
      <c r="D53" s="60"/>
      <c r="E53" s="60"/>
      <c r="F53" s="60"/>
      <c r="G53" s="16"/>
      <c r="H53" s="51"/>
      <c r="I53" s="62"/>
    </row>
    <row r="54" spans="1:9" ht="18.75" customHeight="1" x14ac:dyDescent="0.25">
      <c r="A54" s="28"/>
      <c r="B54" s="117" t="s">
        <v>148</v>
      </c>
      <c r="C54" s="60"/>
      <c r="D54" s="60"/>
      <c r="E54" s="110" t="s">
        <v>146</v>
      </c>
      <c r="F54" s="111" t="s">
        <v>152</v>
      </c>
      <c r="G54" s="111" t="s">
        <v>153</v>
      </c>
      <c r="H54" s="111" t="s">
        <v>154</v>
      </c>
      <c r="I54" s="62"/>
    </row>
    <row r="55" spans="1:9" ht="18.75" customHeight="1" x14ac:dyDescent="0.25">
      <c r="A55" s="28"/>
      <c r="B55" s="10"/>
      <c r="C55" s="60"/>
      <c r="D55" s="60"/>
      <c r="E55" s="112">
        <v>0</v>
      </c>
      <c r="F55" s="113">
        <v>5.7</v>
      </c>
      <c r="G55" s="113">
        <v>1</v>
      </c>
      <c r="H55" s="113">
        <v>0</v>
      </c>
      <c r="I55" s="62"/>
    </row>
    <row r="56" spans="1:9" ht="18.75" customHeight="1" x14ac:dyDescent="0.25">
      <c r="A56" s="28"/>
      <c r="B56" s="10"/>
      <c r="C56" s="60"/>
      <c r="D56" s="60"/>
      <c r="E56" s="112">
        <f>E55+5</f>
        <v>5</v>
      </c>
      <c r="F56" s="113">
        <v>6.7</v>
      </c>
      <c r="G56" s="113">
        <v>1.4</v>
      </c>
      <c r="H56" s="113">
        <v>0.2</v>
      </c>
      <c r="I56" s="62"/>
    </row>
    <row r="57" spans="1:9" ht="18.75" customHeight="1" x14ac:dyDescent="0.25">
      <c r="A57" s="28"/>
      <c r="B57" s="10"/>
      <c r="C57" s="60"/>
      <c r="D57" s="60"/>
      <c r="E57" s="112">
        <f>E56+5</f>
        <v>10</v>
      </c>
      <c r="F57" s="113">
        <v>8</v>
      </c>
      <c r="G57" s="113">
        <v>1.9</v>
      </c>
      <c r="H57" s="113">
        <v>0.5</v>
      </c>
      <c r="I57" s="62"/>
    </row>
    <row r="58" spans="1:9" ht="18.75" customHeight="1" x14ac:dyDescent="0.25">
      <c r="A58" s="28"/>
      <c r="B58" s="10"/>
      <c r="C58" s="60"/>
      <c r="D58" s="60"/>
      <c r="E58" s="112">
        <f>E57+5</f>
        <v>15</v>
      </c>
      <c r="F58" s="113">
        <v>9.6999999999999993</v>
      </c>
      <c r="G58" s="113">
        <v>2.7</v>
      </c>
      <c r="H58" s="113">
        <v>0.9</v>
      </c>
      <c r="I58" s="62"/>
    </row>
    <row r="59" spans="1:9" ht="18.75" customHeight="1" x14ac:dyDescent="0.25">
      <c r="A59" s="28"/>
      <c r="B59" s="10"/>
      <c r="C59" s="60"/>
      <c r="D59" s="60"/>
      <c r="E59" s="112">
        <f>E58+5</f>
        <v>20</v>
      </c>
      <c r="F59" s="113">
        <v>11.8</v>
      </c>
      <c r="G59" s="113">
        <v>3.9</v>
      </c>
      <c r="H59" s="113">
        <v>1.7</v>
      </c>
      <c r="I59" s="62"/>
    </row>
    <row r="60" spans="1:9" ht="18.75" customHeight="1" x14ac:dyDescent="0.25">
      <c r="A60" s="28"/>
      <c r="B60" s="10"/>
      <c r="C60" s="60"/>
      <c r="D60" s="60"/>
      <c r="E60" s="112">
        <f>E59+5</f>
        <v>25</v>
      </c>
      <c r="F60" s="113">
        <v>14.8</v>
      </c>
      <c r="G60" s="113">
        <v>5.6</v>
      </c>
      <c r="H60" s="113">
        <v>3.2</v>
      </c>
      <c r="I60" s="62"/>
    </row>
    <row r="61" spans="1:9" ht="18.75" customHeight="1" x14ac:dyDescent="0.25">
      <c r="A61" s="28"/>
      <c r="B61" s="10"/>
      <c r="C61" s="60"/>
      <c r="D61" s="60"/>
      <c r="E61" s="112">
        <f>E60+5</f>
        <v>30</v>
      </c>
      <c r="F61" s="113">
        <v>19</v>
      </c>
      <c r="G61" s="113">
        <v>8.3000000000000007</v>
      </c>
      <c r="H61" s="113">
        <v>5.7</v>
      </c>
      <c r="I61" s="62"/>
    </row>
    <row r="62" spans="1:9" ht="18.75" customHeight="1" x14ac:dyDescent="0.25">
      <c r="A62" s="28"/>
      <c r="B62" s="10"/>
      <c r="C62" s="60"/>
      <c r="D62" s="60"/>
      <c r="E62" s="112">
        <v>34</v>
      </c>
      <c r="F62" s="113">
        <v>23.7</v>
      </c>
      <c r="G62" s="113">
        <v>11.7</v>
      </c>
      <c r="H62" s="113">
        <v>9</v>
      </c>
      <c r="I62" s="62"/>
    </row>
    <row r="63" spans="1:9" ht="18.75" customHeight="1" x14ac:dyDescent="0.25">
      <c r="A63" s="28"/>
      <c r="B63" s="10"/>
      <c r="C63" s="60"/>
      <c r="D63" s="60"/>
      <c r="E63" s="112">
        <v>35</v>
      </c>
      <c r="F63" s="113">
        <v>25.2</v>
      </c>
      <c r="G63" s="113">
        <v>12.6</v>
      </c>
      <c r="H63" s="113">
        <v>10.1</v>
      </c>
      <c r="I63" s="62"/>
    </row>
    <row r="64" spans="1:9" ht="18.75" customHeight="1" x14ac:dyDescent="0.25">
      <c r="A64" s="28"/>
      <c r="B64" s="10"/>
      <c r="C64" s="60"/>
      <c r="D64" s="60"/>
      <c r="E64" s="112">
        <v>40</v>
      </c>
      <c r="F64" s="113">
        <v>34.9</v>
      </c>
      <c r="G64" s="113">
        <v>20.5</v>
      </c>
      <c r="H64" s="113">
        <v>18.8</v>
      </c>
      <c r="I64" s="62"/>
    </row>
    <row r="65" spans="1:9" ht="18.75" customHeight="1" x14ac:dyDescent="0.25">
      <c r="A65" s="28"/>
      <c r="B65" s="10"/>
      <c r="C65" s="60"/>
      <c r="D65" s="60"/>
      <c r="E65" s="112">
        <v>45</v>
      </c>
      <c r="F65" s="113">
        <v>51.2</v>
      </c>
      <c r="G65" s="113">
        <v>35.1</v>
      </c>
      <c r="H65" s="113">
        <v>37.700000000000003</v>
      </c>
      <c r="I65" s="62"/>
    </row>
    <row r="66" spans="1:9" ht="18.75" customHeight="1" x14ac:dyDescent="0.25">
      <c r="A66" s="28"/>
      <c r="B66" s="10"/>
      <c r="C66" s="60"/>
      <c r="D66" s="60"/>
      <c r="E66" s="112">
        <v>48</v>
      </c>
      <c r="F66" s="113">
        <v>66.8</v>
      </c>
      <c r="G66" s="113">
        <v>50.5</v>
      </c>
      <c r="H66" s="113">
        <v>60.4</v>
      </c>
      <c r="I66" s="62"/>
    </row>
    <row r="67" spans="1:9" ht="18.75" customHeight="1" x14ac:dyDescent="0.25">
      <c r="A67" s="28"/>
      <c r="B67" s="10"/>
      <c r="C67" s="60"/>
      <c r="D67" s="60"/>
      <c r="E67" s="112">
        <v>50</v>
      </c>
      <c r="F67" s="113">
        <v>81.3</v>
      </c>
      <c r="G67" s="113">
        <v>65.599999999999994</v>
      </c>
      <c r="H67" s="113">
        <v>87.1</v>
      </c>
      <c r="I67" s="62"/>
    </row>
    <row r="68" spans="1:9" ht="18.75" customHeight="1" x14ac:dyDescent="0.25">
      <c r="A68" s="28"/>
      <c r="B68" s="10"/>
      <c r="C68" s="60"/>
      <c r="D68" s="60"/>
      <c r="E68" s="60"/>
      <c r="F68" s="60"/>
      <c r="G68" s="16"/>
      <c r="H68" s="51"/>
      <c r="I68" s="62"/>
    </row>
    <row r="69" spans="1:9" ht="18.75" customHeight="1" x14ac:dyDescent="0.25">
      <c r="A69" s="28"/>
      <c r="B69" s="10"/>
      <c r="C69" s="60"/>
      <c r="D69" s="60"/>
      <c r="E69" s="110" t="s">
        <v>146</v>
      </c>
      <c r="F69" s="110" t="s">
        <v>149</v>
      </c>
      <c r="G69" s="110" t="s">
        <v>150</v>
      </c>
      <c r="H69" s="110" t="s">
        <v>151</v>
      </c>
      <c r="I69" s="62"/>
    </row>
    <row r="70" spans="1:9" ht="18.75" customHeight="1" x14ac:dyDescent="0.25">
      <c r="A70" s="28"/>
      <c r="B70" s="10"/>
      <c r="C70" s="60"/>
      <c r="D70" s="60"/>
      <c r="E70" s="116">
        <f>H7</f>
        <v>34</v>
      </c>
      <c r="F70" s="114">
        <f>IF(ISNUMBER(MATCH(E70, E55:E67, 0)), INDEX(F55:F67, MATCH(E70, E55:E67, 0)),
_xlfn.FORECAST.LINEAR(E70, INDEX(F55:F67, MATCH(E70, E55:E67, 1)):INDEX(F55:F67, MATCH(E70, E55:E67, 1)+1),
INDEX(E55:E67, MATCH(E70, E55:E67, 1)):INDEX(E55:E67, MATCH(E70, E55:E67, 1)+1)))</f>
        <v>23.7</v>
      </c>
      <c r="G70" s="114">
        <f>IF(ISNUMBER(MATCH(E70, E55:E67, 0)), INDEX(G55:G67, MATCH(E70, E55:E67, 0)),
_xlfn.FORECAST.LINEAR(E70, INDEX(G55:G67, MATCH(E70, E55:E67, 1)):INDEX(G55:G67, MATCH(E70, E55:E67, 1)+1),
INDEX(E55:E67, MATCH(E70, E55:E67, 1)):INDEX(E55:E67, MATCH(E70, E55:E67, 1)+1)))</f>
        <v>11.7</v>
      </c>
      <c r="H70" s="115">
        <f>IF(ISNUMBER(MATCH(E70, E55:E67, 0)), INDEX(H55:H67, MATCH(E70, E55:E67, 0)),
_xlfn.FORECAST.LINEAR(E70, INDEX(H55:H67, MATCH(E70, E55:E67, 1)):INDEX(H55:H67, MATCH(E70, E55:E67, 1)+1),
INDEX(E55:E67, MATCH(E70, E55:E67, 1)):INDEX(E55:E67, MATCH(E70, E55:E67, 1)+1)))</f>
        <v>9</v>
      </c>
      <c r="I70" s="62"/>
    </row>
    <row r="71" spans="1:9" ht="18.75" customHeight="1" x14ac:dyDescent="0.25">
      <c r="A71" s="28"/>
      <c r="B71" s="10"/>
      <c r="C71" s="60"/>
      <c r="D71" s="60"/>
      <c r="E71" s="95"/>
      <c r="F71" s="95"/>
      <c r="G71" s="95"/>
      <c r="H71" s="65"/>
      <c r="I71" s="62"/>
    </row>
    <row r="72" spans="1:9" ht="18.75" customHeight="1" x14ac:dyDescent="0.25">
      <c r="A72" s="28"/>
      <c r="B72" s="10" t="s">
        <v>155</v>
      </c>
      <c r="C72" s="60"/>
      <c r="D72" s="60"/>
      <c r="E72" s="60"/>
      <c r="F72" s="141" t="str">
        <f>IF(H7&lt;28,"Kegagalan geser lokal",IF(H7&lt;36,"Kegagalan geser lokal / umum",IF(H7&gt;=36,"Kegagalan geser umum","[ EROR ]")))</f>
        <v>Kegagalan geser lokal / umum</v>
      </c>
      <c r="G72" s="142"/>
      <c r="H72" s="143"/>
      <c r="I72" s="62"/>
    </row>
    <row r="73" spans="1:9" ht="18.75" customHeight="1" x14ac:dyDescent="0.25">
      <c r="A73" s="28"/>
      <c r="B73" s="10" t="s">
        <v>156</v>
      </c>
      <c r="C73" s="60"/>
      <c r="D73" s="60"/>
      <c r="E73" s="110" t="s">
        <v>146</v>
      </c>
      <c r="F73" s="110" t="s">
        <v>157</v>
      </c>
      <c r="G73" s="110" t="s">
        <v>158</v>
      </c>
      <c r="H73" s="110" t="s">
        <v>159</v>
      </c>
      <c r="I73" s="62"/>
    </row>
    <row r="74" spans="1:9" ht="18.75" customHeight="1" x14ac:dyDescent="0.25">
      <c r="A74" s="28"/>
      <c r="B74" s="117" t="s">
        <v>147</v>
      </c>
      <c r="C74" s="60"/>
      <c r="D74" s="60"/>
      <c r="E74" s="144">
        <f>E70</f>
        <v>34</v>
      </c>
      <c r="F74" s="114">
        <f>H50</f>
        <v>52.637449090803408</v>
      </c>
      <c r="G74" s="114">
        <f>H51</f>
        <v>36.504407716606536</v>
      </c>
      <c r="H74" s="114">
        <f>H52</f>
        <v>35.226292320396446</v>
      </c>
      <c r="I74" s="62"/>
    </row>
    <row r="75" spans="1:9" ht="18.75" customHeight="1" x14ac:dyDescent="0.25">
      <c r="A75" s="28"/>
      <c r="B75" s="117" t="s">
        <v>148</v>
      </c>
      <c r="C75" s="60"/>
      <c r="D75" s="60"/>
      <c r="E75" s="145"/>
      <c r="F75" s="114">
        <f>F70</f>
        <v>23.7</v>
      </c>
      <c r="G75" s="114">
        <f>G70</f>
        <v>11.7</v>
      </c>
      <c r="H75" s="114">
        <f>H70</f>
        <v>9</v>
      </c>
      <c r="I75" s="62"/>
    </row>
    <row r="76" spans="1:9" ht="18.75" customHeight="1" x14ac:dyDescent="0.25">
      <c r="A76" s="28"/>
      <c r="B76" s="10"/>
      <c r="C76" s="60"/>
      <c r="D76" s="60"/>
      <c r="E76" s="60"/>
      <c r="F76" s="60"/>
      <c r="G76" s="118"/>
      <c r="H76" s="118"/>
      <c r="I76" s="62"/>
    </row>
    <row r="77" spans="1:9" ht="18.75" customHeight="1" x14ac:dyDescent="0.25">
      <c r="A77" s="28"/>
      <c r="B77" s="10" t="s">
        <v>19</v>
      </c>
      <c r="C77" s="60"/>
      <c r="D77" s="60"/>
      <c r="E77" s="60"/>
      <c r="F77" s="60"/>
      <c r="G77" s="12" t="s">
        <v>160</v>
      </c>
      <c r="H77" s="49">
        <f>H8*F74*(1+0.3*MIN(H30:H31)/MAX(H30:H31))+ABS(H4)*H5*G74+0.5*MIN(H30:H31)*H74*(1-0.2*MIN(H30:H31)/MAX(H30:H31))</f>
        <v>1190.6858740164628</v>
      </c>
      <c r="I77" s="62" t="s">
        <v>17</v>
      </c>
    </row>
    <row r="78" spans="1:9" ht="18.75" customHeight="1" x14ac:dyDescent="0.25">
      <c r="A78" s="28"/>
      <c r="B78" s="10"/>
      <c r="C78" s="60"/>
      <c r="D78" s="60"/>
      <c r="E78" s="60"/>
      <c r="F78" s="60"/>
      <c r="G78" s="12" t="s">
        <v>161</v>
      </c>
      <c r="H78" s="49">
        <f>H8*F75*(1+0.3*MIN(H30:H31)/MAX(H30:H31))+ABS(H4)*H5*G75+0.5*MIN(H30:H31)*H75*(1-0.2*MIN(H30:H31)/MAX(H30:H31))</f>
        <v>380.15999999999997</v>
      </c>
      <c r="I78" s="62" t="s">
        <v>17</v>
      </c>
    </row>
    <row r="79" spans="1:9" ht="18.75" customHeight="1" x14ac:dyDescent="0.25">
      <c r="A79" s="28"/>
      <c r="B79" s="10"/>
      <c r="C79" s="60"/>
      <c r="D79" s="60"/>
      <c r="E79" s="60"/>
      <c r="F79" s="60"/>
      <c r="G79" s="12" t="s">
        <v>162</v>
      </c>
      <c r="H79" s="49">
        <f>IF(H7&lt;28,H78,IF(H7&lt;36,(H78*(36-H7)+H77*(H7-28))/8,IF(H7&gt;=36,H77,"[ EROR ]")))</f>
        <v>988.0544055123471</v>
      </c>
      <c r="I79" s="62" t="s">
        <v>17</v>
      </c>
    </row>
    <row r="80" spans="1:9" ht="18.75" customHeight="1" x14ac:dyDescent="0.25">
      <c r="A80" s="28"/>
      <c r="B80" s="10" t="s">
        <v>20</v>
      </c>
      <c r="C80" s="60"/>
      <c r="D80" s="60"/>
      <c r="E80" s="60"/>
      <c r="F80" s="60"/>
      <c r="G80" s="63" t="s">
        <v>22</v>
      </c>
      <c r="H80" s="49">
        <f>H79/3+(IF(H38&gt;H4,((H5*ABS(H38)+(H6*ABS(H4-H38)))/ABS(H4)),H5))*ABS(H4)</f>
        <v>362.95146850411572</v>
      </c>
      <c r="I80" s="62" t="s">
        <v>17</v>
      </c>
    </row>
    <row r="81" spans="1:9" ht="18.75" customHeight="1" x14ac:dyDescent="0.25">
      <c r="A81" s="28"/>
      <c r="B81" s="60"/>
      <c r="C81" s="60"/>
      <c r="D81" s="60"/>
      <c r="E81" s="60"/>
      <c r="F81" s="60"/>
      <c r="G81" s="16"/>
      <c r="H81" s="64"/>
      <c r="I81" s="61"/>
    </row>
    <row r="82" spans="1:9" ht="18.75" customHeight="1" x14ac:dyDescent="0.25">
      <c r="A82" s="28" t="s">
        <v>73</v>
      </c>
      <c r="B82" s="14" t="s">
        <v>54</v>
      </c>
      <c r="C82" s="10"/>
      <c r="D82" s="10"/>
      <c r="E82" s="10"/>
      <c r="F82" s="10"/>
      <c r="G82" s="10"/>
      <c r="H82" s="10"/>
      <c r="I82" s="62"/>
    </row>
    <row r="83" spans="1:9" ht="18.75" customHeight="1" x14ac:dyDescent="0.25">
      <c r="A83" s="28"/>
      <c r="B83" s="10" t="s">
        <v>21</v>
      </c>
      <c r="C83" s="10"/>
      <c r="D83" s="10"/>
      <c r="E83" s="10"/>
      <c r="F83" s="10"/>
      <c r="G83" s="63" t="s">
        <v>22</v>
      </c>
      <c r="H83" s="49">
        <f>H9/33*0.85*((MIN(H30:H31)+0.3)/MIN(H30:H31))^2*IF((1+0.33*ABS(H4)/MIN(H30:H31))&gt;1.33,1.33,(1+0.33*ABS(H4)/MIN(H30:H31)))*100</f>
        <v>966.17069128787887</v>
      </c>
      <c r="I83" s="62" t="s">
        <v>17</v>
      </c>
    </row>
    <row r="84" spans="1:9" ht="18.75" customHeight="1" x14ac:dyDescent="0.25">
      <c r="A84" s="28"/>
      <c r="B84" s="10"/>
      <c r="C84" s="10"/>
      <c r="D84" s="10"/>
      <c r="E84" s="10"/>
      <c r="F84" s="10"/>
      <c r="G84" s="10"/>
      <c r="H84" s="10"/>
      <c r="I84" s="62"/>
    </row>
    <row r="85" spans="1:9" ht="18.75" customHeight="1" x14ac:dyDescent="0.25">
      <c r="A85" s="28" t="s">
        <v>74</v>
      </c>
      <c r="B85" s="14" t="s">
        <v>55</v>
      </c>
      <c r="C85" s="10"/>
      <c r="D85" s="10"/>
      <c r="E85" s="10"/>
      <c r="F85" s="10"/>
      <c r="G85" s="10"/>
      <c r="H85" s="10"/>
      <c r="I85" s="62"/>
    </row>
    <row r="86" spans="1:9" ht="18.75" customHeight="1" x14ac:dyDescent="0.25">
      <c r="A86" s="28"/>
      <c r="B86" s="10" t="s">
        <v>23</v>
      </c>
      <c r="C86" s="10"/>
      <c r="D86" s="10"/>
      <c r="E86" s="10"/>
      <c r="F86" s="10"/>
      <c r="G86" s="63" t="s">
        <v>22</v>
      </c>
      <c r="H86" s="49">
        <f>H80</f>
        <v>362.95146850411572</v>
      </c>
      <c r="I86" s="62" t="s">
        <v>17</v>
      </c>
    </row>
    <row r="87" spans="1:9" ht="18.75" customHeight="1" x14ac:dyDescent="0.25">
      <c r="A87" s="28"/>
      <c r="B87" s="10" t="s">
        <v>24</v>
      </c>
      <c r="C87" s="10"/>
      <c r="D87" s="10"/>
      <c r="E87" s="10"/>
      <c r="F87" s="10"/>
      <c r="G87" s="63" t="s">
        <v>22</v>
      </c>
      <c r="H87" s="49">
        <f>H83</f>
        <v>966.17069128787887</v>
      </c>
      <c r="I87" s="62" t="s">
        <v>17</v>
      </c>
    </row>
    <row r="88" spans="1:9" ht="18.75" customHeight="1" x14ac:dyDescent="0.25">
      <c r="A88" s="28"/>
      <c r="B88" s="10" t="s">
        <v>25</v>
      </c>
      <c r="C88" s="10"/>
      <c r="D88" s="10"/>
      <c r="E88" s="10"/>
      <c r="F88" s="10"/>
      <c r="G88" s="63" t="s">
        <v>22</v>
      </c>
      <c r="H88" s="176">
        <f>MIN(H86:H87)</f>
        <v>362.95146850411572</v>
      </c>
      <c r="I88" s="62" t="s">
        <v>17</v>
      </c>
    </row>
    <row r="89" spans="1:9" ht="18.75" customHeight="1" x14ac:dyDescent="0.25">
      <c r="A89" s="28"/>
      <c r="B89" s="10"/>
      <c r="C89" s="10"/>
      <c r="D89" s="10"/>
      <c r="E89" s="10"/>
      <c r="F89" s="10"/>
      <c r="G89" s="63"/>
      <c r="H89" s="52"/>
      <c r="I89" s="62"/>
    </row>
    <row r="90" spans="1:9" ht="18.75" customHeight="1" x14ac:dyDescent="0.25">
      <c r="A90" s="28"/>
      <c r="B90" s="60"/>
      <c r="C90" s="60"/>
      <c r="D90" s="60"/>
      <c r="E90" s="60"/>
      <c r="F90" s="60"/>
      <c r="G90" s="60"/>
      <c r="H90" s="60"/>
      <c r="I90" s="61"/>
    </row>
    <row r="91" spans="1:9" ht="18.75" customHeight="1" x14ac:dyDescent="0.25">
      <c r="A91" s="33" t="s">
        <v>77</v>
      </c>
      <c r="B91" s="57" t="s">
        <v>56</v>
      </c>
      <c r="C91" s="58"/>
      <c r="D91" s="58"/>
      <c r="E91" s="58"/>
      <c r="F91" s="58"/>
      <c r="G91" s="58"/>
      <c r="H91" s="58"/>
      <c r="I91" s="59"/>
    </row>
    <row r="92" spans="1:9" ht="18.75" customHeight="1" x14ac:dyDescent="0.25">
      <c r="A92" s="28"/>
      <c r="B92" s="10" t="s">
        <v>57</v>
      </c>
      <c r="C92" s="10"/>
      <c r="D92" s="10"/>
      <c r="E92" s="10"/>
      <c r="F92" s="10"/>
      <c r="G92" s="63" t="s">
        <v>166</v>
      </c>
      <c r="H92" s="176">
        <f>H42*(H30*H31)*H32</f>
        <v>24.576000000000008</v>
      </c>
      <c r="I92" s="62" t="s">
        <v>2</v>
      </c>
    </row>
    <row r="93" spans="1:9" ht="18.75" customHeight="1" x14ac:dyDescent="0.25">
      <c r="A93" s="28"/>
      <c r="B93" s="10" t="s">
        <v>58</v>
      </c>
      <c r="C93" s="10"/>
      <c r="D93" s="10"/>
      <c r="E93" s="10"/>
      <c r="F93" s="10"/>
      <c r="G93" s="63" t="s">
        <v>167</v>
      </c>
      <c r="H93" s="176">
        <f>H41*(ABS(H4)-H32)*((H30*H31)-(H28*H29))</f>
        <v>62.195200000000021</v>
      </c>
      <c r="I93" s="62" t="s">
        <v>2</v>
      </c>
    </row>
    <row r="94" spans="1:9" ht="18.75" customHeight="1" x14ac:dyDescent="0.25">
      <c r="A94" s="28"/>
      <c r="B94" s="10" t="s">
        <v>59</v>
      </c>
      <c r="C94" s="10"/>
      <c r="D94" s="10"/>
      <c r="E94" s="10"/>
      <c r="F94" s="10"/>
      <c r="G94" s="63" t="s">
        <v>168</v>
      </c>
      <c r="H94" s="176">
        <f>H92+H93</f>
        <v>86.771200000000022</v>
      </c>
      <c r="I94" s="62" t="s">
        <v>2</v>
      </c>
    </row>
    <row r="95" spans="1:9" ht="18.75" customHeight="1" x14ac:dyDescent="0.25">
      <c r="A95" s="28"/>
      <c r="B95" s="10"/>
      <c r="C95" s="10"/>
      <c r="D95" s="10"/>
      <c r="E95" s="10"/>
      <c r="F95" s="10"/>
      <c r="G95" s="63"/>
      <c r="H95" s="53"/>
      <c r="I95" s="62"/>
    </row>
    <row r="96" spans="1:9" ht="18.75" customHeight="1" x14ac:dyDescent="0.25">
      <c r="A96" s="28"/>
      <c r="B96" s="10" t="s">
        <v>132</v>
      </c>
      <c r="C96" s="10"/>
      <c r="D96" s="10"/>
      <c r="E96" s="10"/>
      <c r="F96" s="10"/>
      <c r="G96" s="63"/>
      <c r="H96" s="52"/>
      <c r="I96" s="62"/>
    </row>
    <row r="97" spans="1:9" ht="18.75" customHeight="1" x14ac:dyDescent="0.25">
      <c r="A97" s="28"/>
      <c r="B97" s="2" t="s">
        <v>124</v>
      </c>
      <c r="C97" s="15"/>
      <c r="D97" s="15"/>
      <c r="F97" s="15"/>
      <c r="G97" s="12" t="s">
        <v>123</v>
      </c>
      <c r="H97" s="77">
        <f>H36</f>
        <v>0</v>
      </c>
      <c r="I97" s="19" t="s">
        <v>5</v>
      </c>
    </row>
    <row r="98" spans="1:9" ht="18.75" customHeight="1" x14ac:dyDescent="0.25">
      <c r="A98" s="28"/>
      <c r="B98" s="2"/>
      <c r="C98" s="15"/>
      <c r="D98" s="15"/>
      <c r="F98" s="15"/>
      <c r="G98" s="12" t="s">
        <v>122</v>
      </c>
      <c r="H98" s="77">
        <f>H37</f>
        <v>0</v>
      </c>
      <c r="I98" s="19" t="s">
        <v>5</v>
      </c>
    </row>
    <row r="99" spans="1:9" ht="18.75" customHeight="1" x14ac:dyDescent="0.25">
      <c r="A99" s="28"/>
      <c r="B99" s="10"/>
      <c r="C99" s="10"/>
      <c r="D99" s="10"/>
      <c r="E99" s="10"/>
      <c r="F99" s="10"/>
      <c r="G99" s="63"/>
      <c r="H99" s="53"/>
      <c r="I99" s="62"/>
    </row>
    <row r="100" spans="1:9" ht="18.75" customHeight="1" x14ac:dyDescent="0.25">
      <c r="A100" s="28"/>
      <c r="B100" s="137" t="s">
        <v>30</v>
      </c>
      <c r="C100" s="138"/>
      <c r="D100" s="127" t="s">
        <v>31</v>
      </c>
      <c r="E100" s="127" t="s">
        <v>32</v>
      </c>
      <c r="F100" s="68" t="s">
        <v>68</v>
      </c>
      <c r="G100" s="68" t="s">
        <v>69</v>
      </c>
      <c r="H100" s="68" t="s">
        <v>70</v>
      </c>
      <c r="I100" s="106"/>
    </row>
    <row r="101" spans="1:9" ht="18.75" customHeight="1" x14ac:dyDescent="0.25">
      <c r="A101" s="28"/>
      <c r="B101" s="139"/>
      <c r="C101" s="140"/>
      <c r="D101" s="136"/>
      <c r="E101" s="136"/>
      <c r="F101" s="105" t="s">
        <v>2</v>
      </c>
      <c r="G101" s="105" t="s">
        <v>1</v>
      </c>
      <c r="H101" s="105" t="s">
        <v>1</v>
      </c>
      <c r="I101" s="106"/>
    </row>
    <row r="102" spans="1:9" ht="18.75" customHeight="1" x14ac:dyDescent="0.25">
      <c r="A102" s="28"/>
      <c r="B102" s="134" t="s">
        <v>126</v>
      </c>
      <c r="C102" s="134"/>
      <c r="D102" s="102" t="s">
        <v>33</v>
      </c>
      <c r="E102" s="83" t="s">
        <v>27</v>
      </c>
      <c r="F102" s="84">
        <f>ABS(P20)+1.2*H94</f>
        <v>724.12544000000003</v>
      </c>
      <c r="G102" s="91"/>
      <c r="H102" s="91"/>
      <c r="I102" s="106"/>
    </row>
    <row r="103" spans="1:9" ht="18.75" customHeight="1" x14ac:dyDescent="0.25">
      <c r="A103" s="28"/>
      <c r="B103" s="134" t="s">
        <v>127</v>
      </c>
      <c r="C103" s="134"/>
      <c r="D103" s="102" t="s">
        <v>33</v>
      </c>
      <c r="E103" s="83" t="s">
        <v>27</v>
      </c>
      <c r="F103" s="84">
        <f>ABS(P21)+H94</f>
        <v>306.77120000000002</v>
      </c>
      <c r="G103" s="84">
        <f>ABS(Q21)+F103*H97</f>
        <v>8</v>
      </c>
      <c r="H103" s="84">
        <f>ABS(R21)+F103*H98</f>
        <v>14</v>
      </c>
      <c r="I103" s="106"/>
    </row>
    <row r="104" spans="1:9" ht="18.75" customHeight="1" x14ac:dyDescent="0.25">
      <c r="A104" s="28"/>
      <c r="B104" s="135" t="s">
        <v>128</v>
      </c>
      <c r="C104" s="135"/>
      <c r="D104" s="103" t="s">
        <v>33</v>
      </c>
      <c r="E104" s="86" t="s">
        <v>27</v>
      </c>
      <c r="F104" s="87">
        <f>ABS(P22)+H94</f>
        <v>256.77120000000002</v>
      </c>
      <c r="G104" s="87">
        <f>ABS(Q22)+F104*H97</f>
        <v>60</v>
      </c>
      <c r="H104" s="87">
        <f>ABS(R22)+F104*H98</f>
        <v>90</v>
      </c>
      <c r="I104" s="106"/>
    </row>
    <row r="105" spans="1:9" ht="18.75" customHeight="1" x14ac:dyDescent="0.25">
      <c r="A105" s="28"/>
      <c r="B105" s="135" t="s">
        <v>129</v>
      </c>
      <c r="C105" s="135"/>
      <c r="D105" s="103" t="s">
        <v>33</v>
      </c>
      <c r="E105" s="86" t="s">
        <v>28</v>
      </c>
      <c r="F105" s="87">
        <f>ABS(P23)+H94</f>
        <v>176.77120000000002</v>
      </c>
      <c r="G105" s="87">
        <f>ABS(Q23)+F105*H97</f>
        <v>30</v>
      </c>
      <c r="H105" s="87">
        <f>ABS(R23)+F105*H98</f>
        <v>95</v>
      </c>
      <c r="I105" s="106"/>
    </row>
    <row r="106" spans="1:9" ht="18.75" customHeight="1" x14ac:dyDescent="0.25">
      <c r="A106" s="28"/>
      <c r="B106" s="133" t="s">
        <v>130</v>
      </c>
      <c r="C106" s="133"/>
      <c r="D106" s="104" t="s">
        <v>33</v>
      </c>
      <c r="E106" s="80" t="s">
        <v>27</v>
      </c>
      <c r="F106" s="81">
        <f>ABS(P24)+H94</f>
        <v>246.77120000000002</v>
      </c>
      <c r="G106" s="81">
        <f>ABS(Q24)+F106*H97</f>
        <v>110</v>
      </c>
      <c r="H106" s="81">
        <f>ABS(R24)+F106*H98</f>
        <v>40</v>
      </c>
      <c r="I106" s="106"/>
    </row>
    <row r="107" spans="1:9" ht="18.75" customHeight="1" x14ac:dyDescent="0.25">
      <c r="A107" s="28"/>
      <c r="B107" s="133" t="s">
        <v>131</v>
      </c>
      <c r="C107" s="133"/>
      <c r="D107" s="104" t="s">
        <v>33</v>
      </c>
      <c r="E107" s="80" t="s">
        <v>28</v>
      </c>
      <c r="F107" s="81">
        <f>ABS(P25)+H94</f>
        <v>186.77120000000002</v>
      </c>
      <c r="G107" s="81">
        <f>ABS(Q25)+F107*H97</f>
        <v>90</v>
      </c>
      <c r="H107" s="81">
        <f>ABS(R25)+F107*H98</f>
        <v>30</v>
      </c>
      <c r="I107" s="106"/>
    </row>
    <row r="108" spans="1:9" ht="18.75" customHeight="1" x14ac:dyDescent="0.25">
      <c r="A108" s="120"/>
      <c r="B108" s="121"/>
      <c r="C108" s="10"/>
      <c r="D108" s="10"/>
      <c r="E108" s="10"/>
      <c r="F108" s="10"/>
      <c r="G108" s="63"/>
      <c r="H108" s="53"/>
      <c r="I108" s="62"/>
    </row>
    <row r="109" spans="1:9" ht="18.75" customHeight="1" x14ac:dyDescent="0.25">
      <c r="A109" s="120"/>
      <c r="B109" s="122" t="s">
        <v>133</v>
      </c>
      <c r="C109" s="10"/>
      <c r="D109" s="10"/>
      <c r="E109" s="10"/>
      <c r="F109" s="10"/>
      <c r="G109" s="63" t="s">
        <v>169</v>
      </c>
      <c r="H109" s="49">
        <f>1/6*H31*H30^2</f>
        <v>0.68266666666666675</v>
      </c>
      <c r="I109" s="62" t="s">
        <v>26</v>
      </c>
    </row>
    <row r="110" spans="1:9" ht="18.75" customHeight="1" x14ac:dyDescent="0.25">
      <c r="A110" s="120"/>
      <c r="B110" s="122" t="s">
        <v>134</v>
      </c>
      <c r="C110" s="10"/>
      <c r="D110" s="10"/>
      <c r="E110" s="10"/>
      <c r="F110" s="10"/>
      <c r="G110" s="63" t="s">
        <v>170</v>
      </c>
      <c r="H110" s="49">
        <f>1/6*H30*H31^2</f>
        <v>0.68266666666666675</v>
      </c>
      <c r="I110" s="62" t="s">
        <v>26</v>
      </c>
    </row>
    <row r="111" spans="1:9" ht="18.75" customHeight="1" x14ac:dyDescent="0.25">
      <c r="A111" s="120"/>
      <c r="B111" s="122"/>
      <c r="C111" s="10"/>
      <c r="D111" s="10"/>
      <c r="E111" s="10"/>
      <c r="F111" s="10"/>
      <c r="G111" s="10"/>
      <c r="H111" s="10"/>
      <c r="I111" s="62"/>
    </row>
    <row r="112" spans="1:9" ht="18.75" customHeight="1" x14ac:dyDescent="0.25">
      <c r="A112" s="74"/>
      <c r="B112" s="122"/>
      <c r="C112" s="10"/>
      <c r="D112" s="10"/>
      <c r="E112" s="10"/>
      <c r="F112" s="10"/>
      <c r="G112" s="10"/>
      <c r="H112" s="10"/>
      <c r="I112" s="62"/>
    </row>
    <row r="113" spans="1:9" ht="18.75" customHeight="1" x14ac:dyDescent="0.25">
      <c r="A113" s="74"/>
      <c r="B113" s="122"/>
      <c r="C113" s="10"/>
      <c r="D113" s="10"/>
      <c r="E113" s="10"/>
      <c r="F113" s="10"/>
      <c r="G113" s="10"/>
      <c r="H113" s="10"/>
      <c r="I113" s="62"/>
    </row>
    <row r="114" spans="1:9" ht="18.75" customHeight="1" x14ac:dyDescent="0.25">
      <c r="A114" s="74"/>
      <c r="B114" s="122"/>
      <c r="C114" s="10"/>
      <c r="D114" s="10"/>
      <c r="E114" s="10"/>
      <c r="F114" s="10"/>
      <c r="G114" s="10"/>
      <c r="H114" s="10"/>
      <c r="I114" s="62"/>
    </row>
    <row r="115" spans="1:9" ht="18.75" customHeight="1" x14ac:dyDescent="0.25">
      <c r="A115" s="74"/>
      <c r="B115" s="122"/>
      <c r="C115" s="10"/>
      <c r="D115" s="10"/>
      <c r="E115" s="10"/>
      <c r="F115" s="10"/>
      <c r="G115" s="10"/>
      <c r="H115" s="10"/>
      <c r="I115" s="62"/>
    </row>
    <row r="116" spans="1:9" ht="18.75" customHeight="1" x14ac:dyDescent="0.25">
      <c r="A116" s="74"/>
      <c r="B116" s="122"/>
      <c r="C116" s="10"/>
      <c r="D116" s="10"/>
      <c r="E116" s="10"/>
      <c r="F116" s="10"/>
      <c r="G116" s="10"/>
      <c r="H116" s="10"/>
      <c r="I116" s="62"/>
    </row>
    <row r="117" spans="1:9" ht="18.75" customHeight="1" x14ac:dyDescent="0.25">
      <c r="A117" s="74"/>
      <c r="B117" s="122"/>
      <c r="C117" s="10"/>
      <c r="D117" s="10"/>
      <c r="E117" s="10"/>
      <c r="F117" s="10"/>
      <c r="G117" s="10"/>
      <c r="H117" s="10"/>
      <c r="I117" s="62"/>
    </row>
    <row r="118" spans="1:9" ht="18.75" customHeight="1" x14ac:dyDescent="0.25">
      <c r="A118" s="74"/>
      <c r="B118" s="122"/>
      <c r="C118" s="10"/>
      <c r="D118" s="10"/>
      <c r="E118" s="10"/>
      <c r="F118" s="10"/>
      <c r="G118" s="10"/>
      <c r="H118" s="10"/>
      <c r="I118" s="62"/>
    </row>
    <row r="119" spans="1:9" ht="18.75" customHeight="1" x14ac:dyDescent="0.25">
      <c r="A119" s="74"/>
      <c r="B119" s="122"/>
      <c r="C119" s="10"/>
      <c r="D119" s="10"/>
      <c r="E119" s="10"/>
      <c r="F119" s="10"/>
      <c r="G119" s="10"/>
      <c r="H119" s="10"/>
      <c r="I119" s="62"/>
    </row>
    <row r="120" spans="1:9" ht="18.75" customHeight="1" x14ac:dyDescent="0.25">
      <c r="A120" s="74"/>
      <c r="B120" s="122"/>
      <c r="C120" s="10"/>
      <c r="D120" s="10"/>
      <c r="E120" s="10"/>
      <c r="F120" s="10"/>
      <c r="G120" s="10"/>
      <c r="H120" s="10"/>
      <c r="I120" s="62"/>
    </row>
    <row r="121" spans="1:9" ht="18.75" customHeight="1" x14ac:dyDescent="0.25">
      <c r="A121" s="74"/>
      <c r="B121" s="122"/>
      <c r="C121" s="10"/>
      <c r="D121" s="10"/>
      <c r="E121" s="10"/>
      <c r="F121" s="10"/>
      <c r="G121" s="10"/>
      <c r="H121" s="10"/>
      <c r="I121" s="62"/>
    </row>
    <row r="122" spans="1:9" ht="18.75" customHeight="1" x14ac:dyDescent="0.25">
      <c r="A122" s="74"/>
      <c r="B122" s="122"/>
      <c r="C122" s="10"/>
      <c r="D122" s="10"/>
      <c r="E122" s="10"/>
      <c r="F122" s="107"/>
      <c r="G122" s="10"/>
      <c r="H122" s="10"/>
      <c r="I122" s="62"/>
    </row>
    <row r="123" spans="1:9" ht="18.75" customHeight="1" x14ac:dyDescent="0.25">
      <c r="A123" s="74"/>
      <c r="B123" s="123"/>
      <c r="C123" s="10"/>
      <c r="D123" s="10"/>
      <c r="E123" s="10"/>
      <c r="F123" s="107"/>
      <c r="G123" s="10"/>
      <c r="H123" s="10"/>
      <c r="I123" s="62"/>
    </row>
    <row r="124" spans="1:9" ht="18.75" customHeight="1" x14ac:dyDescent="0.25">
      <c r="A124" s="109"/>
      <c r="B124" s="127" t="s">
        <v>30</v>
      </c>
      <c r="C124" s="127"/>
      <c r="D124" s="68" t="s">
        <v>139</v>
      </c>
      <c r="E124" s="68" t="s">
        <v>135</v>
      </c>
      <c r="F124" s="68" t="s">
        <v>138</v>
      </c>
      <c r="G124" s="129" t="s">
        <v>137</v>
      </c>
      <c r="H124" s="129"/>
      <c r="I124" s="62"/>
    </row>
    <row r="125" spans="1:9" ht="18.75" customHeight="1" x14ac:dyDescent="0.25">
      <c r="A125" s="109"/>
      <c r="B125" s="127"/>
      <c r="C125" s="127"/>
      <c r="D125" s="108" t="s">
        <v>136</v>
      </c>
      <c r="E125" s="108" t="s">
        <v>136</v>
      </c>
      <c r="F125" s="108" t="s">
        <v>136</v>
      </c>
      <c r="G125" s="130"/>
      <c r="H125" s="130"/>
      <c r="I125" s="62"/>
    </row>
    <row r="126" spans="1:9" ht="18.75" customHeight="1" x14ac:dyDescent="0.25">
      <c r="A126" s="109"/>
      <c r="B126" s="132" t="s">
        <v>127</v>
      </c>
      <c r="C126" s="132"/>
      <c r="D126" s="49">
        <f>IF(F103/(H30*H31)-G103/H110-H103/H109&gt;=0,F103/(H30*H31)-G103/H110-H103/H109,0)</f>
        <v>87.605937499999982</v>
      </c>
      <c r="E126" s="4">
        <f>F103/(H30*H31)+G103/H110+H103/H109</f>
        <v>152.05906249999998</v>
      </c>
      <c r="F126" s="128">
        <f>H80</f>
        <v>362.95146850411572</v>
      </c>
      <c r="G126" s="131" t="str">
        <f>IF(E126&lt;F126,"qmax &lt; qa → AMAN (OK)","TIDAK AMAN ! (NG)")</f>
        <v>qmax &lt; qa → AMAN (OK)</v>
      </c>
      <c r="H126" s="131"/>
      <c r="I126" s="62"/>
    </row>
    <row r="127" spans="1:9" ht="18.75" customHeight="1" x14ac:dyDescent="0.25">
      <c r="A127" s="109"/>
      <c r="B127" s="132" t="s">
        <v>128</v>
      </c>
      <c r="C127" s="132"/>
      <c r="D127" s="49">
        <f>IF(F104/(H30*H31)-G104/H110-H104/H109&gt;=0,F104/(H30*H31)-G104/H110-H104/H109,0)</f>
        <v>0</v>
      </c>
      <c r="E127" s="4">
        <f>F104/(H30*H31)+G104/H110+H104/H109</f>
        <v>320.02781249999998</v>
      </c>
      <c r="F127" s="128"/>
      <c r="G127" s="131" t="str">
        <f>IF(E127&lt;F126,"qmax &lt; qa → AMAN (OK)","TIDAK AMAN ! (NG)")</f>
        <v>qmax &lt; qa → AMAN (OK)</v>
      </c>
      <c r="H127" s="131"/>
      <c r="I127" s="62"/>
    </row>
    <row r="128" spans="1:9" ht="18.75" customHeight="1" x14ac:dyDescent="0.25">
      <c r="A128" s="109"/>
      <c r="B128" s="132" t="s">
        <v>129</v>
      </c>
      <c r="C128" s="132"/>
      <c r="D128" s="49">
        <f>IF(F105/(H30*H31)-G105/H110-H105/H109&gt;=0,F105/(H30*H31)-G105/H110-H105/H109,0)</f>
        <v>0</v>
      </c>
      <c r="E128" s="4">
        <f>F105/(H30*H31)+G105/H110+H105/H109</f>
        <v>252.15671874999995</v>
      </c>
      <c r="F128" s="128"/>
      <c r="G128" s="131" t="str">
        <f>IF(E128&lt;F126,"qmax &lt; qa → AMAN (OK)","TIDAK AMAN ! (NG)")</f>
        <v>qmax &lt; qa → AMAN (OK)</v>
      </c>
      <c r="H128" s="131"/>
      <c r="I128" s="62"/>
    </row>
    <row r="129" spans="1:9" ht="18.75" customHeight="1" x14ac:dyDescent="0.25">
      <c r="A129" s="109"/>
      <c r="B129" s="132" t="s">
        <v>130</v>
      </c>
      <c r="C129" s="132"/>
      <c r="D129" s="49">
        <f>IF(F106/(H30*H31)-G106/H110-H106/H109&gt;=0,F106/(H30*H31)-G106/H110-H106/H109,0)</f>
        <v>0</v>
      </c>
      <c r="E129" s="4">
        <f>F106/(H30*H31)+G106/H110+H106/H109</f>
        <v>316.12156249999998</v>
      </c>
      <c r="F129" s="128"/>
      <c r="G129" s="131" t="str">
        <f>IF(E129&lt;F126,"qmax &lt; qa → AMAN (OK)","TIDAK AMAN ! (NG)")</f>
        <v>qmax &lt; qa → AMAN (OK)</v>
      </c>
      <c r="H129" s="131"/>
      <c r="I129" s="62"/>
    </row>
    <row r="130" spans="1:9" ht="18.75" customHeight="1" x14ac:dyDescent="0.25">
      <c r="A130" s="109"/>
      <c r="B130" s="132" t="s">
        <v>131</v>
      </c>
      <c r="C130" s="132"/>
      <c r="D130" s="49">
        <f>IF(F107/(H30*H31)-G107/H110-H107/H109&gt;=0,F107/(H30*H31)-G107/H110-H107/H109,0)</f>
        <v>0</v>
      </c>
      <c r="E130" s="4">
        <f>F107/(H30*H31)+G107/H110+H107/H109</f>
        <v>248.73874999999998</v>
      </c>
      <c r="F130" s="128"/>
      <c r="G130" s="131" t="str">
        <f>IF(E130&lt;F126,"qmax &lt; qa → AMAN (OK)","TIDAK AMAN ! (NG)")</f>
        <v>qmax &lt; qa → AMAN (OK)</v>
      </c>
      <c r="H130" s="131"/>
      <c r="I130" s="62"/>
    </row>
    <row r="131" spans="1:9" ht="18.75" customHeight="1" x14ac:dyDescent="0.25">
      <c r="A131" s="74"/>
      <c r="B131" s="10"/>
      <c r="C131" s="10"/>
      <c r="D131" s="10"/>
      <c r="E131" s="10"/>
      <c r="F131" s="10"/>
      <c r="G131" s="10"/>
      <c r="H131" s="10"/>
      <c r="I131" s="62"/>
    </row>
    <row r="132" spans="1:9" ht="18.75" customHeight="1" x14ac:dyDescent="0.25">
      <c r="B132" s="25"/>
      <c r="C132" s="25"/>
      <c r="D132" s="25"/>
      <c r="E132" s="25"/>
      <c r="F132" s="25"/>
      <c r="G132" s="25"/>
      <c r="H132" s="25"/>
      <c r="I132" s="66"/>
    </row>
  </sheetData>
  <mergeCells count="43">
    <mergeCell ref="F126:F130"/>
    <mergeCell ref="G124:H124"/>
    <mergeCell ref="G125:H125"/>
    <mergeCell ref="G126:H126"/>
    <mergeCell ref="G127:H127"/>
    <mergeCell ref="G128:H128"/>
    <mergeCell ref="G129:H129"/>
    <mergeCell ref="G130:H130"/>
    <mergeCell ref="B126:C126"/>
    <mergeCell ref="B127:C127"/>
    <mergeCell ref="B128:C128"/>
    <mergeCell ref="B129:C129"/>
    <mergeCell ref="B130:C130"/>
    <mergeCell ref="B107:C107"/>
    <mergeCell ref="B124:C125"/>
    <mergeCell ref="B102:C102"/>
    <mergeCell ref="B103:C103"/>
    <mergeCell ref="B104:C104"/>
    <mergeCell ref="B105:C105"/>
    <mergeCell ref="B106:C106"/>
    <mergeCell ref="B45:F45"/>
    <mergeCell ref="D100:D101"/>
    <mergeCell ref="E100:E101"/>
    <mergeCell ref="B100:C101"/>
    <mergeCell ref="F72:H72"/>
    <mergeCell ref="E74:E75"/>
    <mergeCell ref="K21:L21"/>
    <mergeCell ref="K22:L22"/>
    <mergeCell ref="K23:L23"/>
    <mergeCell ref="K24:L24"/>
    <mergeCell ref="K25:L25"/>
    <mergeCell ref="M21:N21"/>
    <mergeCell ref="M22:N22"/>
    <mergeCell ref="M23:N23"/>
    <mergeCell ref="M24:N24"/>
    <mergeCell ref="M25:N25"/>
    <mergeCell ref="O18:O19"/>
    <mergeCell ref="M18:N19"/>
    <mergeCell ref="M20:N20"/>
    <mergeCell ref="K18:L19"/>
    <mergeCell ref="K20:L20"/>
    <mergeCell ref="B1:F1"/>
    <mergeCell ref="J18:J19"/>
  </mergeCells>
  <conditionalFormatting sqref="G126:H130">
    <cfRule type="containsText" dxfId="1" priority="1" operator="containsText" text="TIDAK AMAN ! (NG)">
      <formula>NOT(ISERROR(SEARCH("TIDAK AMAN ! (NG)",G126)))</formula>
    </cfRule>
    <cfRule type="containsText" dxfId="0" priority="2" operator="containsText" text="qmax &lt; qa → AMAN (OK)">
      <formula>NOT(ISERROR(SEARCH("qmax &lt; qa → AMAN (OK)",G126)))</formula>
    </cfRule>
  </conditionalFormatting>
  <pageMargins left="0.7" right="0.7" top="0.75" bottom="0.75" header="0.3" footer="0.3"/>
  <pageSetup orientation="portrait" horizontalDpi="300" r:id="rId1"/>
  <ignoredErrors>
    <ignoredError sqref="H36:H37 H97:H98" unlockedFormula="1"/>
    <ignoredError sqref="H77:H78 H8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23FCC-E97D-4485-A225-030D620A391C}">
  <sheetPr>
    <tabColor theme="7"/>
  </sheetPr>
  <dimension ref="A1:M77"/>
  <sheetViews>
    <sheetView topLeftCell="A16" workbookViewId="0">
      <selection activeCell="L36" sqref="L36"/>
    </sheetView>
  </sheetViews>
  <sheetFormatPr defaultRowHeight="15" x14ac:dyDescent="0.25"/>
  <sheetData>
    <row r="1" spans="1:8" x14ac:dyDescent="0.25">
      <c r="A1" s="70" t="s">
        <v>95</v>
      </c>
      <c r="B1" s="70" t="s">
        <v>86</v>
      </c>
      <c r="C1" s="70" t="s">
        <v>87</v>
      </c>
      <c r="D1" s="70" t="s">
        <v>88</v>
      </c>
      <c r="E1" s="70" t="s">
        <v>89</v>
      </c>
      <c r="F1" s="70" t="s">
        <v>94</v>
      </c>
      <c r="G1" s="1"/>
      <c r="H1" s="1"/>
    </row>
    <row r="2" spans="1:8" x14ac:dyDescent="0.25">
      <c r="A2" s="70" t="s">
        <v>90</v>
      </c>
      <c r="B2" s="70">
        <f>-0.5*'Input + Process'!H30</f>
        <v>-0.8</v>
      </c>
      <c r="C2" s="70">
        <f>B2</f>
        <v>-0.8</v>
      </c>
      <c r="D2" s="70">
        <f>-C2</f>
        <v>0.8</v>
      </c>
      <c r="E2" s="70">
        <f>D2</f>
        <v>0.8</v>
      </c>
      <c r="F2" s="70">
        <f>B2</f>
        <v>-0.8</v>
      </c>
      <c r="G2" s="1"/>
      <c r="H2" s="1"/>
    </row>
    <row r="3" spans="1:8" x14ac:dyDescent="0.25">
      <c r="A3" s="70" t="s">
        <v>91</v>
      </c>
      <c r="B3" s="70">
        <f>-0.5*'Input + Process'!H31</f>
        <v>-0.8</v>
      </c>
      <c r="C3" s="70">
        <f>-B3</f>
        <v>0.8</v>
      </c>
      <c r="D3" s="70">
        <f>C3</f>
        <v>0.8</v>
      </c>
      <c r="E3" s="70">
        <f>B3</f>
        <v>-0.8</v>
      </c>
      <c r="F3" s="70">
        <f>B3</f>
        <v>-0.8</v>
      </c>
      <c r="G3" s="1"/>
      <c r="H3" s="1"/>
    </row>
    <row r="4" spans="1:8" x14ac:dyDescent="0.25">
      <c r="A4" s="1"/>
      <c r="B4" s="70" cm="1">
        <f t="array" ref="B4">MAX(ABS(B2:E3),ABS(B8:D9),ABS(F8:H9),ABS(B21:D22),ABS(F21:H22))</f>
        <v>0.96</v>
      </c>
      <c r="C4" s="70">
        <v>50</v>
      </c>
      <c r="D4" s="70"/>
      <c r="E4" s="70"/>
      <c r="F4" s="70"/>
      <c r="G4" s="1"/>
      <c r="H4" s="1"/>
    </row>
    <row r="5" spans="1:8" x14ac:dyDescent="0.25">
      <c r="A5" s="70" t="s">
        <v>92</v>
      </c>
      <c r="B5" s="69">
        <f t="shared" ref="B5:E6" si="0">B2/$B$4*$C$4</f>
        <v>-41.666666666666671</v>
      </c>
      <c r="C5" s="69">
        <f t="shared" si="0"/>
        <v>-41.666666666666671</v>
      </c>
      <c r="D5" s="69">
        <f t="shared" si="0"/>
        <v>41.666666666666671</v>
      </c>
      <c r="E5" s="69">
        <f t="shared" si="0"/>
        <v>41.666666666666671</v>
      </c>
      <c r="F5" s="69">
        <f>B5</f>
        <v>-41.666666666666671</v>
      </c>
      <c r="G5" s="1"/>
      <c r="H5" s="1"/>
    </row>
    <row r="6" spans="1:8" x14ac:dyDescent="0.25">
      <c r="A6" s="70" t="s">
        <v>93</v>
      </c>
      <c r="B6" s="69">
        <f t="shared" si="0"/>
        <v>-41.666666666666671</v>
      </c>
      <c r="C6" s="69">
        <f t="shared" si="0"/>
        <v>41.666666666666671</v>
      </c>
      <c r="D6" s="69">
        <f t="shared" si="0"/>
        <v>41.666666666666671</v>
      </c>
      <c r="E6" s="69">
        <f t="shared" si="0"/>
        <v>-41.666666666666671</v>
      </c>
      <c r="F6" s="69">
        <f>B6</f>
        <v>-41.666666666666671</v>
      </c>
      <c r="G6" s="5"/>
      <c r="H6" s="5"/>
    </row>
    <row r="7" spans="1:8" x14ac:dyDescent="0.25">
      <c r="A7" s="1"/>
      <c r="B7" s="65" t="s">
        <v>86</v>
      </c>
      <c r="C7" s="65" t="s">
        <v>87</v>
      </c>
      <c r="D7" s="65" t="s">
        <v>88</v>
      </c>
      <c r="E7" s="1"/>
      <c r="F7" s="65" t="s">
        <v>86</v>
      </c>
      <c r="G7" s="65" t="s">
        <v>87</v>
      </c>
      <c r="H7" s="65" t="s">
        <v>88</v>
      </c>
    </row>
    <row r="8" spans="1:8" x14ac:dyDescent="0.25">
      <c r="A8" s="1" t="s">
        <v>102</v>
      </c>
      <c r="B8" s="1">
        <f>B2</f>
        <v>-0.8</v>
      </c>
      <c r="C8" s="1">
        <v>0</v>
      </c>
      <c r="D8" s="1">
        <f>D2</f>
        <v>0.8</v>
      </c>
      <c r="E8" s="1" t="s">
        <v>103</v>
      </c>
      <c r="F8" s="1">
        <f>1.2*B2</f>
        <v>-0.96</v>
      </c>
      <c r="G8" s="1">
        <f>F8</f>
        <v>-0.96</v>
      </c>
      <c r="H8" s="1">
        <f>G8</f>
        <v>-0.96</v>
      </c>
    </row>
    <row r="9" spans="1:8" x14ac:dyDescent="0.25">
      <c r="A9" s="1"/>
      <c r="B9" s="1">
        <f>B3*1.2</f>
        <v>-0.96</v>
      </c>
      <c r="C9" s="1">
        <f>B9</f>
        <v>-0.96</v>
      </c>
      <c r="D9" s="1">
        <f>C9</f>
        <v>-0.96</v>
      </c>
      <c r="E9" s="1"/>
      <c r="F9" s="1">
        <f>C3</f>
        <v>0.8</v>
      </c>
      <c r="G9" s="1">
        <v>0</v>
      </c>
      <c r="H9" s="1">
        <f>-F9</f>
        <v>-0.8</v>
      </c>
    </row>
    <row r="10" spans="1:8" x14ac:dyDescent="0.25">
      <c r="A10" s="70" t="s">
        <v>92</v>
      </c>
      <c r="B10" s="69">
        <f t="shared" ref="B10:D11" si="1">B8/$B$4*$C$4</f>
        <v>-41.666666666666671</v>
      </c>
      <c r="C10" s="69">
        <f t="shared" si="1"/>
        <v>0</v>
      </c>
      <c r="D10" s="69">
        <f t="shared" si="1"/>
        <v>41.666666666666671</v>
      </c>
      <c r="E10" s="70" t="s">
        <v>92</v>
      </c>
      <c r="F10" s="69">
        <f t="shared" ref="F10:H11" si="2">F8/$B$4*$C$4</f>
        <v>-50</v>
      </c>
      <c r="G10" s="69">
        <f t="shared" si="2"/>
        <v>-50</v>
      </c>
      <c r="H10" s="69">
        <f t="shared" si="2"/>
        <v>-50</v>
      </c>
    </row>
    <row r="11" spans="1:8" x14ac:dyDescent="0.25">
      <c r="A11" s="70" t="s">
        <v>93</v>
      </c>
      <c r="B11" s="69">
        <f t="shared" si="1"/>
        <v>-50</v>
      </c>
      <c r="C11" s="69">
        <f t="shared" si="1"/>
        <v>-50</v>
      </c>
      <c r="D11" s="69">
        <f t="shared" si="1"/>
        <v>-50</v>
      </c>
      <c r="E11" s="70" t="s">
        <v>93</v>
      </c>
      <c r="F11" s="69">
        <f t="shared" si="2"/>
        <v>41.666666666666671</v>
      </c>
      <c r="G11" s="69">
        <f t="shared" si="2"/>
        <v>0</v>
      </c>
      <c r="H11" s="69">
        <f t="shared" si="2"/>
        <v>-41.666666666666671</v>
      </c>
    </row>
    <row r="12" spans="1:8" x14ac:dyDescent="0.25">
      <c r="A12" s="6"/>
      <c r="B12" s="6"/>
      <c r="C12" s="6"/>
      <c r="D12" s="6"/>
      <c r="E12" s="1"/>
      <c r="F12" s="1"/>
      <c r="G12" s="7"/>
      <c r="H12" s="7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65" t="s">
        <v>96</v>
      </c>
      <c r="B14" s="65" t="s">
        <v>97</v>
      </c>
      <c r="C14" s="65" t="s">
        <v>98</v>
      </c>
      <c r="D14" s="65" t="s">
        <v>99</v>
      </c>
      <c r="E14" s="92" t="s">
        <v>100</v>
      </c>
      <c r="F14" s="92" t="s">
        <v>101</v>
      </c>
      <c r="G14" s="5"/>
      <c r="H14" s="5"/>
    </row>
    <row r="15" spans="1:8" x14ac:dyDescent="0.25">
      <c r="A15" s="70" t="s">
        <v>90</v>
      </c>
      <c r="B15" s="65">
        <f>IF('Input + Process'!H33=40,-0.5*'Input + Process'!H28,-0.5*'Input + Process'!H28-0.5*('Input + Process'!H30-'Input + Process'!H28))</f>
        <v>-0.25</v>
      </c>
      <c r="C15" s="70">
        <f>B15</f>
        <v>-0.25</v>
      </c>
      <c r="D15" s="76">
        <f>C15+'Input + Process'!H28</f>
        <v>0.25</v>
      </c>
      <c r="E15" s="70">
        <f>D15</f>
        <v>0.25</v>
      </c>
      <c r="F15" s="70">
        <f>B15</f>
        <v>-0.25</v>
      </c>
      <c r="G15" s="9"/>
      <c r="H15" s="9"/>
    </row>
    <row r="16" spans="1:8" x14ac:dyDescent="0.25">
      <c r="A16" s="70" t="s">
        <v>91</v>
      </c>
      <c r="B16" s="95">
        <f>C16-'Input + Process'!H29</f>
        <v>-0.3</v>
      </c>
      <c r="C16" s="70">
        <f>IF('Input + Process'!H33=20,0.5*'Input + Process'!H29+0.5*('Input + Process'!H31-'Input + Process'!H29),0.5*'Input + Process'!H29)</f>
        <v>0.3</v>
      </c>
      <c r="D16" s="70">
        <f>C16</f>
        <v>0.3</v>
      </c>
      <c r="E16" s="70">
        <f>B16</f>
        <v>-0.3</v>
      </c>
      <c r="F16" s="70">
        <f>B16</f>
        <v>-0.3</v>
      </c>
      <c r="G16" s="5"/>
      <c r="H16" s="5"/>
    </row>
    <row r="17" spans="1:13" x14ac:dyDescent="0.25">
      <c r="A17" s="1"/>
      <c r="B17" s="93"/>
      <c r="C17" s="13"/>
      <c r="D17" s="13"/>
      <c r="E17" s="94"/>
      <c r="F17" s="94"/>
      <c r="G17" s="1"/>
      <c r="H17" s="1"/>
    </row>
    <row r="18" spans="1:13" x14ac:dyDescent="0.25">
      <c r="A18" s="70" t="s">
        <v>92</v>
      </c>
      <c r="B18" s="69">
        <f t="shared" ref="B18:E19" si="3">B15/$B$4*$C$4</f>
        <v>-13.020833333333334</v>
      </c>
      <c r="C18" s="69">
        <f t="shared" si="3"/>
        <v>-13.020833333333334</v>
      </c>
      <c r="D18" s="69">
        <f t="shared" si="3"/>
        <v>13.020833333333334</v>
      </c>
      <c r="E18" s="69">
        <f t="shared" si="3"/>
        <v>13.020833333333334</v>
      </c>
      <c r="F18" s="69">
        <f>B18</f>
        <v>-13.020833333333334</v>
      </c>
      <c r="G18" s="1"/>
      <c r="H18" s="1"/>
    </row>
    <row r="19" spans="1:13" x14ac:dyDescent="0.25">
      <c r="A19" s="70" t="s">
        <v>93</v>
      </c>
      <c r="B19" s="69">
        <f t="shared" si="3"/>
        <v>-15.625</v>
      </c>
      <c r="C19" s="69">
        <f t="shared" si="3"/>
        <v>15.625</v>
      </c>
      <c r="D19" s="69">
        <f t="shared" si="3"/>
        <v>15.625</v>
      </c>
      <c r="E19" s="69">
        <f t="shared" si="3"/>
        <v>-15.625</v>
      </c>
      <c r="F19" s="69">
        <f>B19</f>
        <v>-15.625</v>
      </c>
      <c r="G19" s="1"/>
      <c r="H19" s="1"/>
    </row>
    <row r="20" spans="1:13" x14ac:dyDescent="0.25">
      <c r="A20" s="1"/>
      <c r="B20" s="65" t="s">
        <v>86</v>
      </c>
      <c r="C20" s="65" t="s">
        <v>87</v>
      </c>
      <c r="D20" s="65" t="s">
        <v>88</v>
      </c>
      <c r="E20" s="1"/>
      <c r="F20" s="65" t="s">
        <v>86</v>
      </c>
      <c r="G20" s="65" t="s">
        <v>87</v>
      </c>
      <c r="H20" s="65" t="s">
        <v>88</v>
      </c>
    </row>
    <row r="21" spans="1:13" x14ac:dyDescent="0.25">
      <c r="A21" s="1" t="s">
        <v>102</v>
      </c>
      <c r="B21" s="1">
        <f>B15</f>
        <v>-0.25</v>
      </c>
      <c r="C21" s="1">
        <f>(B21+D21)/2</f>
        <v>0</v>
      </c>
      <c r="D21" s="96">
        <f>D15</f>
        <v>0.25</v>
      </c>
      <c r="E21" s="1" t="s">
        <v>103</v>
      </c>
      <c r="F21" s="96">
        <f>D15+0.115</f>
        <v>0.36499999999999999</v>
      </c>
      <c r="G21" s="1">
        <f>F21</f>
        <v>0.36499999999999999</v>
      </c>
      <c r="H21" s="1">
        <f>G21</f>
        <v>0.36499999999999999</v>
      </c>
    </row>
    <row r="22" spans="1:13" x14ac:dyDescent="0.25">
      <c r="A22" s="1"/>
      <c r="B22" s="96">
        <f>B16-0.115</f>
        <v>-0.41499999999999998</v>
      </c>
      <c r="C22" s="1">
        <f>B22</f>
        <v>-0.41499999999999998</v>
      </c>
      <c r="D22" s="1">
        <f>C22</f>
        <v>-0.41499999999999998</v>
      </c>
      <c r="E22" s="1"/>
      <c r="F22" s="1">
        <f>C16</f>
        <v>0.3</v>
      </c>
      <c r="G22" s="1">
        <f>(F22+H22)/2</f>
        <v>0</v>
      </c>
      <c r="H22" s="1">
        <f>E16</f>
        <v>-0.3</v>
      </c>
    </row>
    <row r="23" spans="1:13" x14ac:dyDescent="0.25">
      <c r="A23" s="70" t="s">
        <v>92</v>
      </c>
      <c r="B23" s="69">
        <f t="shared" ref="B23:D24" si="4">B21/$B$4*$C$4</f>
        <v>-13.020833333333334</v>
      </c>
      <c r="C23" s="69">
        <f t="shared" si="4"/>
        <v>0</v>
      </c>
      <c r="D23" s="69">
        <f t="shared" si="4"/>
        <v>13.020833333333334</v>
      </c>
      <c r="E23" s="70" t="s">
        <v>92</v>
      </c>
      <c r="F23" s="69">
        <f t="shared" ref="F23:H24" si="5">F21/$B$4*$C$4</f>
        <v>19.010416666666664</v>
      </c>
      <c r="G23" s="69">
        <f t="shared" si="5"/>
        <v>19.010416666666664</v>
      </c>
      <c r="H23" s="69">
        <f t="shared" si="5"/>
        <v>19.010416666666664</v>
      </c>
    </row>
    <row r="24" spans="1:13" x14ac:dyDescent="0.25">
      <c r="A24" s="70" t="s">
        <v>93</v>
      </c>
      <c r="B24" s="69">
        <f t="shared" si="4"/>
        <v>-21.614583333333336</v>
      </c>
      <c r="C24" s="69">
        <f t="shared" si="4"/>
        <v>-21.614583333333336</v>
      </c>
      <c r="D24" s="69">
        <f t="shared" si="4"/>
        <v>-21.614583333333336</v>
      </c>
      <c r="E24" s="70" t="s">
        <v>93</v>
      </c>
      <c r="F24" s="69">
        <f t="shared" si="5"/>
        <v>15.625</v>
      </c>
      <c r="G24" s="69">
        <f t="shared" si="5"/>
        <v>0</v>
      </c>
      <c r="H24" s="69">
        <f t="shared" si="5"/>
        <v>-15.625</v>
      </c>
    </row>
    <row r="27" spans="1:13" x14ac:dyDescent="0.25">
      <c r="A27" s="65" t="s">
        <v>113</v>
      </c>
      <c r="B27" s="65" t="s">
        <v>86</v>
      </c>
      <c r="C27" s="65" t="s">
        <v>87</v>
      </c>
      <c r="D27" s="65" t="s">
        <v>88</v>
      </c>
      <c r="E27" s="65" t="s">
        <v>89</v>
      </c>
      <c r="F27" s="65" t="s">
        <v>86</v>
      </c>
      <c r="G27" s="65" t="s">
        <v>111</v>
      </c>
      <c r="H27" s="65" t="s">
        <v>112</v>
      </c>
      <c r="I27" s="1"/>
      <c r="J27" s="1"/>
    </row>
    <row r="28" spans="1:13" x14ac:dyDescent="0.25">
      <c r="A28" s="65" t="s">
        <v>90</v>
      </c>
      <c r="B28" s="65">
        <f>-0.5*'Input + Process'!H30</f>
        <v>-0.8</v>
      </c>
      <c r="C28" s="65">
        <f>B28</f>
        <v>-0.8</v>
      </c>
      <c r="D28" s="65">
        <f>-C28</f>
        <v>0.8</v>
      </c>
      <c r="E28" s="65">
        <f>D28</f>
        <v>0.8</v>
      </c>
      <c r="F28" s="65">
        <f>B28</f>
        <v>-0.8</v>
      </c>
      <c r="G28" s="65" cm="1">
        <f t="array" ref="G28">MAX(ABS(B28:F29),ABS(B40:E41),ABS(B47:E48),ABS(B55:F56),ABS(B60:D61),ABS(B67:E68),ABS(B74:E75))</f>
        <v>1.44</v>
      </c>
      <c r="H28" s="65">
        <v>50</v>
      </c>
      <c r="I28" s="1"/>
      <c r="J28" s="1"/>
    </row>
    <row r="29" spans="1:13" x14ac:dyDescent="0.25">
      <c r="A29" s="65" t="s">
        <v>91</v>
      </c>
      <c r="B29" s="65">
        <f>1.2*'Input + Process'!H4*0.5</f>
        <v>-1.2</v>
      </c>
      <c r="C29" s="95">
        <f>B29+'Input + Process'!H32</f>
        <v>-0.79999999999999993</v>
      </c>
      <c r="D29" s="95">
        <f>C29</f>
        <v>-0.79999999999999993</v>
      </c>
      <c r="E29" s="65">
        <f>B29</f>
        <v>-1.2</v>
      </c>
      <c r="F29" s="65">
        <f>B29</f>
        <v>-1.2</v>
      </c>
      <c r="G29" s="1"/>
      <c r="H29" s="1"/>
      <c r="I29" s="1"/>
      <c r="J29" s="1"/>
    </row>
    <row r="30" spans="1:13" x14ac:dyDescent="0.25">
      <c r="A30" s="97" t="s">
        <v>92</v>
      </c>
      <c r="B30" s="98">
        <f t="shared" ref="B30:F31" si="6">B28/$G$28*$H$28</f>
        <v>-27.777777777777779</v>
      </c>
      <c r="C30" s="98">
        <f t="shared" si="6"/>
        <v>-27.777777777777779</v>
      </c>
      <c r="D30" s="98">
        <f t="shared" si="6"/>
        <v>27.777777777777779</v>
      </c>
      <c r="E30" s="98">
        <f t="shared" si="6"/>
        <v>27.777777777777779</v>
      </c>
      <c r="F30" s="98">
        <f t="shared" si="6"/>
        <v>-27.777777777777779</v>
      </c>
      <c r="G30" s="1"/>
      <c r="H30" s="1"/>
      <c r="I30" s="1"/>
      <c r="J30" s="1"/>
    </row>
    <row r="31" spans="1:13" x14ac:dyDescent="0.25">
      <c r="A31" s="97" t="s">
        <v>93</v>
      </c>
      <c r="B31" s="98">
        <f t="shared" si="6"/>
        <v>-41.666666666666671</v>
      </c>
      <c r="C31" s="98">
        <f t="shared" si="6"/>
        <v>-27.777777777777779</v>
      </c>
      <c r="D31" s="98">
        <f t="shared" si="6"/>
        <v>-27.777777777777779</v>
      </c>
      <c r="E31" s="98">
        <f t="shared" si="6"/>
        <v>-41.666666666666671</v>
      </c>
      <c r="F31" s="98">
        <f t="shared" si="6"/>
        <v>-41.666666666666671</v>
      </c>
      <c r="G31" s="1"/>
      <c r="H31" s="1"/>
      <c r="I31" s="1"/>
      <c r="J31" s="1"/>
    </row>
    <row r="32" spans="1:13" ht="18" x14ac:dyDescent="0.25">
      <c r="A32" s="65" t="s">
        <v>116</v>
      </c>
      <c r="B32" s="78" t="s">
        <v>86</v>
      </c>
      <c r="C32" s="78" t="s">
        <v>87</v>
      </c>
      <c r="D32" s="78" t="s">
        <v>88</v>
      </c>
      <c r="E32" s="78"/>
      <c r="F32" s="78" t="s">
        <v>117</v>
      </c>
      <c r="G32" s="78" t="s">
        <v>86</v>
      </c>
      <c r="H32" s="78" t="s">
        <v>87</v>
      </c>
      <c r="I32" s="78" t="s">
        <v>88</v>
      </c>
      <c r="J32" s="1"/>
      <c r="K32" s="65" t="s">
        <v>140</v>
      </c>
      <c r="L32" s="78" t="s">
        <v>86</v>
      </c>
      <c r="M32" s="78" t="s">
        <v>87</v>
      </c>
    </row>
    <row r="33" spans="1:13" x14ac:dyDescent="0.25">
      <c r="A33" s="65" t="s">
        <v>90</v>
      </c>
      <c r="B33" s="78">
        <f>B28</f>
        <v>-0.8</v>
      </c>
      <c r="C33" s="78">
        <f>(B33+D33)/2</f>
        <v>0</v>
      </c>
      <c r="D33" s="78">
        <f>E28</f>
        <v>0.8</v>
      </c>
      <c r="E33" s="78"/>
      <c r="F33" s="65" t="s">
        <v>90</v>
      </c>
      <c r="G33" s="78">
        <f>1.2*E28</f>
        <v>0.96</v>
      </c>
      <c r="H33" s="78">
        <f>(G33+I33)/2</f>
        <v>0.96</v>
      </c>
      <c r="I33" s="78">
        <f>G33</f>
        <v>0.96</v>
      </c>
      <c r="J33" s="1"/>
      <c r="K33" s="65" t="s">
        <v>90</v>
      </c>
      <c r="L33" s="78">
        <f>B40</f>
        <v>-1.4</v>
      </c>
      <c r="M33" s="78">
        <f>E40</f>
        <v>1.4</v>
      </c>
    </row>
    <row r="34" spans="1:13" x14ac:dyDescent="0.25">
      <c r="A34" s="65" t="s">
        <v>91</v>
      </c>
      <c r="B34" s="65">
        <f>B29*1.2</f>
        <v>-1.44</v>
      </c>
      <c r="C34" s="65">
        <f>B34</f>
        <v>-1.44</v>
      </c>
      <c r="D34" s="65">
        <f>C34</f>
        <v>-1.44</v>
      </c>
      <c r="E34" s="1"/>
      <c r="F34" s="65" t="s">
        <v>91</v>
      </c>
      <c r="G34" s="95">
        <f>D29</f>
        <v>-0.79999999999999993</v>
      </c>
      <c r="H34" s="78">
        <f>(G34+I34)/2</f>
        <v>-1</v>
      </c>
      <c r="I34" s="65">
        <f>E29</f>
        <v>-1.2</v>
      </c>
      <c r="J34" s="1"/>
      <c r="K34" s="65" t="s">
        <v>91</v>
      </c>
      <c r="L34" s="95">
        <f>B41+'Input + Process'!H38</f>
        <v>-0.39999999999999991</v>
      </c>
      <c r="M34" s="65">
        <f>L34</f>
        <v>-0.39999999999999991</v>
      </c>
    </row>
    <row r="35" spans="1:13" x14ac:dyDescent="0.25">
      <c r="A35" s="97" t="s">
        <v>92</v>
      </c>
      <c r="B35" s="98">
        <f t="shared" ref="B35:D36" si="7">B33/$G$28*$H$28</f>
        <v>-27.777777777777779</v>
      </c>
      <c r="C35" s="98">
        <f t="shared" si="7"/>
        <v>0</v>
      </c>
      <c r="D35" s="98">
        <f t="shared" si="7"/>
        <v>27.777777777777779</v>
      </c>
      <c r="E35" s="1"/>
      <c r="F35" s="97" t="s">
        <v>92</v>
      </c>
      <c r="G35" s="98">
        <f t="shared" ref="G35:I36" si="8">G33/$G$28*$H$28</f>
        <v>33.333333333333329</v>
      </c>
      <c r="H35" s="98">
        <f t="shared" si="8"/>
        <v>33.333333333333329</v>
      </c>
      <c r="I35" s="98">
        <f t="shared" si="8"/>
        <v>33.333333333333329</v>
      </c>
      <c r="J35" s="1"/>
      <c r="K35" s="97" t="s">
        <v>92</v>
      </c>
      <c r="L35" s="98">
        <f t="shared" ref="L35:M35" si="9">L33/$G$28*$H$28</f>
        <v>-48.611111111111107</v>
      </c>
      <c r="M35" s="98">
        <f t="shared" si="9"/>
        <v>48.611111111111107</v>
      </c>
    </row>
    <row r="36" spans="1:13" x14ac:dyDescent="0.25">
      <c r="A36" s="97" t="s">
        <v>93</v>
      </c>
      <c r="B36" s="98">
        <f t="shared" si="7"/>
        <v>-50</v>
      </c>
      <c r="C36" s="98">
        <f t="shared" si="7"/>
        <v>-50</v>
      </c>
      <c r="D36" s="98">
        <f t="shared" si="7"/>
        <v>-50</v>
      </c>
      <c r="E36" s="1"/>
      <c r="F36" s="97" t="s">
        <v>93</v>
      </c>
      <c r="G36" s="98">
        <f t="shared" si="8"/>
        <v>-27.777777777777779</v>
      </c>
      <c r="H36" s="98">
        <f t="shared" si="8"/>
        <v>-34.722222222222221</v>
      </c>
      <c r="I36" s="98">
        <f t="shared" si="8"/>
        <v>-41.666666666666671</v>
      </c>
      <c r="J36" s="1"/>
      <c r="K36" s="97" t="s">
        <v>93</v>
      </c>
      <c r="L36" s="98">
        <f t="shared" ref="L36:M36" si="10">L34/$G$28*$H$28</f>
        <v>-13.888888888888888</v>
      </c>
      <c r="M36" s="98">
        <f t="shared" si="10"/>
        <v>-13.888888888888888</v>
      </c>
    </row>
    <row r="37" spans="1:13" x14ac:dyDescent="0.25">
      <c r="A37" s="1"/>
      <c r="B37" s="1"/>
      <c r="C37" s="1"/>
      <c r="D37" s="1"/>
      <c r="E37" s="1"/>
      <c r="F37" s="1"/>
      <c r="G37" s="6"/>
      <c r="H37" s="6"/>
      <c r="I37" s="7"/>
      <c r="J37" s="6"/>
    </row>
    <row r="38" spans="1:13" x14ac:dyDescent="0.25">
      <c r="A38" s="1"/>
      <c r="B38" s="1"/>
      <c r="C38" s="1"/>
      <c r="D38" s="1"/>
      <c r="E38" s="1"/>
      <c r="F38" s="1"/>
      <c r="G38" s="6"/>
      <c r="H38" s="6"/>
      <c r="I38" s="7"/>
      <c r="J38" s="6"/>
    </row>
    <row r="39" spans="1:13" x14ac:dyDescent="0.25">
      <c r="A39" s="1" t="s">
        <v>115</v>
      </c>
      <c r="B39" s="65" t="s">
        <v>104</v>
      </c>
      <c r="C39" s="65" t="s">
        <v>105</v>
      </c>
      <c r="D39" s="65" t="s">
        <v>106</v>
      </c>
      <c r="E39" s="65" t="s">
        <v>107</v>
      </c>
      <c r="F39" s="1"/>
      <c r="G39" s="78" t="s">
        <v>118</v>
      </c>
      <c r="H39" s="78" t="s">
        <v>86</v>
      </c>
      <c r="I39" s="78" t="s">
        <v>87</v>
      </c>
      <c r="J39" s="78" t="s">
        <v>88</v>
      </c>
    </row>
    <row r="40" spans="1:13" x14ac:dyDescent="0.25">
      <c r="A40" s="65" t="s">
        <v>90</v>
      </c>
      <c r="B40" s="65">
        <f>B28+0.3*'Input + Process'!H4</f>
        <v>-1.4</v>
      </c>
      <c r="C40" s="65">
        <f>IF('Input + Process'!H33=40,0-0.5*'Input + Process'!H28,0-0.5*'Input + Process'!H28-0.5*('Input + Process'!H30-'Input + Process'!H28))</f>
        <v>-0.25</v>
      </c>
      <c r="D40" s="95">
        <f>D47</f>
        <v>0.25</v>
      </c>
      <c r="E40" s="65">
        <f>-B40</f>
        <v>1.4</v>
      </c>
      <c r="F40" s="1"/>
      <c r="G40" s="65" t="s">
        <v>90</v>
      </c>
      <c r="H40" s="78">
        <f>1.5*G33</f>
        <v>1.44</v>
      </c>
      <c r="I40" s="78">
        <f>(H40+J40)/2</f>
        <v>1.44</v>
      </c>
      <c r="J40" s="78">
        <f>H40</f>
        <v>1.44</v>
      </c>
    </row>
    <row r="41" spans="1:13" x14ac:dyDescent="0.25">
      <c r="A41" s="65" t="s">
        <v>91</v>
      </c>
      <c r="B41" s="95">
        <f>B29+ABS('Input + Process'!H4)</f>
        <v>0.8</v>
      </c>
      <c r="C41" s="95">
        <f>B41</f>
        <v>0.8</v>
      </c>
      <c r="D41" s="95">
        <f>C41</f>
        <v>0.8</v>
      </c>
      <c r="E41" s="95">
        <f>D41</f>
        <v>0.8</v>
      </c>
      <c r="F41" s="1"/>
      <c r="G41" s="65" t="s">
        <v>91</v>
      </c>
      <c r="H41" s="95">
        <f>E29</f>
        <v>-1.2</v>
      </c>
      <c r="I41" s="78">
        <f>(H41+J41)/2</f>
        <v>-0.19999999999999996</v>
      </c>
      <c r="J41" s="95">
        <f>E41</f>
        <v>0.8</v>
      </c>
    </row>
    <row r="42" spans="1:13" x14ac:dyDescent="0.25">
      <c r="A42" s="97" t="s">
        <v>92</v>
      </c>
      <c r="B42" s="98">
        <f t="shared" ref="B42:E43" si="11">B40/$G$28*$H$28</f>
        <v>-48.611111111111107</v>
      </c>
      <c r="C42" s="98">
        <f t="shared" si="11"/>
        <v>-8.6805555555555554</v>
      </c>
      <c r="D42" s="98">
        <f t="shared" si="11"/>
        <v>8.6805555555555554</v>
      </c>
      <c r="E42" s="98">
        <f t="shared" si="11"/>
        <v>48.611111111111107</v>
      </c>
      <c r="F42" s="6"/>
      <c r="G42" s="97" t="s">
        <v>92</v>
      </c>
      <c r="H42" s="98">
        <f t="shared" ref="H42:J43" si="12">H40/$G$28*$H$28</f>
        <v>50</v>
      </c>
      <c r="I42" s="98">
        <f t="shared" si="12"/>
        <v>50</v>
      </c>
      <c r="J42" s="98">
        <f t="shared" si="12"/>
        <v>50</v>
      </c>
    </row>
    <row r="43" spans="1:13" x14ac:dyDescent="0.25">
      <c r="A43" s="97" t="s">
        <v>93</v>
      </c>
      <c r="B43" s="98">
        <f t="shared" si="11"/>
        <v>27.777777777777779</v>
      </c>
      <c r="C43" s="98">
        <f t="shared" si="11"/>
        <v>27.777777777777779</v>
      </c>
      <c r="D43" s="98">
        <f t="shared" si="11"/>
        <v>27.777777777777779</v>
      </c>
      <c r="E43" s="98">
        <f t="shared" si="11"/>
        <v>27.777777777777779</v>
      </c>
      <c r="F43" s="6"/>
      <c r="G43" s="97" t="s">
        <v>93</v>
      </c>
      <c r="H43" s="98">
        <f t="shared" si="12"/>
        <v>-41.666666666666671</v>
      </c>
      <c r="I43" s="98">
        <f t="shared" si="12"/>
        <v>-6.9444444444444438</v>
      </c>
      <c r="J43" s="98">
        <f t="shared" si="12"/>
        <v>27.777777777777779</v>
      </c>
    </row>
    <row r="44" spans="1:13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3" x14ac:dyDescent="0.25">
      <c r="A45" s="8"/>
      <c r="B45" s="8"/>
      <c r="C45" s="8"/>
      <c r="D45" s="8"/>
      <c r="E45" s="8"/>
      <c r="F45" s="8"/>
      <c r="G45" s="1"/>
      <c r="H45" s="1"/>
      <c r="I45" s="1"/>
      <c r="J45" s="1"/>
    </row>
    <row r="46" spans="1:13" x14ac:dyDescent="0.25">
      <c r="A46" s="2" t="s">
        <v>114</v>
      </c>
      <c r="B46" s="70" t="s">
        <v>94</v>
      </c>
      <c r="C46" s="70" t="s">
        <v>108</v>
      </c>
      <c r="D46" s="70" t="s">
        <v>109</v>
      </c>
      <c r="E46" s="70" t="s">
        <v>110</v>
      </c>
      <c r="F46" s="2"/>
      <c r="G46" s="78" t="s">
        <v>119</v>
      </c>
      <c r="H46" s="78" t="s">
        <v>86</v>
      </c>
      <c r="I46" s="78" t="s">
        <v>87</v>
      </c>
      <c r="J46" s="78" t="s">
        <v>88</v>
      </c>
    </row>
    <row r="47" spans="1:13" x14ac:dyDescent="0.25">
      <c r="A47" s="65" t="s">
        <v>90</v>
      </c>
      <c r="B47" s="90">
        <f>IF('Input + Process'!H33=40,-0.5*'Input + Process'!H28,-0.5*'Input + Process'!H28-0.5*('Input + Process'!H30-'Input + Process'!H28))</f>
        <v>-0.25</v>
      </c>
      <c r="C47" s="90">
        <f>B47</f>
        <v>-0.25</v>
      </c>
      <c r="D47" s="99">
        <f>C47+'Input + Process'!H28</f>
        <v>0.25</v>
      </c>
      <c r="E47" s="90">
        <f>D47</f>
        <v>0.25</v>
      </c>
      <c r="F47" s="8"/>
      <c r="G47" s="65" t="s">
        <v>90</v>
      </c>
      <c r="H47" s="78">
        <f>C47</f>
        <v>-0.25</v>
      </c>
      <c r="I47" s="78">
        <f>(H47+J47)/2</f>
        <v>0</v>
      </c>
      <c r="J47" s="78">
        <f>D47</f>
        <v>0.25</v>
      </c>
    </row>
    <row r="48" spans="1:13" x14ac:dyDescent="0.25">
      <c r="A48" s="65" t="s">
        <v>91</v>
      </c>
      <c r="B48" s="65">
        <f>C29</f>
        <v>-0.79999999999999993</v>
      </c>
      <c r="C48" s="95">
        <f>C41-'Input + Process'!H4*0.2</f>
        <v>1.2000000000000002</v>
      </c>
      <c r="D48" s="95">
        <f>C48</f>
        <v>1.2000000000000002</v>
      </c>
      <c r="E48" s="65">
        <f>C29</f>
        <v>-0.79999999999999993</v>
      </c>
      <c r="F48" s="1"/>
      <c r="G48" s="65" t="s">
        <v>91</v>
      </c>
      <c r="H48" s="65">
        <f>1.2*C48</f>
        <v>1.4400000000000002</v>
      </c>
      <c r="I48" s="65">
        <f>H48</f>
        <v>1.4400000000000002</v>
      </c>
      <c r="J48" s="65">
        <f>I48</f>
        <v>1.4400000000000002</v>
      </c>
    </row>
    <row r="49" spans="1:10" x14ac:dyDescent="0.25">
      <c r="A49" s="97" t="s">
        <v>92</v>
      </c>
      <c r="B49" s="98">
        <f t="shared" ref="B49:E50" si="13">B47/$G$28*$H$28</f>
        <v>-8.6805555555555554</v>
      </c>
      <c r="C49" s="98">
        <f t="shared" si="13"/>
        <v>-8.6805555555555554</v>
      </c>
      <c r="D49" s="98">
        <f t="shared" si="13"/>
        <v>8.6805555555555554</v>
      </c>
      <c r="E49" s="98">
        <f t="shared" si="13"/>
        <v>8.6805555555555554</v>
      </c>
      <c r="F49" s="1"/>
      <c r="G49" s="97" t="s">
        <v>92</v>
      </c>
      <c r="H49" s="98">
        <f t="shared" ref="H49:J50" si="14">H47/$G$28*$H$28</f>
        <v>-8.6805555555555554</v>
      </c>
      <c r="I49" s="98">
        <f t="shared" si="14"/>
        <v>0</v>
      </c>
      <c r="J49" s="98">
        <f t="shared" si="14"/>
        <v>8.6805555555555554</v>
      </c>
    </row>
    <row r="50" spans="1:10" x14ac:dyDescent="0.25">
      <c r="A50" s="97" t="s">
        <v>93</v>
      </c>
      <c r="B50" s="98">
        <f t="shared" si="13"/>
        <v>-27.777777777777779</v>
      </c>
      <c r="C50" s="98">
        <f t="shared" si="13"/>
        <v>41.666666666666671</v>
      </c>
      <c r="D50" s="98">
        <f t="shared" si="13"/>
        <v>41.666666666666671</v>
      </c>
      <c r="E50" s="98">
        <f t="shared" si="13"/>
        <v>-27.777777777777779</v>
      </c>
      <c r="F50" s="1"/>
      <c r="G50" s="97" t="s">
        <v>93</v>
      </c>
      <c r="H50" s="98">
        <f t="shared" si="14"/>
        <v>50.000000000000014</v>
      </c>
      <c r="I50" s="98">
        <f t="shared" si="14"/>
        <v>50.000000000000014</v>
      </c>
      <c r="J50" s="98">
        <f t="shared" si="14"/>
        <v>50.000000000000014</v>
      </c>
    </row>
    <row r="54" spans="1:10" x14ac:dyDescent="0.25">
      <c r="A54" s="65" t="s">
        <v>113</v>
      </c>
      <c r="B54" s="65" t="s">
        <v>86</v>
      </c>
      <c r="C54" s="65" t="s">
        <v>87</v>
      </c>
      <c r="D54" s="65" t="s">
        <v>88</v>
      </c>
      <c r="E54" s="65" t="s">
        <v>89</v>
      </c>
      <c r="F54" s="65" t="s">
        <v>86</v>
      </c>
      <c r="G54" s="65" t="s">
        <v>111</v>
      </c>
      <c r="H54" s="65" t="s">
        <v>112</v>
      </c>
      <c r="I54" s="1"/>
      <c r="J54" s="1"/>
    </row>
    <row r="55" spans="1:10" x14ac:dyDescent="0.25">
      <c r="A55" s="65" t="s">
        <v>90</v>
      </c>
      <c r="B55" s="65">
        <f>-0.5*'Input + Process'!H31</f>
        <v>-0.8</v>
      </c>
      <c r="C55" s="65">
        <f>B55</f>
        <v>-0.8</v>
      </c>
      <c r="D55" s="65">
        <f>-C55</f>
        <v>0.8</v>
      </c>
      <c r="E55" s="65">
        <f>D55</f>
        <v>0.8</v>
      </c>
      <c r="F55" s="65">
        <f>B55</f>
        <v>-0.8</v>
      </c>
      <c r="G55" s="65">
        <f>G28</f>
        <v>1.44</v>
      </c>
      <c r="H55" s="65">
        <v>50</v>
      </c>
      <c r="I55" s="1"/>
      <c r="J55" s="1"/>
    </row>
    <row r="56" spans="1:10" x14ac:dyDescent="0.25">
      <c r="A56" s="65" t="s">
        <v>91</v>
      </c>
      <c r="B56" s="65">
        <f>1.2*'Input + Process'!H4*0.5</f>
        <v>-1.2</v>
      </c>
      <c r="C56" s="95">
        <f>B56+'Input + Process'!H32</f>
        <v>-0.79999999999999993</v>
      </c>
      <c r="D56" s="95">
        <f>C56</f>
        <v>-0.79999999999999993</v>
      </c>
      <c r="E56" s="65">
        <f>B56</f>
        <v>-1.2</v>
      </c>
      <c r="F56" s="65">
        <f>B56</f>
        <v>-1.2</v>
      </c>
      <c r="G56" s="1"/>
      <c r="H56" s="1"/>
      <c r="I56" s="1"/>
      <c r="J56" s="1"/>
    </row>
    <row r="57" spans="1:10" x14ac:dyDescent="0.25">
      <c r="A57" s="97" t="s">
        <v>92</v>
      </c>
      <c r="B57" s="98">
        <f t="shared" ref="B57:F58" si="15">B55/$G$55*$H$55</f>
        <v>-27.777777777777779</v>
      </c>
      <c r="C57" s="98">
        <f t="shared" si="15"/>
        <v>-27.777777777777779</v>
      </c>
      <c r="D57" s="98">
        <f t="shared" si="15"/>
        <v>27.777777777777779</v>
      </c>
      <c r="E57" s="98">
        <f t="shared" si="15"/>
        <v>27.777777777777779</v>
      </c>
      <c r="F57" s="98">
        <f t="shared" si="15"/>
        <v>-27.777777777777779</v>
      </c>
      <c r="G57" s="1"/>
      <c r="H57" s="1"/>
      <c r="I57" s="1"/>
      <c r="J57" s="1"/>
    </row>
    <row r="58" spans="1:10" x14ac:dyDescent="0.25">
      <c r="A58" s="97" t="s">
        <v>93</v>
      </c>
      <c r="B58" s="98">
        <f t="shared" si="15"/>
        <v>-41.666666666666671</v>
      </c>
      <c r="C58" s="98">
        <f t="shared" si="15"/>
        <v>-27.777777777777779</v>
      </c>
      <c r="D58" s="98">
        <f t="shared" si="15"/>
        <v>-27.777777777777779</v>
      </c>
      <c r="E58" s="98">
        <f t="shared" si="15"/>
        <v>-41.666666666666671</v>
      </c>
      <c r="F58" s="98">
        <f t="shared" si="15"/>
        <v>-41.666666666666671</v>
      </c>
      <c r="G58" s="1"/>
      <c r="H58" s="1"/>
      <c r="I58" s="1"/>
      <c r="J58" s="1"/>
    </row>
    <row r="59" spans="1:10" ht="18" x14ac:dyDescent="0.25">
      <c r="A59" s="65" t="s">
        <v>120</v>
      </c>
      <c r="B59" s="78" t="s">
        <v>86</v>
      </c>
      <c r="C59" s="78" t="s">
        <v>87</v>
      </c>
      <c r="D59" s="78" t="s">
        <v>88</v>
      </c>
      <c r="E59" s="78"/>
      <c r="F59" s="78" t="s">
        <v>117</v>
      </c>
      <c r="G59" s="78" t="s">
        <v>86</v>
      </c>
      <c r="H59" s="78" t="s">
        <v>87</v>
      </c>
      <c r="I59" s="78" t="s">
        <v>88</v>
      </c>
      <c r="J59" s="1"/>
    </row>
    <row r="60" spans="1:10" x14ac:dyDescent="0.25">
      <c r="A60" s="65" t="s">
        <v>90</v>
      </c>
      <c r="B60" s="78">
        <f>B55</f>
        <v>-0.8</v>
      </c>
      <c r="C60" s="78">
        <f>(B60+D60)/2</f>
        <v>0</v>
      </c>
      <c r="D60" s="78">
        <f>E55</f>
        <v>0.8</v>
      </c>
      <c r="E60" s="78"/>
      <c r="F60" s="65" t="s">
        <v>90</v>
      </c>
      <c r="G60" s="78">
        <f>1.2*E55</f>
        <v>0.96</v>
      </c>
      <c r="H60" s="78">
        <f>(G60+I60)/2</f>
        <v>0.96</v>
      </c>
      <c r="I60" s="78">
        <f>G60</f>
        <v>0.96</v>
      </c>
      <c r="J60" s="1"/>
    </row>
    <row r="61" spans="1:10" x14ac:dyDescent="0.25">
      <c r="A61" s="65" t="s">
        <v>91</v>
      </c>
      <c r="B61" s="65">
        <f>B56*1.2</f>
        <v>-1.44</v>
      </c>
      <c r="C61" s="65">
        <f>B61</f>
        <v>-1.44</v>
      </c>
      <c r="D61" s="65">
        <f>C61</f>
        <v>-1.44</v>
      </c>
      <c r="E61" s="1"/>
      <c r="F61" s="65" t="s">
        <v>91</v>
      </c>
      <c r="G61" s="95">
        <f>D56</f>
        <v>-0.79999999999999993</v>
      </c>
      <c r="H61" s="78">
        <f>(G61+I61)/2</f>
        <v>-1</v>
      </c>
      <c r="I61" s="65">
        <f>E56</f>
        <v>-1.2</v>
      </c>
      <c r="J61" s="1"/>
    </row>
    <row r="62" spans="1:10" x14ac:dyDescent="0.25">
      <c r="A62" s="97" t="s">
        <v>92</v>
      </c>
      <c r="B62" s="98">
        <f t="shared" ref="B62:D63" si="16">B60/$G$55*$H$55</f>
        <v>-27.777777777777779</v>
      </c>
      <c r="C62" s="98">
        <f t="shared" si="16"/>
        <v>0</v>
      </c>
      <c r="D62" s="98">
        <f t="shared" si="16"/>
        <v>27.777777777777779</v>
      </c>
      <c r="E62" s="1"/>
      <c r="F62" s="97" t="s">
        <v>92</v>
      </c>
      <c r="G62" s="98">
        <f t="shared" ref="G62:I63" si="17">G60/$G$55*$H$55</f>
        <v>33.333333333333329</v>
      </c>
      <c r="H62" s="98">
        <f t="shared" si="17"/>
        <v>33.333333333333329</v>
      </c>
      <c r="I62" s="98">
        <f t="shared" si="17"/>
        <v>33.333333333333329</v>
      </c>
      <c r="J62" s="1"/>
    </row>
    <row r="63" spans="1:10" x14ac:dyDescent="0.25">
      <c r="A63" s="97" t="s">
        <v>93</v>
      </c>
      <c r="B63" s="98">
        <f t="shared" si="16"/>
        <v>-50</v>
      </c>
      <c r="C63" s="98">
        <f t="shared" si="16"/>
        <v>-50</v>
      </c>
      <c r="D63" s="98">
        <f t="shared" si="16"/>
        <v>-50</v>
      </c>
      <c r="E63" s="1"/>
      <c r="F63" s="97" t="s">
        <v>93</v>
      </c>
      <c r="G63" s="98">
        <f t="shared" si="17"/>
        <v>-27.777777777777779</v>
      </c>
      <c r="H63" s="98">
        <f t="shared" si="17"/>
        <v>-34.722222222222221</v>
      </c>
      <c r="I63" s="98">
        <f t="shared" si="17"/>
        <v>-41.666666666666671</v>
      </c>
      <c r="J63" s="1"/>
    </row>
    <row r="64" spans="1:10" x14ac:dyDescent="0.25">
      <c r="A64" s="1"/>
      <c r="B64" s="1"/>
      <c r="C64" s="1"/>
      <c r="D64" s="1"/>
      <c r="E64" s="1"/>
      <c r="F64" s="1"/>
      <c r="G64" s="6"/>
      <c r="H64" s="6"/>
      <c r="I64" s="7"/>
      <c r="J64" s="6"/>
    </row>
    <row r="65" spans="1:10" x14ac:dyDescent="0.25">
      <c r="A65" s="1"/>
      <c r="B65" s="1"/>
      <c r="C65" s="1"/>
      <c r="D65" s="1"/>
      <c r="E65" s="1"/>
      <c r="F65" s="1"/>
      <c r="G65" s="6"/>
      <c r="H65" s="6"/>
      <c r="I65" s="7"/>
      <c r="J65" s="6"/>
    </row>
    <row r="66" spans="1:10" x14ac:dyDescent="0.25">
      <c r="A66" s="1" t="s">
        <v>115</v>
      </c>
      <c r="B66" s="65" t="s">
        <v>104</v>
      </c>
      <c r="C66" s="65" t="s">
        <v>105</v>
      </c>
      <c r="D66" s="65" t="s">
        <v>106</v>
      </c>
      <c r="E66" s="65" t="s">
        <v>107</v>
      </c>
      <c r="F66" s="1"/>
      <c r="G66" s="78" t="s">
        <v>118</v>
      </c>
      <c r="H66" s="78" t="s">
        <v>86</v>
      </c>
      <c r="I66" s="78" t="s">
        <v>87</v>
      </c>
      <c r="J66" s="78" t="s">
        <v>88</v>
      </c>
    </row>
    <row r="67" spans="1:10" x14ac:dyDescent="0.25">
      <c r="A67" s="65" t="s">
        <v>90</v>
      </c>
      <c r="B67" s="65">
        <f>B55+0.3*'Input + Process'!H4</f>
        <v>-1.4</v>
      </c>
      <c r="C67" s="65">
        <f>IF('Input + Process'!H33=20,0-0.5*'Input + Process'!H29-0.5*('Input + Process'!H31-'Input + Process'!H29),0-0.5*'Input + Process'!H29)</f>
        <v>-0.3</v>
      </c>
      <c r="D67" s="95">
        <f>D74</f>
        <v>0.3</v>
      </c>
      <c r="E67" s="65">
        <f>-B67</f>
        <v>1.4</v>
      </c>
      <c r="F67" s="1"/>
      <c r="G67" s="65" t="s">
        <v>90</v>
      </c>
      <c r="H67" s="78">
        <f>1.5*G60</f>
        <v>1.44</v>
      </c>
      <c r="I67" s="78">
        <f>(H67+J67)/2</f>
        <v>1.44</v>
      </c>
      <c r="J67" s="78">
        <f>H67</f>
        <v>1.44</v>
      </c>
    </row>
    <row r="68" spans="1:10" x14ac:dyDescent="0.25">
      <c r="A68" s="65" t="s">
        <v>91</v>
      </c>
      <c r="B68" s="95">
        <f>B56+ABS('Input + Process'!H4)</f>
        <v>0.8</v>
      </c>
      <c r="C68" s="95">
        <f>B68</f>
        <v>0.8</v>
      </c>
      <c r="D68" s="95">
        <f>C68</f>
        <v>0.8</v>
      </c>
      <c r="E68" s="95">
        <f>D68</f>
        <v>0.8</v>
      </c>
      <c r="F68" s="1"/>
      <c r="G68" s="65" t="s">
        <v>91</v>
      </c>
      <c r="H68" s="95">
        <f>E56</f>
        <v>-1.2</v>
      </c>
      <c r="I68" s="78">
        <f>(H68+J68)/2</f>
        <v>-0.19999999999999996</v>
      </c>
      <c r="J68" s="95">
        <f>E68</f>
        <v>0.8</v>
      </c>
    </row>
    <row r="69" spans="1:10" x14ac:dyDescent="0.25">
      <c r="A69" s="97" t="s">
        <v>92</v>
      </c>
      <c r="B69" s="98">
        <f t="shared" ref="B69:E70" si="18">B67/$G$55*$H$55</f>
        <v>-48.611111111111107</v>
      </c>
      <c r="C69" s="98">
        <f t="shared" si="18"/>
        <v>-10.416666666666668</v>
      </c>
      <c r="D69" s="98">
        <f t="shared" si="18"/>
        <v>10.416666666666668</v>
      </c>
      <c r="E69" s="98">
        <f t="shared" si="18"/>
        <v>48.611111111111107</v>
      </c>
      <c r="F69" s="6"/>
      <c r="G69" s="97" t="s">
        <v>92</v>
      </c>
      <c r="H69" s="98">
        <f t="shared" ref="H69:J70" si="19">H67/$G$55*$H$55</f>
        <v>50</v>
      </c>
      <c r="I69" s="98">
        <f t="shared" si="19"/>
        <v>50</v>
      </c>
      <c r="J69" s="98">
        <f t="shared" si="19"/>
        <v>50</v>
      </c>
    </row>
    <row r="70" spans="1:10" x14ac:dyDescent="0.25">
      <c r="A70" s="97" t="s">
        <v>93</v>
      </c>
      <c r="B70" s="98">
        <f t="shared" si="18"/>
        <v>27.777777777777779</v>
      </c>
      <c r="C70" s="98">
        <f t="shared" si="18"/>
        <v>27.777777777777779</v>
      </c>
      <c r="D70" s="98">
        <f t="shared" si="18"/>
        <v>27.777777777777779</v>
      </c>
      <c r="E70" s="98">
        <f t="shared" si="18"/>
        <v>27.777777777777779</v>
      </c>
      <c r="F70" s="6"/>
      <c r="G70" s="97" t="s">
        <v>93</v>
      </c>
      <c r="H70" s="98">
        <f t="shared" si="19"/>
        <v>-41.666666666666671</v>
      </c>
      <c r="I70" s="98">
        <f t="shared" si="19"/>
        <v>-6.9444444444444438</v>
      </c>
      <c r="J70" s="98">
        <f t="shared" si="19"/>
        <v>27.777777777777779</v>
      </c>
    </row>
    <row r="71" spans="1:1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</row>
    <row r="72" spans="1:10" x14ac:dyDescent="0.25">
      <c r="A72" s="8"/>
      <c r="B72" s="8"/>
      <c r="C72" s="8"/>
      <c r="D72" s="8"/>
      <c r="E72" s="8"/>
      <c r="F72" s="8"/>
      <c r="G72" s="1"/>
      <c r="H72" s="1"/>
      <c r="I72" s="1"/>
      <c r="J72" s="1"/>
    </row>
    <row r="73" spans="1:10" x14ac:dyDescent="0.25">
      <c r="A73" s="2" t="s">
        <v>114</v>
      </c>
      <c r="B73" s="70" t="s">
        <v>94</v>
      </c>
      <c r="C73" s="70" t="s">
        <v>108</v>
      </c>
      <c r="D73" s="70" t="s">
        <v>109</v>
      </c>
      <c r="E73" s="70" t="s">
        <v>110</v>
      </c>
      <c r="F73" s="2"/>
      <c r="G73" s="78" t="s">
        <v>121</v>
      </c>
      <c r="H73" s="78" t="s">
        <v>86</v>
      </c>
      <c r="I73" s="78" t="s">
        <v>87</v>
      </c>
      <c r="J73" s="78" t="s">
        <v>88</v>
      </c>
    </row>
    <row r="74" spans="1:10" x14ac:dyDescent="0.25">
      <c r="A74" s="65" t="s">
        <v>90</v>
      </c>
      <c r="B74" s="90">
        <f>IF('Input + Process'!H33=20,-0.5*'Input + Process'!H29-0.5*('Input + Process'!H31-'Input + Process'!H29),-0.5*'Input + Process'!H29)</f>
        <v>-0.3</v>
      </c>
      <c r="C74" s="90">
        <f>B74</f>
        <v>-0.3</v>
      </c>
      <c r="D74" s="99">
        <f>C74+'Input + Process'!H29</f>
        <v>0.3</v>
      </c>
      <c r="E74" s="90">
        <f>D74</f>
        <v>0.3</v>
      </c>
      <c r="F74" s="8"/>
      <c r="G74" s="65" t="s">
        <v>90</v>
      </c>
      <c r="H74" s="78">
        <f>C74</f>
        <v>-0.3</v>
      </c>
      <c r="I74" s="78">
        <f>(H74+J74)/2</f>
        <v>0</v>
      </c>
      <c r="J74" s="78">
        <f>D74</f>
        <v>0.3</v>
      </c>
    </row>
    <row r="75" spans="1:10" x14ac:dyDescent="0.25">
      <c r="A75" s="65" t="s">
        <v>91</v>
      </c>
      <c r="B75" s="65">
        <f>C56</f>
        <v>-0.79999999999999993</v>
      </c>
      <c r="C75" s="95">
        <f>C68-'Input + Process'!H4*0.2</f>
        <v>1.2000000000000002</v>
      </c>
      <c r="D75" s="95">
        <f>C75</f>
        <v>1.2000000000000002</v>
      </c>
      <c r="E75" s="65">
        <f>C56</f>
        <v>-0.79999999999999993</v>
      </c>
      <c r="F75" s="1"/>
      <c r="G75" s="65" t="s">
        <v>91</v>
      </c>
      <c r="H75" s="65">
        <f>1.2*C75</f>
        <v>1.4400000000000002</v>
      </c>
      <c r="I75" s="65">
        <f>H75</f>
        <v>1.4400000000000002</v>
      </c>
      <c r="J75" s="65">
        <f>I75</f>
        <v>1.4400000000000002</v>
      </c>
    </row>
    <row r="76" spans="1:10" x14ac:dyDescent="0.25">
      <c r="A76" s="97" t="s">
        <v>92</v>
      </c>
      <c r="B76" s="98">
        <f t="shared" ref="B76:E77" si="20">B74/$G$55*$H$55</f>
        <v>-10.416666666666668</v>
      </c>
      <c r="C76" s="98">
        <f t="shared" si="20"/>
        <v>-10.416666666666668</v>
      </c>
      <c r="D76" s="98">
        <f t="shared" si="20"/>
        <v>10.416666666666668</v>
      </c>
      <c r="E76" s="98">
        <f t="shared" si="20"/>
        <v>10.416666666666668</v>
      </c>
      <c r="F76" s="1"/>
      <c r="G76" s="97" t="s">
        <v>92</v>
      </c>
      <c r="H76" s="98">
        <f t="shared" ref="H76:J77" si="21">H74/$G$55*$H$55</f>
        <v>-10.416666666666668</v>
      </c>
      <c r="I76" s="98">
        <f t="shared" si="21"/>
        <v>0</v>
      </c>
      <c r="J76" s="98">
        <f t="shared" si="21"/>
        <v>10.416666666666668</v>
      </c>
    </row>
    <row r="77" spans="1:10" x14ac:dyDescent="0.25">
      <c r="A77" s="97" t="s">
        <v>93</v>
      </c>
      <c r="B77" s="98">
        <f t="shared" si="20"/>
        <v>-27.777777777777779</v>
      </c>
      <c r="C77" s="98">
        <f t="shared" si="20"/>
        <v>41.666666666666671</v>
      </c>
      <c r="D77" s="98">
        <f t="shared" si="20"/>
        <v>41.666666666666671</v>
      </c>
      <c r="E77" s="98">
        <f t="shared" si="20"/>
        <v>-27.777777777777779</v>
      </c>
      <c r="F77" s="1"/>
      <c r="G77" s="97" t="s">
        <v>93</v>
      </c>
      <c r="H77" s="98">
        <f t="shared" si="21"/>
        <v>50.000000000000014</v>
      </c>
      <c r="I77" s="98">
        <f t="shared" si="21"/>
        <v>50.000000000000014</v>
      </c>
      <c r="J77" s="98">
        <f t="shared" si="21"/>
        <v>50.000000000000014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Input + Process</vt:lpstr>
      <vt:lpstr>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indra raj suweda</dc:creator>
  <cp:lastModifiedBy>indra raj suweda</cp:lastModifiedBy>
  <cp:lastPrinted>2021-05-30T01:55:30Z</cp:lastPrinted>
  <dcterms:created xsi:type="dcterms:W3CDTF">2015-06-05T18:17:20Z</dcterms:created>
  <dcterms:modified xsi:type="dcterms:W3CDTF">2024-08-13T05:45:49Z</dcterms:modified>
</cp:coreProperties>
</file>