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INPETRA.ID\Lite\"/>
    </mc:Choice>
  </mc:AlternateContent>
  <xr:revisionPtr revIDLastSave="0" documentId="13_ncr:1_{962D60D5-891A-433D-8AA8-B702C16C8EE6}" xr6:coauthVersionLast="47" xr6:coauthVersionMax="47" xr10:uidLastSave="{00000000-0000-0000-0000-000000000000}"/>
  <bookViews>
    <workbookView xWindow="-110" yWindow="-110" windowWidth="25820" windowHeight="13900" tabRatio="776" activeTab="2" xr2:uid="{E53FFA0E-4ACC-4D35-AEF6-D7F7333C60AE}"/>
  </bookViews>
  <sheets>
    <sheet name="About" sheetId="19" r:id="rId1"/>
    <sheet name="Input" sheetId="1" r:id="rId2"/>
    <sheet name="Process (1)" sheetId="16" r:id="rId3"/>
    <sheet name="Result " sheetId="17" r:id="rId4"/>
    <sheet name="Report" sheetId="18" r:id="rId5"/>
  </sheets>
  <definedNames>
    <definedName name="te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5" i="16" l="1"/>
  <c r="H59" i="17" s="1"/>
  <c r="H114" i="16"/>
  <c r="H58" i="17" s="1"/>
  <c r="C35" i="1"/>
  <c r="C40" i="18" s="1"/>
  <c r="F6" i="18"/>
  <c r="F5" i="18"/>
  <c r="F3" i="18"/>
  <c r="D247" i="18"/>
  <c r="H239" i="18"/>
  <c r="D242" i="18" s="1"/>
  <c r="F236" i="18"/>
  <c r="D236" i="18"/>
  <c r="F232" i="18"/>
  <c r="D232" i="18"/>
  <c r="H229" i="18"/>
  <c r="H225" i="18"/>
  <c r="H226" i="18"/>
  <c r="H224" i="18"/>
  <c r="H221" i="18"/>
  <c r="H220" i="18"/>
  <c r="H219" i="18"/>
  <c r="H218" i="18"/>
  <c r="H216" i="18"/>
  <c r="H211" i="18"/>
  <c r="H212" i="18"/>
  <c r="H213" i="18"/>
  <c r="H214" i="18"/>
  <c r="H210" i="18"/>
  <c r="H209" i="18"/>
  <c r="F207" i="18"/>
  <c r="D207" i="18"/>
  <c r="F204" i="18"/>
  <c r="D204" i="18"/>
  <c r="H198" i="18"/>
  <c r="H199" i="18"/>
  <c r="H197" i="18"/>
  <c r="H195" i="18"/>
  <c r="H194" i="18"/>
  <c r="H193" i="18"/>
  <c r="H192" i="18"/>
  <c r="E186" i="18"/>
  <c r="H180" i="18"/>
  <c r="G186" i="18" s="1"/>
  <c r="H179" i="18"/>
  <c r="H189" i="18" s="1"/>
  <c r="H178" i="18"/>
  <c r="H176" i="18"/>
  <c r="C186" i="18" s="1"/>
  <c r="H165" i="18"/>
  <c r="D167" i="18" s="1"/>
  <c r="H163" i="18"/>
  <c r="H150" i="18"/>
  <c r="H152" i="18"/>
  <c r="D154" i="18" s="1"/>
  <c r="H146" i="18"/>
  <c r="H144" i="18"/>
  <c r="H145" i="18"/>
  <c r="H143" i="18"/>
  <c r="H141" i="18"/>
  <c r="H139" i="18"/>
  <c r="H137" i="18"/>
  <c r="H135" i="18"/>
  <c r="H134" i="18"/>
  <c r="H131" i="18"/>
  <c r="H130" i="18"/>
  <c r="H128" i="18"/>
  <c r="H127" i="18"/>
  <c r="H126" i="18"/>
  <c r="H125" i="18"/>
  <c r="E122" i="18"/>
  <c r="C122" i="18"/>
  <c r="H115" i="18"/>
  <c r="H114" i="18"/>
  <c r="H112" i="18"/>
  <c r="G85" i="18"/>
  <c r="E85" i="18"/>
  <c r="C85" i="18"/>
  <c r="I85" i="18"/>
  <c r="E78" i="18"/>
  <c r="B74" i="18"/>
  <c r="E47" i="18"/>
  <c r="E46" i="18"/>
  <c r="E45" i="18"/>
  <c r="E44" i="18"/>
  <c r="E43" i="18"/>
  <c r="E42" i="18"/>
  <c r="E41" i="18"/>
  <c r="E40" i="18"/>
  <c r="D47" i="18"/>
  <c r="D46" i="18"/>
  <c r="D45" i="18"/>
  <c r="D44" i="18"/>
  <c r="D43" i="18"/>
  <c r="D42" i="18"/>
  <c r="D41" i="18"/>
  <c r="D40" i="18"/>
  <c r="B40" i="18"/>
  <c r="H66" i="18"/>
  <c r="H65" i="18"/>
  <c r="H64" i="18"/>
  <c r="H63" i="18"/>
  <c r="H62" i="18"/>
  <c r="H59" i="18"/>
  <c r="H58" i="18"/>
  <c r="H51" i="18"/>
  <c r="H52" i="18"/>
  <c r="H50" i="18"/>
  <c r="H35" i="18"/>
  <c r="H36" i="18"/>
  <c r="H34" i="18"/>
  <c r="H17" i="18"/>
  <c r="H18" i="18"/>
  <c r="H19" i="18"/>
  <c r="H20" i="18"/>
  <c r="H16" i="18"/>
  <c r="H11" i="18"/>
  <c r="H12" i="18"/>
  <c r="H13" i="18"/>
  <c r="H10" i="18"/>
  <c r="B9" i="18"/>
  <c r="F64" i="17"/>
  <c r="D64" i="17"/>
  <c r="H67" i="17"/>
  <c r="D75" i="17"/>
  <c r="D70" i="17"/>
  <c r="G56" i="17"/>
  <c r="E56" i="17"/>
  <c r="C56" i="17"/>
  <c r="I32" i="17"/>
  <c r="H20" i="17"/>
  <c r="H19" i="17"/>
  <c r="H13" i="17"/>
  <c r="H14" i="17"/>
  <c r="H12" i="17"/>
  <c r="H9" i="17"/>
  <c r="H10" i="17"/>
  <c r="H8" i="17"/>
  <c r="H4" i="17"/>
  <c r="H5" i="17"/>
  <c r="H6" i="17"/>
  <c r="H3" i="17"/>
  <c r="H93" i="16"/>
  <c r="D95" i="16" s="1"/>
  <c r="H80" i="16"/>
  <c r="D82" i="16" s="1"/>
  <c r="E35" i="1"/>
  <c r="H60" i="1"/>
  <c r="H59" i="1"/>
  <c r="H119" i="16" s="1"/>
  <c r="H120" i="16"/>
  <c r="H58" i="1"/>
  <c r="H135" i="16" s="1"/>
  <c r="H118" i="16"/>
  <c r="H91" i="16"/>
  <c r="H188" i="18" l="1"/>
  <c r="H85" i="18"/>
  <c r="D158" i="18"/>
  <c r="E207" i="18"/>
  <c r="H186" i="18"/>
  <c r="D186" i="18"/>
  <c r="F186" i="18"/>
  <c r="D122" i="18"/>
  <c r="E48" i="18"/>
  <c r="H56" i="17"/>
  <c r="G64" i="17" s="1"/>
  <c r="D56" i="17"/>
  <c r="F56" i="17"/>
  <c r="H123" i="16"/>
  <c r="H78" i="16"/>
  <c r="D86" i="16" s="1"/>
  <c r="D48" i="17" s="1"/>
  <c r="H207" i="18" l="1"/>
  <c r="D85" i="18"/>
  <c r="D87" i="18"/>
  <c r="F162" i="18"/>
  <c r="F149" i="18"/>
  <c r="E64" i="17"/>
  <c r="H165" i="16"/>
  <c r="D168" i="16" s="1"/>
  <c r="E112" i="16"/>
  <c r="I13" i="16"/>
  <c r="E6" i="16"/>
  <c r="E25" i="17" s="1"/>
  <c r="D133" i="16"/>
  <c r="D130" i="16"/>
  <c r="H124" i="16"/>
  <c r="H125" i="16" s="1"/>
  <c r="H106" i="16"/>
  <c r="H108" i="16" s="1"/>
  <c r="G112" i="16" s="1"/>
  <c r="H104" i="16"/>
  <c r="H65" i="16"/>
  <c r="H66" i="16" s="1"/>
  <c r="H72" i="16"/>
  <c r="H68" i="16"/>
  <c r="H67" i="16"/>
  <c r="H61" i="16"/>
  <c r="H204" i="18" l="1"/>
  <c r="C208" i="18" s="1"/>
  <c r="E204" i="18"/>
  <c r="E90" i="18"/>
  <c r="E91" i="18" s="1"/>
  <c r="E87" i="18"/>
  <c r="C112" i="16"/>
  <c r="H62" i="16"/>
  <c r="F130" i="16"/>
  <c r="H130" i="16" s="1"/>
  <c r="H112" i="16"/>
  <c r="D112" i="16"/>
  <c r="H69" i="16"/>
  <c r="H73" i="16" s="1"/>
  <c r="H57" i="16"/>
  <c r="H56" i="16"/>
  <c r="H46" i="16"/>
  <c r="H45" i="16"/>
  <c r="H48" i="1"/>
  <c r="D40" i="1"/>
  <c r="E40" i="1" s="1"/>
  <c r="D41" i="1"/>
  <c r="E41" i="1" s="1"/>
  <c r="D42" i="1"/>
  <c r="E42" i="1" s="1"/>
  <c r="D36" i="1"/>
  <c r="E36" i="1" s="1"/>
  <c r="B41" i="1"/>
  <c r="B36" i="1"/>
  <c r="C13" i="16"/>
  <c r="C32" i="17" s="1"/>
  <c r="C36" i="1" l="1"/>
  <c r="C41" i="18" s="1"/>
  <c r="B41" i="18"/>
  <c r="B42" i="1"/>
  <c r="B46" i="18"/>
  <c r="C6" i="16"/>
  <c r="H53" i="18"/>
  <c r="H15" i="17"/>
  <c r="E130" i="16"/>
  <c r="D173" i="16"/>
  <c r="D162" i="16"/>
  <c r="F112" i="16"/>
  <c r="H50" i="1"/>
  <c r="D37" i="1"/>
  <c r="B37" i="1"/>
  <c r="C41" i="1"/>
  <c r="C46" i="18" s="1"/>
  <c r="C37" i="1" l="1"/>
  <c r="C42" i="18" s="1"/>
  <c r="B42" i="18"/>
  <c r="C42" i="1"/>
  <c r="C47" i="18" s="1"/>
  <c r="B47" i="18"/>
  <c r="C18" i="16"/>
  <c r="H17" i="17"/>
  <c r="H56" i="18"/>
  <c r="C25" i="17"/>
  <c r="C78" i="18"/>
  <c r="H227" i="18"/>
  <c r="E232" i="18" s="1"/>
  <c r="H47" i="16"/>
  <c r="G6" i="16"/>
  <c r="D6" i="16"/>
  <c r="E37" i="1"/>
  <c r="D38" i="1"/>
  <c r="B38" i="1"/>
  <c r="C38" i="1" l="1"/>
  <c r="C43" i="18" s="1"/>
  <c r="B43" i="18"/>
  <c r="H48" i="16"/>
  <c r="H116" i="18"/>
  <c r="G78" i="18"/>
  <c r="D78" i="18"/>
  <c r="G25" i="17"/>
  <c r="D25" i="17"/>
  <c r="C37" i="17"/>
  <c r="C91" i="18"/>
  <c r="H232" i="18"/>
  <c r="E38" i="1"/>
  <c r="D39" i="1"/>
  <c r="E39" i="1" s="1"/>
  <c r="B39" i="1"/>
  <c r="C39" i="1" l="1"/>
  <c r="C44" i="18" s="1"/>
  <c r="B44" i="18"/>
  <c r="D91" i="18"/>
  <c r="G91" i="18"/>
  <c r="H49" i="16"/>
  <c r="H117" i="18"/>
  <c r="G236" i="18"/>
  <c r="E236" i="18"/>
  <c r="E43" i="1"/>
  <c r="B40" i="1"/>
  <c r="C40" i="1" l="1"/>
  <c r="B45" i="18"/>
  <c r="G53" i="16"/>
  <c r="H118" i="18"/>
  <c r="H59" i="16"/>
  <c r="H44" i="17" s="1"/>
  <c r="E53" i="16"/>
  <c r="E42" i="17" s="1"/>
  <c r="H43" i="16"/>
  <c r="C53" i="16" s="1"/>
  <c r="C42" i="17" s="1"/>
  <c r="D42" i="17" s="1"/>
  <c r="H136" i="16"/>
  <c r="H137" i="16"/>
  <c r="H145" i="16"/>
  <c r="H140" i="16"/>
  <c r="H142" i="16" s="1"/>
  <c r="H170" i="16" s="1"/>
  <c r="H139" i="16"/>
  <c r="H138" i="16"/>
  <c r="C43" i="1" l="1"/>
  <c r="C45" i="18"/>
  <c r="C48" i="18" s="1"/>
  <c r="H72" i="17"/>
  <c r="H244" i="18"/>
  <c r="G42" i="17"/>
  <c r="F42" i="17" s="1"/>
  <c r="G122" i="18"/>
  <c r="G13" i="16"/>
  <c r="H53" i="16"/>
  <c r="D53" i="16"/>
  <c r="H144" i="16"/>
  <c r="F133" i="16" s="1"/>
  <c r="H146" i="16"/>
  <c r="H122" i="18" l="1"/>
  <c r="F122" i="18"/>
  <c r="H13" i="16"/>
  <c r="G32" i="17"/>
  <c r="H32" i="17" s="1"/>
  <c r="H42" i="17" s="1"/>
  <c r="H71" i="16"/>
  <c r="E13" i="16"/>
  <c r="F53" i="16"/>
  <c r="D15" i="16" l="1"/>
  <c r="E15" i="16" s="1"/>
  <c r="E32" i="17"/>
  <c r="H74" i="16"/>
  <c r="F90" i="16" s="1"/>
  <c r="H133" i="16"/>
  <c r="C134" i="16" s="1"/>
  <c r="E133" i="16"/>
  <c r="D13" i="16"/>
  <c r="E17" i="16"/>
  <c r="E18" i="16" s="1"/>
  <c r="G18" i="16" l="1"/>
  <c r="E37" i="17"/>
  <c r="D32" i="17"/>
  <c r="D34" i="17"/>
  <c r="F77" i="16"/>
  <c r="H90" i="16"/>
  <c r="H162" i="18" s="1"/>
  <c r="F171" i="18" s="1"/>
  <c r="H77" i="16"/>
  <c r="H151" i="16"/>
  <c r="H150" i="16"/>
  <c r="D158" i="16"/>
  <c r="F99" i="16"/>
  <c r="F52" i="17" s="1"/>
  <c r="H92" i="16"/>
  <c r="H164" i="18" s="1"/>
  <c r="F167" i="18" s="1"/>
  <c r="H152" i="16"/>
  <c r="D18" i="16"/>
  <c r="H167" i="18" l="1"/>
  <c r="G169" i="18" s="1"/>
  <c r="E167" i="18"/>
  <c r="H79" i="16"/>
  <c r="H149" i="18"/>
  <c r="F158" i="18" s="1"/>
  <c r="E36" i="17"/>
  <c r="E34" i="17"/>
  <c r="G37" i="17"/>
  <c r="D37" i="17"/>
  <c r="F86" i="16"/>
  <c r="F95" i="16"/>
  <c r="H86" i="16"/>
  <c r="H153" i="16"/>
  <c r="F162" i="16" s="1"/>
  <c r="G162" i="16" s="1"/>
  <c r="H164" i="16" s="1"/>
  <c r="H66" i="17" l="1"/>
  <c r="H238" i="18"/>
  <c r="F242" i="18" s="1"/>
  <c r="H158" i="18"/>
  <c r="E158" i="18"/>
  <c r="F82" i="16"/>
  <c r="H151" i="18"/>
  <c r="F154" i="18" s="1"/>
  <c r="G189" i="18"/>
  <c r="D171" i="18"/>
  <c r="E86" i="16"/>
  <c r="F48" i="17"/>
  <c r="H95" i="16"/>
  <c r="G97" i="16" s="1"/>
  <c r="G50" i="17" s="1"/>
  <c r="E95" i="16"/>
  <c r="H171" i="16"/>
  <c r="F158" i="16"/>
  <c r="H158" i="16" s="1"/>
  <c r="E162" i="16"/>
  <c r="F168" i="16"/>
  <c r="F173" i="16" l="1"/>
  <c r="H73" i="17"/>
  <c r="H245" i="18"/>
  <c r="E154" i="18"/>
  <c r="H154" i="18"/>
  <c r="H82" i="16"/>
  <c r="E82" i="16"/>
  <c r="E242" i="18"/>
  <c r="H242" i="18"/>
  <c r="H171" i="18"/>
  <c r="E171" i="18"/>
  <c r="H168" i="16"/>
  <c r="F70" i="17"/>
  <c r="E173" i="16"/>
  <c r="E48" i="17"/>
  <c r="H48" i="17"/>
  <c r="D99" i="16"/>
  <c r="D52" i="17" s="1"/>
  <c r="G115" i="16"/>
  <c r="G59" i="17" s="1"/>
  <c r="E158" i="16"/>
  <c r="E168" i="16"/>
  <c r="H97" i="16" l="1"/>
  <c r="H50" i="17" s="1"/>
  <c r="G84" i="16"/>
  <c r="H84" i="16"/>
  <c r="H46" i="17" s="1"/>
  <c r="H156" i="18"/>
  <c r="H169" i="18"/>
  <c r="G156" i="18"/>
  <c r="G188" i="18" s="1"/>
  <c r="H70" i="17"/>
  <c r="E70" i="17"/>
  <c r="H173" i="16"/>
  <c r="F247" i="18"/>
  <c r="F75" i="17"/>
  <c r="H52" i="17"/>
  <c r="E52" i="17"/>
  <c r="E99" i="16"/>
  <c r="H99" i="16"/>
  <c r="E75" i="17" l="1"/>
  <c r="H75" i="17"/>
  <c r="E247" i="18"/>
  <c r="H247" i="18"/>
  <c r="G46" i="17"/>
  <c r="G114" i="16"/>
  <c r="G58" i="17" s="1"/>
</calcChain>
</file>

<file path=xl/sharedStrings.xml><?xml version="1.0" encoding="utf-8"?>
<sst xmlns="http://schemas.openxmlformats.org/spreadsheetml/2006/main" count="866" uniqueCount="254">
  <si>
    <t>MPa</t>
  </si>
  <si>
    <t>Jumlah tulangan longitudinal,</t>
  </si>
  <si>
    <t>Diameter tulangan longitudinal,</t>
  </si>
  <si>
    <t>D =</t>
  </si>
  <si>
    <t>mm</t>
  </si>
  <si>
    <r>
      <t>L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</si>
  <si>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</si>
  <si>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' =</t>
    </r>
  </si>
  <si>
    <t>Tebal selimut beton,</t>
  </si>
  <si>
    <r>
      <t>t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</si>
  <si>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t>Kuat tekan beton,</t>
  </si>
  <si>
    <t>Tegangan leleh baja tulangan longitudinal,</t>
  </si>
  <si>
    <t>Tegangan leleh baja tulangan transversal,</t>
  </si>
  <si>
    <t>Modulus elastisitas baja,</t>
  </si>
  <si>
    <r>
      <t>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</si>
  <si>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t>Arah sejajar sumbu X,</t>
  </si>
  <si>
    <t>Arah sejajar sumbu Y,</t>
  </si>
  <si>
    <r>
      <t>n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</si>
  <si>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=</t>
    </r>
  </si>
  <si>
    <t>kN</t>
  </si>
  <si>
    <t>→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</si>
  <si>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</si>
  <si>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Syarat :</t>
  </si>
  <si>
    <t>&lt;</t>
  </si>
  <si>
    <t>&gt;</t>
  </si>
  <si>
    <t>Luas penampang kolom,</t>
  </si>
  <si>
    <t xml:space="preserve">REPORT OUTPUT EXCEL SPREADSHEET </t>
  </si>
  <si>
    <t>• Nama Program</t>
  </si>
  <si>
    <t xml:space="preserve">• Versi </t>
  </si>
  <si>
    <t>• Penyusun</t>
  </si>
  <si>
    <t>• email</t>
  </si>
  <si>
    <t>A.</t>
  </si>
  <si>
    <t>DATA PERENCANAAN</t>
  </si>
  <si>
    <t>A.1.</t>
  </si>
  <si>
    <t>NO.</t>
  </si>
  <si>
    <t>EXPLANATORY</t>
  </si>
  <si>
    <t>FORMULA</t>
  </si>
  <si>
    <t>VALUE</t>
  </si>
  <si>
    <t>UNIT</t>
  </si>
  <si>
    <t>INPUT DATA PERENCANAAN</t>
  </si>
  <si>
    <t>A.2.</t>
  </si>
  <si>
    <t>B.</t>
  </si>
  <si>
    <t>B.1.</t>
  </si>
  <si>
    <t>B.2.</t>
  </si>
  <si>
    <t>B.3.</t>
  </si>
  <si>
    <t>Dimensi dan penulangan penampang kolom,</t>
  </si>
  <si>
    <t>Judul Program</t>
  </si>
  <si>
    <t>:</t>
  </si>
  <si>
    <t>Versi Program</t>
  </si>
  <si>
    <t>Penyusun</t>
  </si>
  <si>
    <t>Email</t>
  </si>
  <si>
    <t>Selalu cek versi terbaru dan juga program - program lainnya hanya di :</t>
  </si>
  <si>
    <t xml:space="preserve">"Terima kasih sudah membeli program ini sebagai bentuk dukungan kepada salah satu visi Inpetra ID </t>
  </si>
  <si>
    <t>mengembangkan program bantu yang berkualitas dan sesuai dengan kebutuhan kondisi di Indonesia"</t>
  </si>
  <si>
    <t>info@inpetra.id</t>
  </si>
  <si>
    <t>Gaya geser akibat kombinasi beban terfaktor,</t>
  </si>
  <si>
    <r>
      <t>V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=</t>
    </r>
  </si>
  <si>
    <t>Kuat geser beton untuk komponan dengan gaya aksial tekan,</t>
  </si>
  <si>
    <r>
      <rPr>
        <b/>
        <sz val="11"/>
        <color rgb="FFFF0000"/>
        <rFont val="Calibri"/>
        <family val="2"/>
        <scheme val="minor"/>
      </rPr>
      <t>nb.</t>
    </r>
    <r>
      <rPr>
        <sz val="11"/>
        <color theme="1"/>
        <rFont val="Calibri"/>
        <family val="2"/>
        <scheme val="minor"/>
      </rPr>
      <t xml:space="preserve"> Gaya aksial bernilai positif untuk tekan</t>
    </r>
  </si>
  <si>
    <t>Lebar penampang kolom,</t>
  </si>
  <si>
    <t>Panjang penampang kolom,</t>
  </si>
  <si>
    <r>
      <t>M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</si>
  <si>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 0,17 * ( 1 + N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>/(14*A</t>
    </r>
    <r>
      <rPr>
        <vertAlign val="subscript"/>
        <sz val="11"/>
        <rFont val="Calibri"/>
        <family val="2"/>
        <scheme val="minor"/>
      </rPr>
      <t>g</t>
    </r>
    <r>
      <rPr>
        <sz val="11"/>
        <rFont val="Calibri"/>
        <family val="2"/>
        <scheme val="minor"/>
      </rPr>
      <t xml:space="preserve">) ) * </t>
    </r>
    <r>
      <rPr>
        <sz val="11"/>
        <rFont val="Calibri"/>
        <family val="2"/>
      </rPr>
      <t>λ * √fc' * b</t>
    </r>
    <r>
      <rPr>
        <vertAlign val="subscript"/>
        <sz val="11"/>
        <rFont val="Calibri"/>
        <family val="2"/>
      </rPr>
      <t>w</t>
    </r>
    <r>
      <rPr>
        <sz val="11"/>
        <rFont val="Calibri"/>
        <family val="2"/>
      </rPr>
      <t xml:space="preserve"> * d =</t>
    </r>
  </si>
  <si>
    <r>
      <t>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</si>
  <si>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 0,29 *  λ * √fc' * b</t>
    </r>
    <r>
      <rPr>
        <vertAlign val="subscript"/>
        <sz val="11"/>
        <rFont val="Calibri"/>
        <family val="2"/>
        <scheme val="minor"/>
      </rPr>
      <t>w</t>
    </r>
    <r>
      <rPr>
        <sz val="11"/>
        <rFont val="Calibri"/>
        <family val="2"/>
        <scheme val="minor"/>
      </rPr>
      <t xml:space="preserve"> * d </t>
    </r>
    <r>
      <rPr>
        <sz val="9.35"/>
        <rFont val="Calibri"/>
        <family val="2"/>
      </rPr>
      <t>* √</t>
    </r>
    <r>
      <rPr>
        <sz val="11"/>
        <rFont val="Calibri"/>
        <family val="2"/>
        <scheme val="minor"/>
      </rPr>
      <t>[1</t>
    </r>
    <r>
      <rPr>
        <vertAlign val="sub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+ (0,29 * N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/ A</t>
    </r>
    <r>
      <rPr>
        <vertAlign val="subscript"/>
        <sz val="11"/>
        <rFont val="Calibri"/>
        <family val="2"/>
        <scheme val="minor"/>
      </rPr>
      <t>g</t>
    </r>
    <r>
      <rPr>
        <sz val="11"/>
        <rFont val="Calibri"/>
        <family val="2"/>
        <scheme val="minor"/>
      </rPr>
      <t>)]</t>
    </r>
    <r>
      <rPr>
        <sz val="11"/>
        <rFont val="Calibri"/>
        <family val="2"/>
      </rPr>
      <t xml:space="preserve"> =</t>
    </r>
  </si>
  <si>
    <r>
      <t>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 0,16 *  λ * √fc' + 17</t>
    </r>
    <r>
      <rPr>
        <sz val="11"/>
        <rFont val="Calibri"/>
        <family val="2"/>
      </rPr>
      <t>ρ</t>
    </r>
    <r>
      <rPr>
        <vertAlign val="subscript"/>
        <sz val="9.35"/>
        <rFont val="Calibri"/>
        <family val="2"/>
      </rPr>
      <t>w</t>
    </r>
    <r>
      <rPr>
        <sz val="9.35"/>
        <rFont val="Calibri"/>
        <family val="2"/>
      </rPr>
      <t xml:space="preserve"> * </t>
    </r>
    <r>
      <rPr>
        <sz val="11"/>
        <rFont val="Calibri"/>
        <family val="2"/>
        <scheme val="minor"/>
      </rPr>
      <t>[ V</t>
    </r>
    <r>
      <rPr>
        <vertAlign val="subscript"/>
        <sz val="11"/>
        <rFont val="Calibri"/>
        <family val="2"/>
        <scheme val="minor"/>
      </rPr>
      <t xml:space="preserve">u </t>
    </r>
    <r>
      <rPr>
        <sz val="11"/>
        <rFont val="Calibri"/>
        <family val="2"/>
        <scheme val="minor"/>
      </rPr>
      <t>*d / (M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- N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* (4h - d)/8)) ] *</t>
    </r>
    <r>
      <rPr>
        <sz val="11"/>
        <rFont val="Calibri"/>
        <family val="2"/>
      </rPr>
      <t xml:space="preserve"> b</t>
    </r>
    <r>
      <rPr>
        <vertAlign val="subscript"/>
        <sz val="11"/>
        <rFont val="Calibri"/>
        <family val="2"/>
      </rPr>
      <t>w</t>
    </r>
    <r>
      <rPr>
        <sz val="11"/>
        <rFont val="Calibri"/>
        <family val="2"/>
      </rPr>
      <t xml:space="preserve"> * d =</t>
    </r>
  </si>
  <si>
    <t>Jarak serat tekan terjauh ke sentroid tulangan longitudinal,</t>
  </si>
  <si>
    <r>
      <t>Rasio 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terhadap b</t>
    </r>
    <r>
      <rPr>
        <vertAlign val="subscript"/>
        <sz val="11"/>
        <rFont val="Calibri"/>
        <family val="2"/>
        <scheme val="minor"/>
      </rPr>
      <t>w</t>
    </r>
    <r>
      <rPr>
        <sz val="11"/>
        <rFont val="Calibri"/>
        <family val="2"/>
        <scheme val="minor"/>
      </rPr>
      <t>d,</t>
    </r>
  </si>
  <si>
    <r>
      <t>ρ</t>
    </r>
    <r>
      <rPr>
        <vertAlign val="subscript"/>
        <sz val="11"/>
        <rFont val="Calibri"/>
        <family val="2"/>
        <scheme val="minor"/>
      </rPr>
      <t>w</t>
    </r>
    <r>
      <rPr>
        <sz val="11"/>
        <rFont val="Calibri"/>
        <family val="2"/>
        <scheme val="minor"/>
      </rPr>
      <t xml:space="preserve"> =</t>
    </r>
  </si>
  <si>
    <t>Luas tulangan longitudinal pakai,</t>
  </si>
  <si>
    <t>λ =</t>
  </si>
  <si>
    <t>Untuk beton normal,</t>
  </si>
  <si>
    <t>N</t>
  </si>
  <si>
    <t>Nmm</t>
  </si>
  <si>
    <r>
      <t>M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</si>
  <si>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= b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* h =</t>
    </r>
  </si>
  <si>
    <t>Batasan dimensi penampang untuk meminimalisasi keruntuhan diagonal tekan dan retak beton,</t>
  </si>
  <si>
    <t>ϕ =</t>
  </si>
  <si>
    <r>
      <t>ϕ(V</t>
    </r>
    <r>
      <rPr>
        <vertAlign val="subscript"/>
        <sz val="11"/>
        <rFont val="Calibri"/>
        <family val="2"/>
      </rPr>
      <t>c</t>
    </r>
    <r>
      <rPr>
        <sz val="11"/>
        <rFont val="Calibri"/>
        <family val="2"/>
      </rPr>
      <t xml:space="preserve"> + 0,066 * √fc' * b</t>
    </r>
    <r>
      <rPr>
        <vertAlign val="subscript"/>
        <sz val="11"/>
        <rFont val="Calibri"/>
        <family val="2"/>
      </rPr>
      <t>w</t>
    </r>
    <r>
      <rPr>
        <sz val="11"/>
        <rFont val="Calibri"/>
        <family val="2"/>
      </rPr>
      <t xml:space="preserve"> * d)</t>
    </r>
  </si>
  <si>
    <t>≤</t>
  </si>
  <si>
    <r>
      <t>V</t>
    </r>
    <r>
      <rPr>
        <vertAlign val="subscript"/>
        <sz val="11"/>
        <color theme="1"/>
        <rFont val="Calibri"/>
        <family val="2"/>
        <scheme val="minor"/>
      </rPr>
      <t>u</t>
    </r>
  </si>
  <si>
    <t>Ukuran maksimum agregat,</t>
  </si>
  <si>
    <r>
      <t>d</t>
    </r>
    <r>
      <rPr>
        <vertAlign val="subscript"/>
        <sz val="11"/>
        <color theme="1"/>
        <rFont val="Calibri"/>
        <family val="2"/>
        <scheme val="minor"/>
      </rPr>
      <t>agg</t>
    </r>
    <r>
      <rPr>
        <sz val="11"/>
        <color theme="1"/>
        <rFont val="Calibri"/>
        <family val="2"/>
        <scheme val="minor"/>
      </rPr>
      <t xml:space="preserve"> =</t>
    </r>
  </si>
  <si>
    <r>
      <t>s</t>
    </r>
    <r>
      <rPr>
        <vertAlign val="subscript"/>
        <sz val="11"/>
        <rFont val="Calibri"/>
        <family val="2"/>
        <scheme val="minor"/>
      </rPr>
      <t>min</t>
    </r>
    <r>
      <rPr>
        <sz val="11"/>
        <rFont val="Calibri"/>
        <family val="2"/>
        <scheme val="minor"/>
      </rPr>
      <t xml:space="preserve"> = 4/3 * d</t>
    </r>
    <r>
      <rPr>
        <vertAlign val="subscript"/>
        <sz val="11"/>
        <rFont val="Calibri"/>
        <family val="2"/>
        <scheme val="minor"/>
      </rPr>
      <t>agg</t>
    </r>
    <r>
      <rPr>
        <sz val="11"/>
        <rFont val="Calibri"/>
        <family val="2"/>
        <scheme val="minor"/>
      </rPr>
      <t xml:space="preserve"> =</t>
    </r>
  </si>
  <si>
    <r>
      <t>s</t>
    </r>
    <r>
      <rPr>
        <vertAlign val="subscript"/>
        <sz val="11"/>
        <color theme="1"/>
        <rFont val="Calibri"/>
        <family val="2"/>
        <scheme val="minor"/>
      </rPr>
      <t>min</t>
    </r>
  </si>
  <si>
    <r>
      <t>s</t>
    </r>
    <r>
      <rPr>
        <vertAlign val="subscript"/>
        <sz val="11"/>
        <rFont val="Calibri"/>
        <family val="2"/>
      </rPr>
      <t>maks</t>
    </r>
  </si>
  <si>
    <r>
      <t>f</t>
    </r>
    <r>
      <rPr>
        <vertAlign val="subscript"/>
        <sz val="11"/>
        <color theme="1"/>
        <rFont val="Calibri"/>
        <family val="2"/>
        <scheme val="minor"/>
      </rPr>
      <t>yt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</si>
  <si>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yl</t>
    </r>
    <r>
      <rPr>
        <sz val="11"/>
        <color theme="1"/>
        <rFont val="Calibri"/>
        <family val="2"/>
        <scheme val="minor"/>
      </rPr>
      <t xml:space="preserve"> =</t>
    </r>
  </si>
  <si>
    <r>
      <t>s</t>
    </r>
    <r>
      <rPr>
        <vertAlign val="subscript"/>
        <sz val="11"/>
        <rFont val="Calibri"/>
        <family val="2"/>
        <scheme val="minor"/>
      </rPr>
      <t>maks</t>
    </r>
    <r>
      <rPr>
        <sz val="11"/>
        <rFont val="Calibri"/>
        <family val="2"/>
        <scheme val="minor"/>
      </rPr>
      <t xml:space="preserve"> = 1/4 * b</t>
    </r>
    <r>
      <rPr>
        <vertAlign val="subscript"/>
        <sz val="11"/>
        <rFont val="Calibri"/>
        <family val="2"/>
        <scheme val="minor"/>
      </rPr>
      <t>w</t>
    </r>
    <r>
      <rPr>
        <sz val="11"/>
        <rFont val="Calibri"/>
        <family val="2"/>
        <scheme val="minor"/>
      </rPr>
      <t xml:space="preserve"> =</t>
    </r>
  </si>
  <si>
    <r>
      <t>s</t>
    </r>
    <r>
      <rPr>
        <vertAlign val="subscript"/>
        <sz val="11"/>
        <rFont val="Calibri"/>
        <family val="2"/>
        <scheme val="minor"/>
      </rPr>
      <t>maks</t>
    </r>
    <r>
      <rPr>
        <sz val="11"/>
        <rFont val="Calibri"/>
        <family val="2"/>
        <scheme val="minor"/>
      </rPr>
      <t xml:space="preserve"> = 6 *D</t>
    </r>
    <r>
      <rPr>
        <vertAlign val="subscript"/>
        <sz val="11"/>
        <rFont val="Calibri"/>
        <family val="2"/>
        <scheme val="minor"/>
      </rPr>
      <t>longitudinal</t>
    </r>
    <r>
      <rPr>
        <sz val="11"/>
        <rFont val="Calibri"/>
        <family val="2"/>
        <scheme val="minor"/>
      </rPr>
      <t xml:space="preserve"> =</t>
    </r>
  </si>
  <si>
    <r>
      <t>s</t>
    </r>
    <r>
      <rPr>
        <vertAlign val="subscript"/>
        <sz val="11"/>
        <rFont val="Calibri"/>
        <family val="2"/>
        <scheme val="minor"/>
      </rPr>
      <t>maks</t>
    </r>
    <r>
      <rPr>
        <sz val="11"/>
        <rFont val="Calibri"/>
        <family val="2"/>
        <scheme val="minor"/>
      </rPr>
      <t xml:space="preserve"> = s</t>
    </r>
    <r>
      <rPr>
        <vertAlign val="sub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= 100 + (350 - h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>)/3 =</t>
    </r>
  </si>
  <si>
    <t>Jarak antar tul</t>
  </si>
  <si>
    <t>longitudinal</t>
  </si>
  <si>
    <t>(mm)</t>
  </si>
  <si>
    <t>Cek:</t>
  </si>
  <si>
    <r>
      <t>P</t>
    </r>
    <r>
      <rPr>
        <vertAlign val="subscript"/>
        <sz val="11"/>
        <color theme="1"/>
        <rFont val="Calibri"/>
        <family val="2"/>
        <scheme val="minor"/>
      </rPr>
      <t>u</t>
    </r>
  </si>
  <si>
    <t>Kesimpulan:</t>
  </si>
  <si>
    <r>
      <t>0,3 * A</t>
    </r>
    <r>
      <rPr>
        <vertAlign val="sub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* f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'</t>
    </r>
  </si>
  <si>
    <r>
      <t>f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'</t>
    </r>
  </si>
  <si>
    <r>
      <t>Cek nilai h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,</t>
    </r>
  </si>
  <si>
    <r>
      <t>h</t>
    </r>
    <r>
      <rPr>
        <vertAlign val="subscript"/>
        <sz val="11"/>
        <color theme="1"/>
        <rFont val="Calibri"/>
        <family val="2"/>
        <scheme val="minor"/>
      </rPr>
      <t>x</t>
    </r>
  </si>
  <si>
    <r>
      <t>h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=</t>
    </r>
  </si>
  <si>
    <t>Spasi terbesar antar tulangan longitudinal yang diikat oleh sengkang pengekang atau ikat silang sengkang,</t>
  </si>
  <si>
    <r>
      <rPr>
        <sz val="11"/>
        <color theme="1"/>
        <rFont val="Calibri"/>
        <family val="2"/>
      </rPr>
      <t>▪</t>
    </r>
    <r>
      <rPr>
        <sz val="11"/>
        <color theme="1"/>
        <rFont val="Calibri"/>
        <family val="2"/>
        <scheme val="minor"/>
      </rPr>
      <t xml:space="preserve">   h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tidak boleh lebih dari 350 mm</t>
    </r>
  </si>
  <si>
    <r>
      <t>▪   Jika P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&gt; 0,3*A</t>
    </r>
    <r>
      <rPr>
        <vertAlign val="sub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*f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' atau f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' &gt; 70 MPa, maka h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tidak boleh lebih dari 200 mm dan ikat silang harus mengikat semua tul. longitudinal</t>
    </r>
  </si>
  <si>
    <t>Arah sejajar sb. X
Spasi ke-i</t>
  </si>
  <si>
    <t>Arah sejajar sb. Y
Spasi ke-i</t>
  </si>
  <si>
    <t>Jarak tulangan transversal minimum,</t>
  </si>
  <si>
    <t>Jarak tulangan transversal maksimum adalah nilai terkecil dari:</t>
  </si>
  <si>
    <t>(a)</t>
  </si>
  <si>
    <t>(b)</t>
  </si>
  <si>
    <t>(c)</t>
  </si>
  <si>
    <r>
      <t>100 mm ≤ s</t>
    </r>
    <r>
      <rPr>
        <vertAlign val="sub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≤ 150 mm,</t>
    </r>
  </si>
  <si>
    <r>
      <t>s</t>
    </r>
    <r>
      <rPr>
        <vertAlign val="sub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=</t>
    </r>
  </si>
  <si>
    <r>
      <t>s</t>
    </r>
    <r>
      <rPr>
        <vertAlign val="subscript"/>
        <sz val="11"/>
        <rFont val="Calibri"/>
        <family val="2"/>
        <scheme val="minor"/>
      </rPr>
      <t>maks</t>
    </r>
    <r>
      <rPr>
        <sz val="11"/>
        <rFont val="Calibri"/>
        <family val="2"/>
        <scheme val="minor"/>
      </rPr>
      <t xml:space="preserve"> =</t>
    </r>
  </si>
  <si>
    <t>Cek jarak tulangan transversal yang digunakan,</t>
  </si>
  <si>
    <t>Desain Tulangan Transversal Kolom SRPMK</t>
  </si>
  <si>
    <r>
      <t>L</t>
    </r>
    <r>
      <rPr>
        <vertAlign val="sub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=</t>
    </r>
  </si>
  <si>
    <r>
      <t>L</t>
    </r>
    <r>
      <rPr>
        <vertAlign val="sub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= 1/6 * L =</t>
    </r>
  </si>
  <si>
    <r>
      <t>L</t>
    </r>
    <r>
      <rPr>
        <vertAlign val="sub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= h =</t>
    </r>
  </si>
  <si>
    <t>Panjang daerah sendi plastis diukur dari muka hubungan kolom-balok diambil nilai terbesar dari:</t>
  </si>
  <si>
    <r>
      <t>Kesimpulan L</t>
    </r>
    <r>
      <rPr>
        <vertAlign val="sub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,</t>
    </r>
  </si>
  <si>
    <r>
      <t>diambil,        L</t>
    </r>
    <r>
      <rPr>
        <vertAlign val="sub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=</t>
    </r>
  </si>
  <si>
    <t>Bentang kolom,</t>
  </si>
  <si>
    <t>Diameter tulangan transversal pengekang,</t>
  </si>
  <si>
    <t>Jarak tulangan trasversal sepanjang Lo,</t>
  </si>
  <si>
    <r>
      <t>Desain Tulangan Transversal Kolom SRPMK sepanjang L</t>
    </r>
    <r>
      <rPr>
        <b/>
        <vertAlign val="subscript"/>
        <sz val="11"/>
        <rFont val="Calibri"/>
        <family val="2"/>
        <scheme val="minor"/>
      </rPr>
      <t>o</t>
    </r>
  </si>
  <si>
    <t>Spasi bersih tul. Longitudinal yang tidak ditumpu ke tul. yang ditumpu,</t>
  </si>
  <si>
    <r>
      <t>s</t>
    </r>
    <r>
      <rPr>
        <vertAlign val="subscript"/>
        <sz val="11"/>
        <color theme="1"/>
        <rFont val="Calibri"/>
        <family val="2"/>
        <scheme val="minor"/>
      </rPr>
      <t>longitudinal</t>
    </r>
    <r>
      <rPr>
        <sz val="11"/>
        <color theme="1"/>
        <rFont val="Calibri"/>
        <family val="2"/>
        <scheme val="minor"/>
      </rPr>
      <t xml:space="preserve"> =</t>
    </r>
  </si>
  <si>
    <t>Faktor kekuatan beton,</t>
  </si>
  <si>
    <r>
      <t>k</t>
    </r>
    <r>
      <rPr>
        <vertAlign val="subscript"/>
        <sz val="11"/>
        <rFont val="Calibri"/>
        <family val="2"/>
        <scheme val="minor"/>
      </rPr>
      <t>f</t>
    </r>
    <r>
      <rPr>
        <sz val="11"/>
        <rFont val="Calibri"/>
        <family val="2"/>
        <scheme val="minor"/>
      </rPr>
      <t xml:space="preserve"> = fc'/175 + 0,6 =</t>
    </r>
  </si>
  <si>
    <r>
      <t>k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=</t>
    </r>
  </si>
  <si>
    <r>
      <t>Kesimpulan nilai faktor kekuatan beton yang digunakan, k</t>
    </r>
    <r>
      <rPr>
        <vertAlign val="subscript"/>
        <sz val="11"/>
        <rFont val="Calibri"/>
        <family val="2"/>
        <scheme val="minor"/>
      </rPr>
      <t>f</t>
    </r>
    <r>
      <rPr>
        <sz val="11"/>
        <rFont val="Calibri"/>
        <family val="2"/>
        <scheme val="minor"/>
      </rPr>
      <t xml:space="preserve"> </t>
    </r>
    <r>
      <rPr>
        <sz val="11"/>
        <rFont val="Calibri"/>
        <family val="2"/>
      </rPr>
      <t>≥ 1,</t>
    </r>
  </si>
  <si>
    <t>Faktor keefektifan pengekangan,</t>
  </si>
  <si>
    <r>
      <t>n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=</t>
    </r>
  </si>
  <si>
    <r>
      <t>k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= n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/ (n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- 2) =</t>
    </r>
  </si>
  <si>
    <r>
      <t>0,3 * [ A</t>
    </r>
    <r>
      <rPr>
        <vertAlign val="sub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/A</t>
    </r>
    <r>
      <rPr>
        <vertAlign val="subscript"/>
        <sz val="11"/>
        <color theme="1"/>
        <rFont val="Calibri"/>
        <family val="2"/>
        <scheme val="minor"/>
      </rPr>
      <t>ch</t>
    </r>
    <r>
      <rPr>
        <sz val="11"/>
        <color theme="1"/>
        <rFont val="Calibri"/>
        <family val="2"/>
        <scheme val="minor"/>
      </rPr>
      <t xml:space="preserve"> - 1] * f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'/f</t>
    </r>
    <r>
      <rPr>
        <vertAlign val="subscript"/>
        <sz val="11"/>
        <color theme="1"/>
        <rFont val="Calibri"/>
        <family val="2"/>
        <scheme val="minor"/>
      </rPr>
      <t>yt</t>
    </r>
    <r>
      <rPr>
        <sz val="11"/>
        <color theme="1"/>
        <rFont val="Calibri"/>
        <family val="2"/>
        <scheme val="minor"/>
      </rPr>
      <t xml:space="preserve"> =</t>
    </r>
  </si>
  <si>
    <r>
      <t>0,2 *k</t>
    </r>
    <r>
      <rPr>
        <vertAlign val="subscript"/>
        <sz val="11"/>
        <color theme="1"/>
        <rFont val="Calibri"/>
        <family val="2"/>
        <scheme val="minor"/>
      </rPr>
      <t xml:space="preserve">f </t>
    </r>
    <r>
      <rPr>
        <sz val="11"/>
        <color theme="1"/>
        <rFont val="Calibri"/>
        <family val="2"/>
        <scheme val="minor"/>
      </rPr>
      <t>* k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* P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/ (f</t>
    </r>
    <r>
      <rPr>
        <vertAlign val="subscript"/>
        <sz val="11"/>
        <color theme="1"/>
        <rFont val="Calibri"/>
        <family val="2"/>
        <scheme val="minor"/>
      </rPr>
      <t>yt</t>
    </r>
    <r>
      <rPr>
        <sz val="11"/>
        <color theme="1"/>
        <rFont val="Calibri"/>
        <family val="2"/>
        <scheme val="minor"/>
      </rPr>
      <t xml:space="preserve"> * A</t>
    </r>
    <r>
      <rPr>
        <vertAlign val="subscript"/>
        <sz val="11"/>
        <color theme="1"/>
        <rFont val="Calibri"/>
        <family val="2"/>
        <scheme val="minor"/>
      </rPr>
      <t>ch</t>
    </r>
    <r>
      <rPr>
        <sz val="11"/>
        <color theme="1"/>
        <rFont val="Calibri"/>
        <family val="2"/>
        <scheme val="minor"/>
      </rPr>
      <t>) =</t>
    </r>
  </si>
  <si>
    <t>Luas penampang kolom diukur dari dimensi antar tepi luar tul. Transversal,</t>
  </si>
  <si>
    <r>
      <t>A</t>
    </r>
    <r>
      <rPr>
        <vertAlign val="subscript"/>
        <sz val="11"/>
        <rFont val="Calibri"/>
        <family val="2"/>
        <scheme val="minor"/>
      </rPr>
      <t>ch</t>
    </r>
    <r>
      <rPr>
        <sz val="11"/>
        <rFont val="Calibri"/>
        <family val="2"/>
        <scheme val="minor"/>
      </rPr>
      <t xml:space="preserve"> = b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* h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</si>
  <si>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t>Dimensi lebar penampang kolom diukur antar tepi luar tul. transversal,</t>
  </si>
  <si>
    <t>Dimensi panjang penampang kolom diukur antar tepi luar tul. transversal,</t>
  </si>
  <si>
    <t>Dipakai nilai terbesar Ash/sbc</t>
  </si>
  <si>
    <r>
      <t>P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=</t>
    </r>
  </si>
  <si>
    <t>Jumlah tulangan transversal yang digunakan</t>
  </si>
  <si>
    <r>
      <t>nl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=</t>
    </r>
  </si>
  <si>
    <r>
      <t>nl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=</t>
    </r>
  </si>
  <si>
    <r>
      <t>nt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=</t>
    </r>
  </si>
  <si>
    <r>
      <t>nt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=</t>
    </r>
  </si>
  <si>
    <t>Luas total tulangan transversal yang digunakan,</t>
  </si>
  <si>
    <t>Jumlah tul. longitudinal yg ditumpu oleh sudut sengkang persegi atau ikat sengkang,</t>
  </si>
  <si>
    <r>
      <t>Cek nilai A</t>
    </r>
    <r>
      <rPr>
        <vertAlign val="subscript"/>
        <sz val="11"/>
        <color theme="1"/>
        <rFont val="Calibri"/>
        <family val="2"/>
        <scheme val="minor"/>
      </rPr>
      <t xml:space="preserve">s </t>
    </r>
    <r>
      <rPr>
        <sz val="11"/>
        <color theme="1"/>
        <rFont val="Calibri"/>
        <family val="2"/>
        <scheme val="minor"/>
      </rPr>
      <t>pakai,</t>
    </r>
  </si>
  <si>
    <t>≥</t>
  </si>
  <si>
    <r>
      <t>(dalam 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</si>
  <si>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0,09 * f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'/f</t>
    </r>
    <r>
      <rPr>
        <vertAlign val="subscript"/>
        <sz val="11"/>
        <color theme="1"/>
        <rFont val="Calibri"/>
        <family val="2"/>
        <scheme val="minor"/>
      </rPr>
      <t>yt</t>
    </r>
    <r>
      <rPr>
        <sz val="11"/>
        <color theme="1"/>
        <rFont val="Calibri"/>
        <family val="2"/>
        <scheme val="minor"/>
      </rPr>
      <t xml:space="preserve"> =</t>
    </r>
  </si>
  <si>
    <r>
      <t>Desain Tulangan Transversal Kolom SRPMK diluar panjang L</t>
    </r>
    <r>
      <rPr>
        <b/>
        <vertAlign val="subscript"/>
        <sz val="11"/>
        <rFont val="Calibri"/>
        <family val="2"/>
        <scheme val="minor"/>
      </rPr>
      <t>o</t>
    </r>
  </si>
  <si>
    <t>Jarak tulangan trasversal diluar panjang Lo,</t>
  </si>
  <si>
    <t>Desain Tulangan Geser Kolom SRPMK</t>
  </si>
  <si>
    <r>
      <t>Gaya geser berdasarkan kekuatan lentur maksimum M</t>
    </r>
    <r>
      <rPr>
        <vertAlign val="subscript"/>
        <sz val="11"/>
        <rFont val="Calibri"/>
        <family val="2"/>
        <scheme val="minor"/>
      </rPr>
      <t>pr</t>
    </r>
    <r>
      <rPr>
        <sz val="11"/>
        <rFont val="Calibri"/>
        <family val="2"/>
        <scheme val="minor"/>
      </rPr>
      <t>,</t>
    </r>
  </si>
  <si>
    <r>
      <t>V</t>
    </r>
    <r>
      <rPr>
        <vertAlign val="subscript"/>
        <sz val="11"/>
        <rFont val="Calibri"/>
        <family val="2"/>
        <scheme val="minor"/>
      </rPr>
      <t>sway</t>
    </r>
    <r>
      <rPr>
        <sz val="11"/>
        <rFont val="Calibri"/>
        <family val="2"/>
        <scheme val="minor"/>
      </rPr>
      <t xml:space="preserve"> = (M</t>
    </r>
    <r>
      <rPr>
        <vertAlign val="subscript"/>
        <sz val="11"/>
        <rFont val="Calibri"/>
        <family val="2"/>
        <scheme val="minor"/>
      </rPr>
      <t>pr-top</t>
    </r>
    <r>
      <rPr>
        <sz val="11"/>
        <rFont val="Calibri"/>
        <family val="2"/>
        <scheme val="minor"/>
      </rPr>
      <t xml:space="preserve"> * DF</t>
    </r>
    <r>
      <rPr>
        <vertAlign val="subscript"/>
        <sz val="11"/>
        <rFont val="Calibri"/>
        <family val="2"/>
        <scheme val="minor"/>
      </rPr>
      <t>top</t>
    </r>
    <r>
      <rPr>
        <sz val="11"/>
        <rFont val="Calibri"/>
        <family val="2"/>
        <scheme val="minor"/>
      </rPr>
      <t xml:space="preserve"> + M</t>
    </r>
    <r>
      <rPr>
        <vertAlign val="subscript"/>
        <sz val="11"/>
        <rFont val="Calibri"/>
        <family val="2"/>
        <scheme val="minor"/>
      </rPr>
      <t>pr-bot</t>
    </r>
    <r>
      <rPr>
        <sz val="11"/>
        <rFont val="Calibri"/>
        <family val="2"/>
        <scheme val="minor"/>
      </rPr>
      <t xml:space="preserve"> * DF</t>
    </r>
    <r>
      <rPr>
        <vertAlign val="subscript"/>
        <sz val="11"/>
        <rFont val="Calibri"/>
        <family val="2"/>
        <scheme val="minor"/>
      </rPr>
      <t>bot</t>
    </r>
    <r>
      <rPr>
        <sz val="11"/>
        <rFont val="Calibri"/>
        <family val="2"/>
        <scheme val="minor"/>
      </rPr>
      <t xml:space="preserve"> ) / L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 </t>
    </r>
  </si>
  <si>
    <r>
      <t>L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=</t>
    </r>
  </si>
  <si>
    <t>Gaya geser terfaktor berdasarkan hasil analisis struktur,</t>
  </si>
  <si>
    <t>Gaya geser desain yang digunakan,</t>
  </si>
  <si>
    <r>
      <t>Cek apakah perlu mengasumsikan 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 0 untuk perhitungan kebutuhan tulangan geser,</t>
    </r>
  </si>
  <si>
    <r>
      <t>V</t>
    </r>
    <r>
      <rPr>
        <vertAlign val="subscript"/>
        <sz val="11"/>
        <color theme="1"/>
        <rFont val="Calibri"/>
        <family val="2"/>
        <scheme val="minor"/>
      </rPr>
      <t>e</t>
    </r>
  </si>
  <si>
    <t>Cek keperluan tulangan geser,</t>
  </si>
  <si>
    <t>(dalam satuan kN)</t>
  </si>
  <si>
    <r>
      <t>ϕV</t>
    </r>
    <r>
      <rPr>
        <vertAlign val="subscript"/>
        <sz val="11"/>
        <color theme="1"/>
        <rFont val="Calibri"/>
        <family val="2"/>
        <scheme val="minor"/>
      </rPr>
      <t>c</t>
    </r>
  </si>
  <si>
    <t>Luas tulangan geser perlu,</t>
  </si>
  <si>
    <r>
      <t>A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 (V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- ϕV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)/ (ϕf</t>
    </r>
    <r>
      <rPr>
        <vertAlign val="subscript"/>
        <sz val="11"/>
        <color theme="1"/>
        <rFont val="Calibri"/>
        <family val="2"/>
        <scheme val="minor"/>
      </rPr>
      <t>yt</t>
    </r>
    <r>
      <rPr>
        <sz val="11"/>
        <color theme="1"/>
        <rFont val="Calibri"/>
        <family val="2"/>
        <scheme val="minor"/>
      </rPr>
      <t xml:space="preserve"> * d) * s =</t>
    </r>
  </si>
  <si>
    <r>
      <t>A</t>
    </r>
    <r>
      <rPr>
        <vertAlign val="subscript"/>
        <sz val="11"/>
        <color theme="1"/>
        <rFont val="Calibri"/>
        <family val="2"/>
        <scheme val="minor"/>
      </rPr>
      <t>v</t>
    </r>
  </si>
  <si>
    <r>
      <t>A</t>
    </r>
    <r>
      <rPr>
        <vertAlign val="subscript"/>
        <sz val="11"/>
        <color theme="1"/>
        <rFont val="Calibri"/>
        <family val="2"/>
        <scheme val="minor"/>
      </rPr>
      <t>s</t>
    </r>
  </si>
  <si>
    <r>
      <t>A</t>
    </r>
    <r>
      <rPr>
        <vertAlign val="sub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* fc' /20</t>
    </r>
  </si>
  <si>
    <r>
      <t>Tulangan transversal sepanjang L</t>
    </r>
    <r>
      <rPr>
        <vertAlign val="sub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harus didesain untuk menahan geser.</t>
    </r>
  </si>
  <si>
    <r>
      <t>V</t>
    </r>
    <r>
      <rPr>
        <vertAlign val="subscript"/>
        <sz val="11"/>
        <rFont val="Calibri"/>
        <family val="2"/>
        <scheme val="minor"/>
      </rPr>
      <t>u ETABS</t>
    </r>
    <r>
      <rPr>
        <sz val="1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</si>
  <si>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 V</t>
    </r>
    <r>
      <rPr>
        <vertAlign val="subscript"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 xml:space="preserve"> =</t>
    </r>
  </si>
  <si>
    <r>
      <t>0,5 * V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</t>
    </r>
    <r>
      <rPr>
        <vertAlign val="subscript"/>
        <sz val="11"/>
        <color theme="1"/>
        <rFont val="Calibri"/>
        <family val="2"/>
        <scheme val="minor"/>
      </rPr>
      <t>ETABS</t>
    </r>
  </si>
  <si>
    <r>
      <t>(dalam satuan 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</si>
  <si>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Kuat geser tulangan,</t>
  </si>
  <si>
    <r>
      <t>V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 A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* f</t>
    </r>
    <r>
      <rPr>
        <vertAlign val="subscript"/>
        <sz val="11"/>
        <color theme="1"/>
        <rFont val="Calibri"/>
        <family val="2"/>
        <scheme val="minor"/>
      </rPr>
      <t>yt</t>
    </r>
    <r>
      <rPr>
        <sz val="11"/>
        <color theme="1"/>
        <rFont val="Calibri"/>
        <family val="2"/>
        <scheme val="minor"/>
      </rPr>
      <t xml:space="preserve"> * d / s =</t>
    </r>
  </si>
  <si>
    <t>Kuat geser nominal penampang,</t>
  </si>
  <si>
    <r>
      <t>V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= V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+ V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</si>
  <si>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r>
      <t>ϕV</t>
    </r>
    <r>
      <rPr>
        <vertAlign val="subscript"/>
        <sz val="11"/>
        <color theme="1"/>
        <rFont val="Calibri"/>
        <family val="2"/>
        <scheme val="minor"/>
      </rPr>
      <t>n</t>
    </r>
  </si>
  <si>
    <r>
      <t>mm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</si>
  <si>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1. Spasi bersih tul. Longitudinal yang tidak ditumpu ke yang ditumpu,</t>
  </si>
  <si>
    <t>Input data material kolom</t>
  </si>
  <si>
    <t>Input data dimensi kolom</t>
  </si>
  <si>
    <t>A.3.</t>
  </si>
  <si>
    <t>Input data beban</t>
  </si>
  <si>
    <r>
      <t>Jarak tulangan transversal sepanjang L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,</t>
    </r>
  </si>
  <si>
    <r>
      <t>Jarak tulangan transversal diluar panjang L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,</t>
    </r>
  </si>
  <si>
    <r>
      <t>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</si>
  <si>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r>
      <t>s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</si>
  <si>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r>
      <t>s</t>
    </r>
    <r>
      <rPr>
        <vertAlign val="subscript"/>
        <sz val="11"/>
        <color theme="1"/>
        <rFont val="Calibri"/>
        <family val="2"/>
        <scheme val="minor"/>
      </rPr>
      <t>longitudinal</t>
    </r>
  </si>
  <si>
    <t>Cek spasi tulangan</t>
  </si>
  <si>
    <r>
      <t>2. Syarat spasi terbesar antar tulangan longitudinal yang diikat oleh sengkang pengekang atau ikat silang sengkang, h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:</t>
    </r>
  </si>
  <si>
    <t>Luas tulangan transversal pakai,</t>
  </si>
  <si>
    <r>
      <t>A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</si>
  <si>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t>Jumlah tulangan transveral perlu,</t>
  </si>
  <si>
    <r>
      <t>A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 0,25 * π * D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</si>
  <si>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r>
      <t>Digunakan tulangan transversal arah x (tegak lurus dimensi b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),</t>
    </r>
  </si>
  <si>
    <r>
      <t>Digunakan tulangan transversal arah y (tegak lurus dimensi h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),</t>
    </r>
  </si>
  <si>
    <r>
      <t>N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 P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</t>
    </r>
  </si>
  <si>
    <t>Momen lentur akibat kombinasi beban terfaktor,</t>
  </si>
  <si>
    <t>Gaya aksial tekan akibat kombinasi beban terfaktor,</t>
  </si>
  <si>
    <r>
      <t>b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= W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</si>
  <si>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r>
      <t>h = L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</si>
  <si>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=</t>
    </r>
  </si>
  <si>
    <r>
      <t>d = MAX(W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; L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) - 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- D</t>
    </r>
    <r>
      <rPr>
        <vertAlign val="subscript"/>
        <sz val="11"/>
        <rFont val="Calibri"/>
        <family val="2"/>
        <scheme val="minor"/>
      </rPr>
      <t>sengkang</t>
    </r>
    <r>
      <rPr>
        <sz val="11"/>
        <rFont val="Calibri"/>
        <family val="2"/>
        <scheme val="minor"/>
      </rPr>
      <t xml:space="preserve"> - 0,5*D</t>
    </r>
    <r>
      <rPr>
        <vertAlign val="subscript"/>
        <sz val="11"/>
        <rFont val="Calibri"/>
        <family val="2"/>
        <scheme val="minor"/>
      </rPr>
      <t>longitudinal</t>
    </r>
    <r>
      <rPr>
        <sz val="1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</si>
  <si>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s longitudinal</t>
    </r>
    <r>
      <rPr>
        <sz val="11"/>
        <color theme="1"/>
        <rFont val="Calibri"/>
        <family val="2"/>
        <scheme val="minor"/>
      </rPr>
      <t xml:space="preserve"> = 0,25 * </t>
    </r>
    <r>
      <rPr>
        <sz val="11"/>
        <color theme="1"/>
        <rFont val="Calibri"/>
        <family val="2"/>
      </rPr>
      <t>π * D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</si>
  <si>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t>Kekuatan momen lentur maksimum bagian atas kolom,</t>
  </si>
  <si>
    <t>Kekuatan momen lentur maksimum bagian bawah kolom,</t>
  </si>
  <si>
    <r>
      <t>DF</t>
    </r>
    <r>
      <rPr>
        <vertAlign val="subscript"/>
        <sz val="11"/>
        <rFont val="Calibri"/>
        <family val="2"/>
        <scheme val="minor"/>
      </rPr>
      <t>top</t>
    </r>
    <r>
      <rPr>
        <sz val="11"/>
        <rFont val="Calibri"/>
        <family val="2"/>
        <scheme val="minor"/>
      </rPr>
      <t xml:space="preserve"> = DF</t>
    </r>
    <r>
      <rPr>
        <vertAlign val="subscript"/>
        <sz val="11"/>
        <rFont val="Calibri"/>
        <family val="2"/>
        <scheme val="minor"/>
      </rPr>
      <t>bot</t>
    </r>
    <r>
      <rPr>
        <sz val="11"/>
        <rFont val="Calibri"/>
        <family val="2"/>
        <scheme val="minor"/>
      </rPr>
      <t xml:space="preserve"> =</t>
    </r>
  </si>
  <si>
    <t>Faktor distribusi momen di bagian atas dan bawah kolom,</t>
  </si>
  <si>
    <r>
      <t>L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</si>
  <si>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pr-top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</si>
  <si>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pr-bot</t>
    </r>
    <r>
      <rPr>
        <sz val="11"/>
        <color theme="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</si>
  <si>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rFont val="Calibri"/>
        <family val="2"/>
        <scheme val="minor"/>
      </rPr>
      <t>c1</t>
    </r>
    <r>
      <rPr>
        <sz val="11"/>
        <rFont val="Calibri"/>
        <family val="2"/>
        <scheme val="minor"/>
      </rPr>
      <t xml:space="preserve"> = W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- 2*t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</t>
    </r>
  </si>
  <si>
    <r>
      <t>b</t>
    </r>
    <r>
      <rPr>
        <vertAlign val="subscript"/>
        <sz val="11"/>
        <rFont val="Calibri"/>
        <family val="2"/>
        <scheme val="minor"/>
      </rPr>
      <t>c2</t>
    </r>
    <r>
      <rPr>
        <sz val="11"/>
        <rFont val="Calibri"/>
        <family val="2"/>
        <scheme val="minor"/>
      </rPr>
      <t xml:space="preserve"> = L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- 2*t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</t>
    </r>
  </si>
  <si>
    <r>
      <t>Luas total penampang tulangan transversal dalam spasi s dan tegak lurus terhadap dimensi b</t>
    </r>
    <r>
      <rPr>
        <vertAlign val="subscript"/>
        <sz val="11"/>
        <rFont val="Calibri"/>
        <family val="2"/>
        <scheme val="minor"/>
      </rPr>
      <t>c1</t>
    </r>
    <r>
      <rPr>
        <sz val="11"/>
        <rFont val="Calibri"/>
        <family val="2"/>
        <scheme val="minor"/>
      </rPr>
      <t>,</t>
    </r>
  </si>
  <si>
    <r>
      <t>* s * b</t>
    </r>
    <r>
      <rPr>
        <vertAlign val="subscript"/>
        <sz val="11"/>
        <color theme="1"/>
        <rFont val="Calibri"/>
        <family val="2"/>
        <scheme val="minor"/>
      </rPr>
      <t>c1</t>
    </r>
    <r>
      <rPr>
        <sz val="11"/>
        <color theme="1"/>
        <rFont val="Calibri"/>
        <family val="2"/>
        <scheme val="minor"/>
      </rPr>
      <t xml:space="preserve"> =</t>
    </r>
  </si>
  <si>
    <r>
      <t>Digunakan tulangan transversal arah x (tegak lurus dimensi b</t>
    </r>
    <r>
      <rPr>
        <vertAlign val="subscript"/>
        <sz val="11"/>
        <rFont val="Calibri"/>
        <family val="2"/>
        <scheme val="minor"/>
      </rPr>
      <t>c1</t>
    </r>
    <r>
      <rPr>
        <sz val="11"/>
        <rFont val="Calibri"/>
        <family val="2"/>
        <scheme val="minor"/>
      </rPr>
      <t>),</t>
    </r>
  </si>
  <si>
    <r>
      <t>Luas total penampang tulangan transversal dalam spasi s dan tegak lurus terhadap dimensi b</t>
    </r>
    <r>
      <rPr>
        <vertAlign val="subscript"/>
        <sz val="11"/>
        <rFont val="Calibri"/>
        <family val="2"/>
        <scheme val="minor"/>
      </rPr>
      <t>c2</t>
    </r>
    <r>
      <rPr>
        <sz val="11"/>
        <rFont val="Calibri"/>
        <family val="2"/>
        <scheme val="minor"/>
      </rPr>
      <t>,</t>
    </r>
  </si>
  <si>
    <r>
      <t>* s * b</t>
    </r>
    <r>
      <rPr>
        <vertAlign val="subscript"/>
        <sz val="11"/>
        <color theme="1"/>
        <rFont val="Calibri"/>
        <family val="2"/>
        <scheme val="minor"/>
      </rPr>
      <t>c2</t>
    </r>
    <r>
      <rPr>
        <sz val="11"/>
        <color theme="1"/>
        <rFont val="Calibri"/>
        <family val="2"/>
        <scheme val="minor"/>
      </rPr>
      <t xml:space="preserve"> =</t>
    </r>
  </si>
  <si>
    <r>
      <t>Digunakan tulangan transversal arah y (tegak lurus dimensi b</t>
    </r>
    <r>
      <rPr>
        <vertAlign val="subscript"/>
        <sz val="11"/>
        <rFont val="Calibri"/>
        <family val="2"/>
        <scheme val="minor"/>
      </rPr>
      <t>c2</t>
    </r>
    <r>
      <rPr>
        <sz val="11"/>
        <rFont val="Calibri"/>
        <family val="2"/>
        <scheme val="minor"/>
      </rPr>
      <t>),</t>
    </r>
  </si>
  <si>
    <t>DESAIN PENULANGAN GESER KOLOM SRPMK</t>
  </si>
  <si>
    <t>Cek jumlah tulangan pakai,</t>
  </si>
  <si>
    <r>
      <t>Jumlah tulangan transveral pakai arah tegak lurus dimensi b</t>
    </r>
    <r>
      <rPr>
        <vertAlign val="subscript"/>
        <sz val="11"/>
        <rFont val="Calibri"/>
        <family val="2"/>
        <scheme val="minor"/>
      </rPr>
      <t>c1</t>
    </r>
    <r>
      <rPr>
        <sz val="11"/>
        <rFont val="Calibri"/>
        <family val="2"/>
        <scheme val="minor"/>
      </rPr>
      <t>,</t>
    </r>
  </si>
  <si>
    <r>
      <t>nt</t>
    </r>
    <r>
      <rPr>
        <vertAlign val="subscript"/>
        <sz val="11"/>
        <color theme="1"/>
        <rFont val="Calibri"/>
        <family val="2"/>
        <scheme val="minor"/>
      </rPr>
      <t>x</t>
    </r>
  </si>
  <si>
    <r>
      <t>Jumlah tulangan transveral pakai arah tegak lurus dimensi b</t>
    </r>
    <r>
      <rPr>
        <vertAlign val="subscript"/>
        <sz val="11"/>
        <rFont val="Calibri"/>
        <family val="2"/>
        <scheme val="minor"/>
      </rPr>
      <t>c2</t>
    </r>
    <r>
      <rPr>
        <sz val="11"/>
        <rFont val="Calibri"/>
        <family val="2"/>
        <scheme val="minor"/>
      </rPr>
      <t>,</t>
    </r>
  </si>
  <si>
    <r>
      <t>nt</t>
    </r>
    <r>
      <rPr>
        <vertAlign val="subscript"/>
        <sz val="11"/>
        <color theme="1"/>
        <rFont val="Calibri"/>
        <family val="2"/>
        <scheme val="minor"/>
      </rPr>
      <t>y</t>
    </r>
  </si>
  <si>
    <r>
      <t>Perhitungan nilai A</t>
    </r>
    <r>
      <rPr>
        <vertAlign val="subscript"/>
        <sz val="11"/>
        <rFont val="Calibri"/>
        <family val="2"/>
        <scheme val="minor"/>
      </rPr>
      <t>sh1</t>
    </r>
    <r>
      <rPr>
        <sz val="11"/>
        <rFont val="Calibri"/>
        <family val="2"/>
        <scheme val="minor"/>
      </rPr>
      <t>/sb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,</t>
    </r>
  </si>
  <si>
    <r>
      <t>A</t>
    </r>
    <r>
      <rPr>
        <vertAlign val="subscript"/>
        <sz val="11"/>
        <color theme="1"/>
        <rFont val="Calibri"/>
        <family val="2"/>
        <scheme val="minor"/>
      </rPr>
      <t>sh1</t>
    </r>
    <r>
      <rPr>
        <sz val="11"/>
        <color theme="1"/>
        <rFont val="Calibri"/>
        <family val="2"/>
        <scheme val="minor"/>
      </rPr>
      <t>/sb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</si>
  <si>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sh1</t>
    </r>
    <r>
      <rPr>
        <sz val="11"/>
        <color theme="1"/>
        <rFont val="Calibri"/>
        <family val="2"/>
        <scheme val="minor"/>
      </rPr>
      <t xml:space="preserve"> = </t>
    </r>
  </si>
  <si>
    <r>
      <t>n</t>
    </r>
    <r>
      <rPr>
        <vertAlign val="subscript"/>
        <sz val="11"/>
        <color theme="1"/>
        <rFont val="Calibri"/>
        <family val="2"/>
        <scheme val="minor"/>
      </rPr>
      <t>1</t>
    </r>
  </si>
  <si>
    <r>
      <t>A</t>
    </r>
    <r>
      <rPr>
        <vertAlign val="subscript"/>
        <sz val="11"/>
        <color theme="1"/>
        <rFont val="Calibri"/>
        <family val="2"/>
        <scheme val="minor"/>
      </rPr>
      <t>sh1</t>
    </r>
  </si>
  <si>
    <r>
      <t>A</t>
    </r>
    <r>
      <rPr>
        <vertAlign val="subscript"/>
        <sz val="11"/>
        <color theme="1"/>
        <rFont val="Calibri"/>
        <family val="2"/>
        <scheme val="minor"/>
      </rPr>
      <t>sx</t>
    </r>
    <r>
      <rPr>
        <sz val="11"/>
        <color theme="1"/>
        <rFont val="Calibri"/>
        <family val="2"/>
        <scheme val="minor"/>
      </rPr>
      <t xml:space="preserve"> = 0,25 * π * D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</si>
  <si>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A</t>
    </r>
    <r>
      <rPr>
        <vertAlign val="subscript"/>
        <sz val="11"/>
        <color theme="1"/>
        <rFont val="Calibri"/>
        <family val="2"/>
        <scheme val="minor"/>
      </rPr>
      <t>sh1</t>
    </r>
    <r>
      <rPr>
        <sz val="11"/>
        <color theme="1"/>
        <rFont val="Calibri"/>
        <family val="2"/>
        <scheme val="minor"/>
      </rPr>
      <t xml:space="preserve"> / A</t>
    </r>
    <r>
      <rPr>
        <vertAlign val="subscript"/>
        <sz val="11"/>
        <color theme="1"/>
        <rFont val="Calibri"/>
        <family val="2"/>
        <scheme val="minor"/>
      </rPr>
      <t>sx</t>
    </r>
    <r>
      <rPr>
        <sz val="11"/>
        <color theme="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</si>
  <si>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tx</t>
    </r>
    <r>
      <rPr>
        <sz val="11"/>
        <color theme="1"/>
        <rFont val="Calibri"/>
        <family val="2"/>
        <scheme val="minor"/>
      </rPr>
      <t xml:space="preserve"> * A</t>
    </r>
    <r>
      <rPr>
        <vertAlign val="subscript"/>
        <sz val="11"/>
        <color theme="1"/>
        <rFont val="Calibri"/>
        <family val="2"/>
        <scheme val="minor"/>
      </rPr>
      <t>sx</t>
    </r>
  </si>
  <si>
    <r>
      <t>A</t>
    </r>
    <r>
      <rPr>
        <vertAlign val="subscript"/>
        <sz val="11"/>
        <color theme="1"/>
        <rFont val="Calibri"/>
        <family val="2"/>
        <scheme val="minor"/>
      </rPr>
      <t>sh2</t>
    </r>
    <r>
      <rPr>
        <sz val="11"/>
        <color theme="1"/>
        <rFont val="Calibri"/>
        <family val="2"/>
        <scheme val="minor"/>
      </rPr>
      <t xml:space="preserve"> = </t>
    </r>
  </si>
  <si>
    <r>
      <t>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A</t>
    </r>
    <r>
      <rPr>
        <vertAlign val="subscript"/>
        <sz val="11"/>
        <color theme="1"/>
        <rFont val="Calibri"/>
        <family val="2"/>
        <scheme val="minor"/>
      </rPr>
      <t>sh2</t>
    </r>
    <r>
      <rPr>
        <sz val="11"/>
        <color theme="1"/>
        <rFont val="Calibri"/>
        <family val="2"/>
        <scheme val="minor"/>
      </rPr>
      <t xml:space="preserve"> / A</t>
    </r>
    <r>
      <rPr>
        <vertAlign val="subscript"/>
        <sz val="11"/>
        <color theme="1"/>
        <rFont val="Calibri"/>
        <family val="2"/>
        <scheme val="minor"/>
      </rPr>
      <t>sy</t>
    </r>
    <r>
      <rPr>
        <sz val="11"/>
        <color theme="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</si>
  <si>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2</t>
    </r>
  </si>
  <si>
    <r>
      <t>nt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* A</t>
    </r>
    <r>
      <rPr>
        <vertAlign val="subscript"/>
        <sz val="11"/>
        <color theme="1"/>
        <rFont val="Calibri"/>
        <family val="2"/>
        <scheme val="minor"/>
      </rPr>
      <t>Sy</t>
    </r>
  </si>
  <si>
    <r>
      <t>A</t>
    </r>
    <r>
      <rPr>
        <vertAlign val="subscript"/>
        <sz val="11"/>
        <color theme="1"/>
        <rFont val="Calibri"/>
        <family val="2"/>
        <scheme val="minor"/>
      </rPr>
      <t>sh2</t>
    </r>
  </si>
  <si>
    <r>
      <t>s</t>
    </r>
    <r>
      <rPr>
        <vertAlign val="subscript"/>
        <sz val="11"/>
        <rFont val="Calibri"/>
        <family val="2"/>
      </rPr>
      <t>1</t>
    </r>
  </si>
  <si>
    <r>
      <t>s</t>
    </r>
    <r>
      <rPr>
        <vertAlign val="subscript"/>
        <sz val="11"/>
        <rFont val="Calibri"/>
        <family val="2"/>
      </rPr>
      <t>2</t>
    </r>
  </si>
  <si>
    <t>Kesimpulan jarak tulangan transversal maksimum,</t>
  </si>
  <si>
    <t>Panjang daerah sendi plastis diukur dari muka hubungan kolom-balok,</t>
  </si>
  <si>
    <r>
      <t xml:space="preserve">  L</t>
    </r>
    <r>
      <rPr>
        <vertAlign val="sub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=</t>
    </r>
  </si>
  <si>
    <t>Jarak antar tul. longitudinal</t>
  </si>
  <si>
    <t>Perencanaan Penulangan Geser Kolom SRPMK Struktur Beton Bertulang</t>
  </si>
  <si>
    <t>Update ke -</t>
  </si>
  <si>
    <t>Shafannisa Sabila Sulhi</t>
  </si>
  <si>
    <t>V 1.0.0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</si>
</sst>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"/>
    <numFmt numFmtId="166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vertAlign val="subscript"/>
      <sz val="11"/>
      <name val="Calibri"/>
      <family val="2"/>
    </font>
    <font>
      <sz val="12"/>
      <color theme="0"/>
      <name val="Calibri"/>
      <family val="2"/>
      <scheme val="minor"/>
    </font>
    <font>
      <sz val="12"/>
      <color theme="0"/>
      <name val="Calibri"/>
      <family val="2"/>
      <charset val="1"/>
      <scheme val="minor"/>
    </font>
    <font>
      <sz val="12"/>
      <color theme="0"/>
      <name val="Calibri Light"/>
      <family val="2"/>
      <scheme val="major"/>
    </font>
    <font>
      <u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.35"/>
      <name val="Calibri"/>
      <family val="2"/>
    </font>
    <font>
      <vertAlign val="subscript"/>
      <sz val="9.35"/>
      <name val="Calibri"/>
      <family val="2"/>
    </font>
    <font>
      <b/>
      <vertAlign val="subscript"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/>
      <bottom/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9" fillId="0" borderId="0" xfId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12" fillId="7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2" fillId="7" borderId="0" xfId="0" applyFont="1" applyFill="1" applyAlignment="1">
      <alignment vertical="center"/>
    </xf>
    <xf numFmtId="0" fontId="16" fillId="9" borderId="0" xfId="1" applyFont="1" applyFill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vertical="center"/>
    </xf>
    <xf numFmtId="0" fontId="7" fillId="10" borderId="7" xfId="0" applyFont="1" applyFill="1" applyBorder="1" applyAlignment="1">
      <alignment vertical="center"/>
    </xf>
    <xf numFmtId="0" fontId="9" fillId="8" borderId="8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vertical="center"/>
    </xf>
    <xf numFmtId="0" fontId="16" fillId="0" borderId="0" xfId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10" borderId="11" xfId="0" applyFont="1" applyFill="1" applyBorder="1" applyAlignment="1">
      <alignment vertical="center"/>
    </xf>
    <xf numFmtId="0" fontId="9" fillId="8" borderId="12" xfId="0" applyFont="1" applyFill="1" applyBorder="1" applyAlignment="1">
      <alignment vertical="center"/>
    </xf>
    <xf numFmtId="0" fontId="5" fillId="8" borderId="0" xfId="0" applyFont="1" applyFill="1" applyAlignment="1">
      <alignment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left" vertical="center" indent="1"/>
    </xf>
    <xf numFmtId="0" fontId="9" fillId="8" borderId="0" xfId="0" applyFont="1" applyFill="1" applyAlignment="1">
      <alignment vertical="center"/>
    </xf>
    <xf numFmtId="0" fontId="0" fillId="0" borderId="0" xfId="0" applyAlignment="1">
      <alignment horizontal="right" vertical="center" indent="2"/>
    </xf>
    <xf numFmtId="0" fontId="0" fillId="0" borderId="9" xfId="0" applyBorder="1" applyAlignment="1">
      <alignment vertical="center"/>
    </xf>
    <xf numFmtId="0" fontId="0" fillId="0" borderId="15" xfId="0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9" fillId="8" borderId="0" xfId="0" applyFont="1" applyFill="1" applyAlignment="1">
      <alignment horizontal="center" vertical="center"/>
    </xf>
    <xf numFmtId="0" fontId="18" fillId="11" borderId="0" xfId="0" applyFont="1" applyFill="1" applyAlignment="1">
      <alignment vertical="center"/>
    </xf>
    <xf numFmtId="0" fontId="19" fillId="11" borderId="0" xfId="0" applyFont="1" applyFill="1" applyAlignment="1">
      <alignment horizontal="center" vertical="center"/>
    </xf>
    <xf numFmtId="0" fontId="19" fillId="11" borderId="0" xfId="0" applyFont="1" applyFill="1" applyAlignment="1">
      <alignment vertical="center"/>
    </xf>
    <xf numFmtId="0" fontId="19" fillId="11" borderId="0" xfId="0" quotePrefix="1" applyFont="1" applyFill="1" applyAlignment="1">
      <alignment vertical="center"/>
    </xf>
    <xf numFmtId="0" fontId="16" fillId="11" borderId="0" xfId="0" applyFont="1" applyFill="1" applyAlignment="1">
      <alignment vertical="center"/>
    </xf>
    <xf numFmtId="0" fontId="20" fillId="11" borderId="0" xfId="0" applyFont="1" applyFill="1" applyAlignment="1">
      <alignment vertical="center"/>
    </xf>
    <xf numFmtId="0" fontId="16" fillId="11" borderId="0" xfId="0" applyFont="1" applyFill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6" xfId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left" vertical="center" indent="1"/>
    </xf>
    <xf numFmtId="165" fontId="5" fillId="0" borderId="16" xfId="1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2" fontId="5" fillId="0" borderId="16" xfId="1" applyNumberFormat="1" applyFon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2" fontId="0" fillId="2" borderId="10" xfId="0" applyNumberForma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2" fontId="7" fillId="3" borderId="1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5" fillId="0" borderId="0" xfId="1" applyNumberFormat="1" applyFont="1" applyAlignment="1">
      <alignment horizontal="center" vertical="center"/>
    </xf>
    <xf numFmtId="0" fontId="5" fillId="0" borderId="12" xfId="0" applyFont="1" applyBorder="1" applyAlignment="1">
      <alignment horizontal="left" vertical="center" indent="2"/>
    </xf>
    <xf numFmtId="0" fontId="5" fillId="0" borderId="12" xfId="0" applyFont="1" applyBorder="1" applyAlignment="1">
      <alignment horizontal="left" vertical="center" indent="4"/>
    </xf>
    <xf numFmtId="0" fontId="9" fillId="0" borderId="12" xfId="0" applyFont="1" applyBorder="1" applyAlignment="1">
      <alignment vertical="center"/>
    </xf>
    <xf numFmtId="164" fontId="5" fillId="0" borderId="16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right" vertical="center" indent="4"/>
    </xf>
    <xf numFmtId="0" fontId="7" fillId="0" borderId="0" xfId="0" applyFont="1" applyAlignment="1">
      <alignment horizontal="left" vertical="center" indent="4"/>
    </xf>
    <xf numFmtId="166" fontId="5" fillId="0" borderId="16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 indent="2"/>
    </xf>
    <xf numFmtId="0" fontId="0" fillId="0" borderId="9" xfId="0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1" fontId="7" fillId="4" borderId="2" xfId="0" applyNumberFormat="1" applyFont="1" applyFill="1" applyBorder="1" applyAlignment="1">
      <alignment vertical="center"/>
    </xf>
    <xf numFmtId="1" fontId="7" fillId="4" borderId="4" xfId="0" applyNumberFormat="1" applyFont="1" applyFill="1" applyBorder="1" applyAlignment="1">
      <alignment horizontal="left" vertical="center"/>
    </xf>
    <xf numFmtId="11" fontId="5" fillId="0" borderId="16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 indent="2"/>
    </xf>
    <xf numFmtId="0" fontId="7" fillId="2" borderId="16" xfId="0" applyFont="1" applyFill="1" applyBorder="1" applyAlignment="1">
      <alignment horizontal="center" vertical="center"/>
    </xf>
    <xf numFmtId="2" fontId="7" fillId="2" borderId="16" xfId="0" applyNumberFormat="1" applyFont="1" applyFill="1" applyBorder="1" applyAlignment="1">
      <alignment horizontal="center" vertical="center"/>
    </xf>
    <xf numFmtId="11" fontId="7" fillId="2" borderId="16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1" fontId="0" fillId="0" borderId="16" xfId="0" applyNumberForma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7" fillId="6" borderId="10" xfId="0" applyFont="1" applyFill="1" applyBorder="1" applyAlignment="1">
      <alignment horizontal="center" vertical="center"/>
    </xf>
    <xf numFmtId="1" fontId="5" fillId="0" borderId="16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4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horizontal="left" vertical="center" indent="1"/>
    </xf>
    <xf numFmtId="0" fontId="21" fillId="11" borderId="0" xfId="2" quotePrefix="1" applyFont="1" applyFill="1" applyAlignment="1">
      <alignment vertical="center"/>
    </xf>
    <xf numFmtId="0" fontId="16" fillId="9" borderId="0" xfId="1" applyFont="1" applyFill="1" applyAlignment="1">
      <alignment horizontal="center" vertical="center"/>
    </xf>
    <xf numFmtId="0" fontId="12" fillId="6" borderId="17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0" fillId="0" borderId="9" xfId="0" applyBorder="1" applyAlignment="1">
      <alignment horizontal="left" vertical="center" wrapText="1" indent="2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20" fontId="0" fillId="0" borderId="2" xfId="0" quotePrefix="1" applyNumberFormat="1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14" fillId="0" borderId="2" xfId="2" applyBorder="1" applyAlignment="1">
      <alignment horizontal="left" vertical="center" indent="1"/>
    </xf>
    <xf numFmtId="0" fontId="27" fillId="6" borderId="16" xfId="0" applyFont="1" applyFill="1" applyBorder="1" applyAlignment="1">
      <alignment horizontal="center" vertical="center" wrapText="1"/>
    </xf>
    <xf numFmtId="0" fontId="27" fillId="6" borderId="16" xfId="0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9FE56B85-8189-4540-99D1-DED7780276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petra.id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18</xdr:row>
      <xdr:rowOff>171450</xdr:rowOff>
    </xdr:from>
    <xdr:to>
      <xdr:col>5</xdr:col>
      <xdr:colOff>552450</xdr:colOff>
      <xdr:row>20</xdr:row>
      <xdr:rowOff>28575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CA10E2-EC6E-475A-8214-2AC21FF8E519}"/>
            </a:ext>
          </a:extLst>
        </xdr:cNvPr>
        <xdr:cNvSpPr/>
      </xdr:nvSpPr>
      <xdr:spPr>
        <a:xfrm>
          <a:off x="1724025" y="4114800"/>
          <a:ext cx="1638300" cy="3333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Web</a:t>
          </a:r>
          <a:r>
            <a:rPr lang="en-US" sz="1100" b="1" baseline="0"/>
            <a:t> : Inpetra.ID</a:t>
          </a:r>
          <a:endParaRPr lang="en-US" sz="1100" b="1"/>
        </a:p>
      </xdr:txBody>
    </xdr:sp>
    <xdr:clientData/>
  </xdr:twoCellAnchor>
  <xdr:twoCellAnchor editAs="oneCell">
    <xdr:from>
      <xdr:col>3</xdr:col>
      <xdr:colOff>219075</xdr:colOff>
      <xdr:row>11</xdr:row>
      <xdr:rowOff>142875</xdr:rowOff>
    </xdr:from>
    <xdr:to>
      <xdr:col>5</xdr:col>
      <xdr:colOff>485775</xdr:colOff>
      <xdr:row>18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7C47F4-ABAA-4E58-AEB0-1142A22A0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457450"/>
          <a:ext cx="1485900" cy="1485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103522</xdr:colOff>
      <xdr:row>14</xdr:row>
      <xdr:rowOff>122731</xdr:rowOff>
    </xdr:from>
    <xdr:to>
      <xdr:col>4</xdr:col>
      <xdr:colOff>712507</xdr:colOff>
      <xdr:row>26</xdr:row>
      <xdr:rowOff>48719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318626A-7459-ECC3-4334-260E6305E8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0440"/>
        <a:stretch/>
      </xdr:blipFill>
      <xdr:spPr>
        <a:xfrm>
          <a:off x="506934" y="3364966"/>
          <a:ext cx="3298397" cy="2705047"/>
        </a:xfrm>
        <a:prstGeom prst="rect">
          <a:avLst/>
        </a:prstGeom>
      </xdr:spPr>
    </xdr:pic>
    <xdr:clientData/>
  </xdr:twoCellAnchor>
  <xdr:twoCellAnchor editAs="oneCell">
    <xdr:from>
      <xdr:col>4</xdr:col>
      <xdr:colOff>717550</xdr:colOff>
      <xdr:row>15</xdr:row>
      <xdr:rowOff>12389</xdr:rowOff>
    </xdr:from>
    <xdr:to>
      <xdr:col>8</xdr:col>
      <xdr:colOff>365527</xdr:colOff>
      <xdr:row>25</xdr:row>
      <xdr:rowOff>101600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FC41F40-289F-E826-8463-D4EE1A7ED4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185"/>
        <a:stretch/>
      </xdr:blipFill>
      <xdr:spPr>
        <a:xfrm>
          <a:off x="3803650" y="3536639"/>
          <a:ext cx="3229377" cy="24387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54430</xdr:colOff>
      <xdr:row>20</xdr:row>
      <xdr:rowOff>100696</xdr:rowOff>
    </xdr:from>
    <xdr:to>
      <xdr:col>6</xdr:col>
      <xdr:colOff>381000</xdr:colOff>
      <xdr:row>39</xdr:row>
      <xdr:rowOff>88593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C7D0F1-5376-A498-9D4E-37B974A27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2287" y="5044625"/>
          <a:ext cx="3020784" cy="44691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140805</xdr:rowOff>
    </xdr:from>
    <xdr:to>
      <xdr:col>2</xdr:col>
      <xdr:colOff>733030</xdr:colOff>
      <xdr:row>4</xdr:row>
      <xdr:rowOff>41414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7A0FF001-81D0-4DF9-88F2-11D2708285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39" y="621196"/>
          <a:ext cx="1478465" cy="6211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113659</xdr:rowOff>
    </xdr:from>
    <xdr:to>
      <xdr:col>4</xdr:col>
      <xdr:colOff>535214</xdr:colOff>
      <xdr:row>31</xdr:row>
      <xdr:rowOff>110564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291A9A0-D5EA-4DF6-A398-4E20F514E9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0440"/>
        <a:stretch/>
      </xdr:blipFill>
      <xdr:spPr>
        <a:xfrm>
          <a:off x="0" y="5075730"/>
          <a:ext cx="3111500" cy="2591334"/>
        </a:xfrm>
        <a:prstGeom prst="rect">
          <a:avLst/>
        </a:prstGeom>
      </xdr:spPr>
    </xdr:pic>
    <xdr:clientData/>
  </xdr:twoCellAnchor>
  <xdr:twoCellAnchor editAs="oneCell">
    <xdr:from>
      <xdr:col>4</xdr:col>
      <xdr:colOff>544286</xdr:colOff>
      <xdr:row>20</xdr:row>
      <xdr:rowOff>84960</xdr:rowOff>
    </xdr:from>
    <xdr:to>
      <xdr:col>8</xdr:col>
      <xdr:colOff>616858</xdr:colOff>
      <xdr:row>30</xdr:row>
      <xdr:rowOff>154214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73B0E457-B353-4CF0-BB52-054393C415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709" r="459"/>
        <a:stretch/>
      </xdr:blipFill>
      <xdr:spPr>
        <a:xfrm>
          <a:off x="3120572" y="5047031"/>
          <a:ext cx="3084286" cy="2427826"/>
        </a:xfrm>
        <a:prstGeom prst="rect">
          <a:avLst/>
        </a:prstGeom>
      </xdr:spPr>
    </xdr:pic>
    <xdr:clientData/>
  </xdr:twoCellAnchor>
  <xdr:twoCellAnchor editAs="oneCell">
    <xdr:from>
      <xdr:col>3</xdr:col>
      <xdr:colOff>278547</xdr:colOff>
      <xdr:row>93</xdr:row>
      <xdr:rowOff>54473</xdr:rowOff>
    </xdr:from>
    <xdr:to>
      <xdr:col>6</xdr:col>
      <xdr:colOff>328706</xdr:colOff>
      <xdr:row>107</xdr:row>
      <xdr:rowOff>159673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A2FB617-8974-4C34-AE0A-10364EEF4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93900" y="21711708"/>
          <a:ext cx="2291335" cy="334743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hafannisasulh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drakrajsuwe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58F24-8246-4253-B4A5-333BB8431C43}">
  <sheetPr>
    <tabColor rgb="FF7030A0"/>
  </sheetPr>
  <dimension ref="B2:J24"/>
  <sheetViews>
    <sheetView workbookViewId="0"/>
  </sheetViews>
  <sheetFormatPr defaultColWidth="9.1796875" defaultRowHeight="18.75" customHeight="1" x14ac:dyDescent="0.35"/>
  <cols>
    <col min="1" max="1" width="4.26953125" style="45" customWidth="1"/>
    <col min="2" max="2" width="16.7265625" style="45" customWidth="1"/>
    <col min="3" max="3" width="2.81640625" style="44" customWidth="1"/>
    <col min="4" max="16384" width="9.1796875" style="45"/>
  </cols>
  <sheetData>
    <row r="2" spans="2:10" ht="15.5" x14ac:dyDescent="0.35">
      <c r="B2" s="43" t="s">
        <v>46</v>
      </c>
      <c r="C2" s="44" t="s">
        <v>47</v>
      </c>
      <c r="D2" s="45" t="s">
        <v>250</v>
      </c>
    </row>
    <row r="3" spans="2:10" ht="15.5" x14ac:dyDescent="0.35">
      <c r="B3" s="43" t="s">
        <v>48</v>
      </c>
      <c r="C3" s="44" t="s">
        <v>47</v>
      </c>
      <c r="D3" s="45" t="s">
        <v>253</v>
      </c>
    </row>
    <row r="4" spans="2:10" ht="15.5" x14ac:dyDescent="0.35">
      <c r="B4" s="43" t="s">
        <v>251</v>
      </c>
      <c r="C4" s="44" t="s">
        <v>47</v>
      </c>
      <c r="D4" s="46"/>
    </row>
    <row r="5" spans="2:10" ht="15.5" x14ac:dyDescent="0.35">
      <c r="B5" s="43"/>
    </row>
    <row r="6" spans="2:10" ht="15.5" x14ac:dyDescent="0.35">
      <c r="B6" s="43" t="s">
        <v>49</v>
      </c>
      <c r="C6" s="44" t="s">
        <v>47</v>
      </c>
      <c r="D6" s="45" t="s">
        <v>252</v>
      </c>
    </row>
    <row r="7" spans="2:10" ht="15.5" x14ac:dyDescent="0.35">
      <c r="B7" s="43" t="s">
        <v>50</v>
      </c>
      <c r="C7" s="44" t="s">
        <v>47</v>
      </c>
      <c r="D7" s="113" t="s">
        <v>54</v>
      </c>
    </row>
    <row r="8" spans="2:10" ht="15.5" x14ac:dyDescent="0.35">
      <c r="C8" s="45"/>
      <c r="J8" s="47"/>
    </row>
    <row r="10" spans="2:10" ht="15.5" x14ac:dyDescent="0.35">
      <c r="B10" s="48" t="s">
        <v>51</v>
      </c>
      <c r="C10" s="49"/>
      <c r="D10" s="49"/>
      <c r="E10" s="49"/>
      <c r="F10" s="49"/>
      <c r="G10" s="49"/>
      <c r="H10" s="49"/>
      <c r="I10" s="49"/>
    </row>
    <row r="12" spans="2:10" ht="15.5" x14ac:dyDescent="0.35"/>
    <row r="23" spans="2:2" ht="15.5" x14ac:dyDescent="0.35">
      <c r="B23" s="45" t="s">
        <v>52</v>
      </c>
    </row>
    <row r="24" spans="2:2" ht="15.5" x14ac:dyDescent="0.35">
      <c r="B24" s="45" t="s">
        <v>53</v>
      </c>
    </row>
  </sheetData>
  <hyperlinks>
    <hyperlink ref="D7" r:id="rId1" display="shafannisasulhi@gmail.com" xr:uid="{06F1E511-149F-460B-8421-C6FDF175D55C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CF940-8CC2-4E08-9003-6B40AEA6DF22}">
  <sheetPr codeName="Sheet1">
    <tabColor theme="7"/>
  </sheetPr>
  <dimension ref="A1:J61"/>
  <sheetViews>
    <sheetView showGridLines="0" defaultGridColor="0" colorId="22" zoomScaleNormal="100" workbookViewId="0"/>
  </sheetViews>
  <sheetFormatPr defaultColWidth="12.81640625" defaultRowHeight="18.75" customHeight="1" x14ac:dyDescent="0.35"/>
  <cols>
    <col min="1" max="1" width="5.7265625" style="1" customWidth="1"/>
    <col min="2" max="6" width="12.81640625" style="1" customWidth="1"/>
    <col min="7" max="7" width="12.81640625" style="2" customWidth="1"/>
    <col min="8" max="8" width="12.81640625" style="3" customWidth="1"/>
    <col min="9" max="9" width="10.7265625" style="5" customWidth="1"/>
    <col min="10" max="10" width="4.26953125" style="5" customWidth="1"/>
    <col min="11" max="16384" width="12.81640625" style="1"/>
  </cols>
  <sheetData>
    <row r="1" spans="1:10" ht="18.75" customHeight="1" x14ac:dyDescent="0.35">
      <c r="A1" s="14" t="s">
        <v>34</v>
      </c>
      <c r="B1" s="114" t="s">
        <v>35</v>
      </c>
      <c r="C1" s="114"/>
      <c r="D1" s="114"/>
      <c r="E1" s="114"/>
      <c r="F1" s="114"/>
      <c r="G1" s="14" t="s">
        <v>36</v>
      </c>
      <c r="H1" s="14" t="s">
        <v>37</v>
      </c>
      <c r="I1" s="14" t="s">
        <v>38</v>
      </c>
      <c r="J1" s="20"/>
    </row>
    <row r="2" spans="1:10" ht="18.75" customHeight="1" x14ac:dyDescent="0.35">
      <c r="A2" s="15" t="s">
        <v>31</v>
      </c>
      <c r="B2" s="16" t="s">
        <v>39</v>
      </c>
      <c r="C2" s="16"/>
      <c r="D2" s="16"/>
      <c r="E2" s="16"/>
      <c r="F2" s="16"/>
      <c r="G2" s="16"/>
      <c r="H2" s="16"/>
      <c r="I2" s="17"/>
      <c r="J2" s="12"/>
    </row>
    <row r="3" spans="1:10" ht="18.75" customHeight="1" x14ac:dyDescent="0.35">
      <c r="A3" s="18" t="s">
        <v>33</v>
      </c>
      <c r="B3" s="36" t="s">
        <v>185</v>
      </c>
      <c r="C3" s="27"/>
      <c r="D3" s="27"/>
      <c r="E3" s="27"/>
      <c r="F3" s="27"/>
      <c r="G3" s="27"/>
      <c r="H3" s="27"/>
      <c r="I3" s="19"/>
      <c r="J3" s="21"/>
    </row>
    <row r="4" spans="1:10" ht="18.75" customHeight="1" x14ac:dyDescent="0.35">
      <c r="A4" s="23"/>
      <c r="B4" s="1" t="s">
        <v>10</v>
      </c>
      <c r="G4" s="2" t="s">
        <v>7</v>
      </c>
      <c r="H4" s="95">
        <v>35</v>
      </c>
      <c r="I4" s="29" t="s">
        <v>0</v>
      </c>
    </row>
    <row r="5" spans="1:10" ht="18.75" customHeight="1" x14ac:dyDescent="0.35">
      <c r="A5" s="23"/>
      <c r="B5" s="1" t="s">
        <v>11</v>
      </c>
      <c r="G5" s="2" t="s">
        <v>87</v>
      </c>
      <c r="H5" s="95">
        <v>420</v>
      </c>
      <c r="I5" s="29" t="s">
        <v>0</v>
      </c>
    </row>
    <row r="6" spans="1:10" ht="18.75" customHeight="1" x14ac:dyDescent="0.35">
      <c r="A6" s="23"/>
      <c r="B6" s="1" t="s">
        <v>12</v>
      </c>
      <c r="G6" s="2" t="s">
        <v>86</v>
      </c>
      <c r="H6" s="95">
        <v>420</v>
      </c>
      <c r="I6" s="29" t="s">
        <v>0</v>
      </c>
    </row>
    <row r="7" spans="1:10" ht="18.75" customHeight="1" x14ac:dyDescent="0.35">
      <c r="A7" s="23"/>
      <c r="B7" s="1" t="s">
        <v>13</v>
      </c>
      <c r="G7" s="2" t="s">
        <v>14</v>
      </c>
      <c r="H7" s="95">
        <v>200000</v>
      </c>
      <c r="I7" s="29" t="s">
        <v>0</v>
      </c>
    </row>
    <row r="8" spans="1:10" ht="18.75" customHeight="1" x14ac:dyDescent="0.35">
      <c r="A8" s="23"/>
      <c r="I8" s="29"/>
    </row>
    <row r="9" spans="1:10" ht="18.75" customHeight="1" x14ac:dyDescent="0.35">
      <c r="A9" s="18" t="s">
        <v>40</v>
      </c>
      <c r="B9" s="36" t="s">
        <v>186</v>
      </c>
      <c r="C9" s="27"/>
      <c r="D9" s="27"/>
      <c r="E9" s="27"/>
      <c r="F9" s="27"/>
      <c r="G9" s="27"/>
      <c r="H9" s="27"/>
      <c r="I9" s="19"/>
      <c r="J9" s="21"/>
    </row>
    <row r="10" spans="1:10" ht="18.75" customHeight="1" x14ac:dyDescent="0.35">
      <c r="A10" s="23"/>
      <c r="B10" s="1" t="s">
        <v>60</v>
      </c>
      <c r="F10" s="2"/>
      <c r="G10" s="2" t="s">
        <v>5</v>
      </c>
      <c r="H10" s="95">
        <v>300</v>
      </c>
      <c r="I10" s="29" t="s">
        <v>4</v>
      </c>
      <c r="J10" s="1"/>
    </row>
    <row r="11" spans="1:10" ht="18.75" customHeight="1" x14ac:dyDescent="0.35">
      <c r="A11" s="23"/>
      <c r="B11" s="1" t="s">
        <v>59</v>
      </c>
      <c r="F11" s="2"/>
      <c r="G11" s="2" t="s">
        <v>6</v>
      </c>
      <c r="H11" s="95">
        <v>600</v>
      </c>
      <c r="I11" s="29" t="s">
        <v>4</v>
      </c>
      <c r="J11" s="1"/>
    </row>
    <row r="12" spans="1:10" ht="18.75" customHeight="1" x14ac:dyDescent="0.35">
      <c r="A12" s="23"/>
      <c r="B12" s="1" t="s">
        <v>8</v>
      </c>
      <c r="G12" s="2" t="s">
        <v>9</v>
      </c>
      <c r="H12" s="95">
        <v>40</v>
      </c>
      <c r="I12" s="29" t="s">
        <v>4</v>
      </c>
      <c r="J12" s="1"/>
    </row>
    <row r="13" spans="1:10" ht="18.75" customHeight="1" x14ac:dyDescent="0.35">
      <c r="A13" s="23"/>
      <c r="B13" s="1" t="s">
        <v>123</v>
      </c>
      <c r="G13" s="2" t="s">
        <v>160</v>
      </c>
      <c r="H13" s="95">
        <v>4000</v>
      </c>
      <c r="I13" s="29" t="s">
        <v>4</v>
      </c>
      <c r="J13" s="1"/>
    </row>
    <row r="14" spans="1:10" ht="18.75" customHeight="1" x14ac:dyDescent="0.35">
      <c r="A14" s="23"/>
      <c r="B14" s="1" t="s">
        <v>81</v>
      </c>
      <c r="G14" s="2" t="s">
        <v>82</v>
      </c>
      <c r="H14" s="95">
        <v>40</v>
      </c>
      <c r="I14" s="29" t="s">
        <v>4</v>
      </c>
      <c r="J14" s="1"/>
    </row>
    <row r="15" spans="1:10" ht="18.75" customHeight="1" x14ac:dyDescent="0.35">
      <c r="A15" s="23"/>
      <c r="I15" s="29"/>
    </row>
    <row r="16" spans="1:10" ht="18.75" customHeight="1" x14ac:dyDescent="0.35">
      <c r="A16" s="23"/>
      <c r="I16" s="29"/>
    </row>
    <row r="17" spans="1:9" ht="18.75" customHeight="1" x14ac:dyDescent="0.35">
      <c r="A17" s="23"/>
      <c r="I17" s="29"/>
    </row>
    <row r="18" spans="1:9" ht="18.75" customHeight="1" x14ac:dyDescent="0.35">
      <c r="A18" s="23"/>
      <c r="I18" s="29"/>
    </row>
    <row r="19" spans="1:9" ht="18.75" customHeight="1" x14ac:dyDescent="0.35">
      <c r="A19" s="23"/>
      <c r="I19" s="29"/>
    </row>
    <row r="20" spans="1:9" ht="18.75" customHeight="1" x14ac:dyDescent="0.35">
      <c r="A20" s="23"/>
      <c r="I20" s="29"/>
    </row>
    <row r="21" spans="1:9" ht="18.75" customHeight="1" x14ac:dyDescent="0.35">
      <c r="A21" s="23"/>
      <c r="I21" s="29"/>
    </row>
    <row r="22" spans="1:9" ht="18.75" customHeight="1" x14ac:dyDescent="0.35">
      <c r="A22" s="23"/>
      <c r="I22" s="29"/>
    </row>
    <row r="23" spans="1:9" ht="18.75" customHeight="1" x14ac:dyDescent="0.35">
      <c r="A23" s="23"/>
      <c r="I23" s="29"/>
    </row>
    <row r="24" spans="1:9" ht="18.75" customHeight="1" x14ac:dyDescent="0.35">
      <c r="A24" s="23"/>
      <c r="I24" s="29"/>
    </row>
    <row r="25" spans="1:9" ht="18.75" customHeight="1" x14ac:dyDescent="0.35">
      <c r="A25" s="23"/>
      <c r="I25" s="29"/>
    </row>
    <row r="26" spans="1:9" ht="18.75" customHeight="1" x14ac:dyDescent="0.35">
      <c r="A26" s="23"/>
      <c r="I26" s="29"/>
    </row>
    <row r="27" spans="1:9" ht="18.75" customHeight="1" x14ac:dyDescent="0.35">
      <c r="A27" s="23"/>
      <c r="I27" s="29"/>
    </row>
    <row r="28" spans="1:9" ht="18.75" customHeight="1" x14ac:dyDescent="0.35">
      <c r="A28" s="23"/>
      <c r="B28" s="1" t="s">
        <v>2</v>
      </c>
      <c r="G28" s="2" t="s">
        <v>3</v>
      </c>
      <c r="H28" s="95">
        <v>22</v>
      </c>
      <c r="I28" s="29" t="s">
        <v>4</v>
      </c>
    </row>
    <row r="29" spans="1:9" ht="18.75" customHeight="1" x14ac:dyDescent="0.35">
      <c r="A29" s="23"/>
      <c r="B29" s="1" t="s">
        <v>1</v>
      </c>
      <c r="E29" s="1" t="s">
        <v>15</v>
      </c>
      <c r="G29" s="2" t="s">
        <v>145</v>
      </c>
      <c r="H29" s="95">
        <v>7</v>
      </c>
      <c r="I29" s="29"/>
    </row>
    <row r="30" spans="1:9" ht="18.75" customHeight="1" x14ac:dyDescent="0.35">
      <c r="A30" s="23"/>
      <c r="E30" s="1" t="s">
        <v>16</v>
      </c>
      <c r="G30" s="2" t="s">
        <v>146</v>
      </c>
      <c r="H30" s="95">
        <v>3</v>
      </c>
      <c r="I30" s="29"/>
    </row>
    <row r="31" spans="1:9" ht="18.75" customHeight="1" x14ac:dyDescent="0.35">
      <c r="A31" s="23"/>
      <c r="H31" s="2"/>
      <c r="I31" s="29"/>
    </row>
    <row r="32" spans="1:9" ht="18.75" customHeight="1" x14ac:dyDescent="0.35">
      <c r="A32" s="23"/>
      <c r="B32" s="115" t="s">
        <v>105</v>
      </c>
      <c r="C32" s="63" t="s">
        <v>91</v>
      </c>
      <c r="D32" s="115" t="s">
        <v>106</v>
      </c>
      <c r="E32" s="63" t="s">
        <v>91</v>
      </c>
      <c r="H32" s="2"/>
      <c r="I32" s="29"/>
    </row>
    <row r="33" spans="1:9" ht="18.75" customHeight="1" x14ac:dyDescent="0.35">
      <c r="A33" s="23"/>
      <c r="B33" s="116"/>
      <c r="C33" s="11" t="s">
        <v>92</v>
      </c>
      <c r="D33" s="116"/>
      <c r="E33" s="11" t="s">
        <v>92</v>
      </c>
      <c r="H33" s="2"/>
      <c r="I33" s="29"/>
    </row>
    <row r="34" spans="1:9" ht="18.75" customHeight="1" x14ac:dyDescent="0.35">
      <c r="A34" s="23"/>
      <c r="B34" s="117"/>
      <c r="C34" s="64" t="s">
        <v>93</v>
      </c>
      <c r="D34" s="117"/>
      <c r="E34" s="64" t="s">
        <v>93</v>
      </c>
      <c r="H34" s="2"/>
      <c r="I34" s="29"/>
    </row>
    <row r="35" spans="1:9" ht="18.75" customHeight="1" x14ac:dyDescent="0.35">
      <c r="A35" s="86">
        <v>1</v>
      </c>
      <c r="B35" s="65">
        <v>1</v>
      </c>
      <c r="C35" s="66">
        <f>IF(B35="","",($H$11-$H$12-$H$12-$H$28-2*$H$45)/($H$29-1))</f>
        <v>78.666666666666671</v>
      </c>
      <c r="D35" s="65">
        <v>1</v>
      </c>
      <c r="E35" s="66">
        <f>IF(D35="","",($H$10-$H$12-$H$12-$H$28-2*$H$45)/($H$30-1))</f>
        <v>86</v>
      </c>
      <c r="H35" s="2"/>
      <c r="I35" s="29"/>
    </row>
    <row r="36" spans="1:9" ht="18.75" customHeight="1" x14ac:dyDescent="0.35">
      <c r="A36" s="86">
        <v>2</v>
      </c>
      <c r="B36" s="67">
        <f>IF($H$29&lt;=A36,"",B35+1)</f>
        <v>2</v>
      </c>
      <c r="C36" s="66">
        <f t="shared" ref="C36:C40" si="0">IF(B36="","",($H$11-$H$12-$H$12-$H$28-2*$H$45)/($H$29-1))</f>
        <v>78.666666666666671</v>
      </c>
      <c r="D36" s="67">
        <f>IF($H$30&lt;=A36,"",D35+1)</f>
        <v>2</v>
      </c>
      <c r="E36" s="66">
        <f>IF(D36="","",($H$10-$H$12-$H$12-$H$28-2*$H$45)/($H$30-1))</f>
        <v>86</v>
      </c>
      <c r="H36" s="2"/>
      <c r="I36" s="29"/>
    </row>
    <row r="37" spans="1:9" ht="18.75" customHeight="1" x14ac:dyDescent="0.35">
      <c r="A37" s="86">
        <v>3</v>
      </c>
      <c r="B37" s="67">
        <f t="shared" ref="B37:B42" si="1">IF($H$29&lt;=A37,"",B36+1)</f>
        <v>3</v>
      </c>
      <c r="C37" s="66">
        <f t="shared" si="0"/>
        <v>78.666666666666671</v>
      </c>
      <c r="D37" s="67" t="str">
        <f t="shared" ref="D37:D42" si="2">IF($H$30&lt;=A37,"",D36+1)</f>
        <v/>
      </c>
      <c r="E37" s="66" t="str">
        <f t="shared" ref="E37:E42" si="3">IF(D37="","",($H$10-$H$12-$H$12)/($H$30-1))</f>
        <v/>
      </c>
      <c r="H37" s="2"/>
      <c r="I37" s="29"/>
    </row>
    <row r="38" spans="1:9" ht="18.75" customHeight="1" x14ac:dyDescent="0.35">
      <c r="A38" s="86">
        <v>4</v>
      </c>
      <c r="B38" s="67">
        <f t="shared" si="1"/>
        <v>4</v>
      </c>
      <c r="C38" s="66">
        <f t="shared" si="0"/>
        <v>78.666666666666671</v>
      </c>
      <c r="D38" s="67" t="str">
        <f t="shared" si="2"/>
        <v/>
      </c>
      <c r="E38" s="66" t="str">
        <f t="shared" si="3"/>
        <v/>
      </c>
      <c r="H38" s="2"/>
      <c r="I38" s="29"/>
    </row>
    <row r="39" spans="1:9" ht="18.75" customHeight="1" x14ac:dyDescent="0.35">
      <c r="A39" s="86">
        <v>5</v>
      </c>
      <c r="B39" s="67">
        <f t="shared" si="1"/>
        <v>5</v>
      </c>
      <c r="C39" s="66">
        <f t="shared" si="0"/>
        <v>78.666666666666671</v>
      </c>
      <c r="D39" s="67" t="str">
        <f t="shared" si="2"/>
        <v/>
      </c>
      <c r="E39" s="66" t="str">
        <f t="shared" si="3"/>
        <v/>
      </c>
      <c r="H39" s="2"/>
      <c r="I39" s="29"/>
    </row>
    <row r="40" spans="1:9" ht="18.75" customHeight="1" x14ac:dyDescent="0.35">
      <c r="A40" s="86">
        <v>6</v>
      </c>
      <c r="B40" s="67">
        <f t="shared" si="1"/>
        <v>6</v>
      </c>
      <c r="C40" s="66">
        <f t="shared" si="0"/>
        <v>78.666666666666671</v>
      </c>
      <c r="D40" s="67" t="str">
        <f t="shared" si="2"/>
        <v/>
      </c>
      <c r="E40" s="66" t="str">
        <f t="shared" si="3"/>
        <v/>
      </c>
      <c r="H40" s="2"/>
      <c r="I40" s="29"/>
    </row>
    <row r="41" spans="1:9" ht="18.75" customHeight="1" x14ac:dyDescent="0.35">
      <c r="A41" s="86">
        <v>7</v>
      </c>
      <c r="B41" s="67" t="str">
        <f t="shared" si="1"/>
        <v/>
      </c>
      <c r="C41" s="66" t="str">
        <f t="shared" ref="C41:C42" si="4">IF(B41="","",($H$11-$H$12-$H$12)/($H$29-1))</f>
        <v/>
      </c>
      <c r="D41" s="67" t="str">
        <f t="shared" si="2"/>
        <v/>
      </c>
      <c r="E41" s="66" t="str">
        <f t="shared" si="3"/>
        <v/>
      </c>
      <c r="H41" s="2"/>
      <c r="I41" s="29"/>
    </row>
    <row r="42" spans="1:9" ht="18.75" customHeight="1" x14ac:dyDescent="0.35">
      <c r="A42" s="86">
        <v>8</v>
      </c>
      <c r="B42" s="67" t="str">
        <f t="shared" si="1"/>
        <v/>
      </c>
      <c r="C42" s="66" t="str">
        <f t="shared" si="4"/>
        <v/>
      </c>
      <c r="D42" s="67" t="str">
        <f t="shared" si="2"/>
        <v/>
      </c>
      <c r="E42" s="66" t="str">
        <f t="shared" si="3"/>
        <v/>
      </c>
      <c r="H42" s="2"/>
      <c r="I42" s="29"/>
    </row>
    <row r="43" spans="1:9" ht="18.75" customHeight="1" x14ac:dyDescent="0.35">
      <c r="A43" s="23"/>
      <c r="B43" s="71"/>
      <c r="C43" s="72">
        <f>SUM(C35:C42)</f>
        <v>472.00000000000006</v>
      </c>
      <c r="D43" s="71"/>
      <c r="E43" s="70">
        <f>SUM(E30:E42)</f>
        <v>172</v>
      </c>
      <c r="H43" s="2"/>
      <c r="I43" s="29"/>
    </row>
    <row r="44" spans="1:9" ht="18.75" customHeight="1" x14ac:dyDescent="0.35">
      <c r="A44" s="23"/>
      <c r="H44" s="2"/>
      <c r="I44" s="29"/>
    </row>
    <row r="45" spans="1:9" ht="18.75" customHeight="1" x14ac:dyDescent="0.35">
      <c r="A45" s="23"/>
      <c r="B45" s="1" t="s">
        <v>124</v>
      </c>
      <c r="G45" s="2" t="s">
        <v>3</v>
      </c>
      <c r="H45" s="95">
        <v>13</v>
      </c>
      <c r="I45" s="29" t="s">
        <v>4</v>
      </c>
    </row>
    <row r="46" spans="1:9" ht="18.75" customHeight="1" x14ac:dyDescent="0.35">
      <c r="A46" s="23"/>
      <c r="B46" s="1" t="s">
        <v>144</v>
      </c>
      <c r="E46" s="1" t="s">
        <v>15</v>
      </c>
      <c r="G46" s="2" t="s">
        <v>147</v>
      </c>
      <c r="H46" s="95">
        <v>5</v>
      </c>
      <c r="I46" s="29"/>
    </row>
    <row r="47" spans="1:9" ht="18.75" customHeight="1" x14ac:dyDescent="0.35">
      <c r="A47" s="23"/>
      <c r="E47" s="1" t="s">
        <v>16</v>
      </c>
      <c r="G47" s="2" t="s">
        <v>148</v>
      </c>
      <c r="H47" s="95">
        <v>3</v>
      </c>
      <c r="I47" s="29"/>
    </row>
    <row r="48" spans="1:9" ht="18.75" customHeight="1" x14ac:dyDescent="0.35">
      <c r="A48" s="23"/>
      <c r="B48" s="1" t="s">
        <v>127</v>
      </c>
      <c r="G48" s="2" t="s">
        <v>128</v>
      </c>
      <c r="H48" s="96">
        <f>C35</f>
        <v>78.666666666666671</v>
      </c>
      <c r="I48" s="29" t="s">
        <v>4</v>
      </c>
    </row>
    <row r="49" spans="1:10" ht="18.649999999999999" customHeight="1" x14ac:dyDescent="0.35">
      <c r="A49" s="23"/>
      <c r="B49" s="1" t="s">
        <v>102</v>
      </c>
      <c r="G49" s="1"/>
      <c r="H49" s="1"/>
      <c r="I49" s="29"/>
    </row>
    <row r="50" spans="1:10" ht="18.75" customHeight="1" x14ac:dyDescent="0.35">
      <c r="A50" s="23"/>
      <c r="G50" s="2" t="s">
        <v>101</v>
      </c>
      <c r="H50" s="96">
        <f>C35+C36</f>
        <v>157.33333333333334</v>
      </c>
      <c r="I50" s="29" t="s">
        <v>4</v>
      </c>
    </row>
    <row r="51" spans="1:10" ht="18.75" customHeight="1" x14ac:dyDescent="0.35">
      <c r="A51" s="23"/>
      <c r="H51" s="2"/>
      <c r="I51" s="29"/>
    </row>
    <row r="52" spans="1:10" ht="18.75" customHeight="1" x14ac:dyDescent="0.35">
      <c r="A52" s="23"/>
      <c r="B52" s="1" t="s">
        <v>189</v>
      </c>
      <c r="G52" s="2" t="s">
        <v>191</v>
      </c>
      <c r="H52" s="95">
        <v>75</v>
      </c>
      <c r="I52" s="29" t="s">
        <v>4</v>
      </c>
    </row>
    <row r="53" spans="1:10" ht="18.75" customHeight="1" x14ac:dyDescent="0.35">
      <c r="A53" s="23"/>
      <c r="B53" s="1" t="s">
        <v>190</v>
      </c>
      <c r="G53" s="2" t="s">
        <v>192</v>
      </c>
      <c r="H53" s="95">
        <v>120</v>
      </c>
      <c r="I53" s="29" t="s">
        <v>4</v>
      </c>
    </row>
    <row r="54" spans="1:10" ht="18.75" customHeight="1" x14ac:dyDescent="0.35">
      <c r="A54" s="23"/>
      <c r="H54" s="2"/>
      <c r="I54" s="29"/>
    </row>
    <row r="55" spans="1:10" ht="18.75" customHeight="1" x14ac:dyDescent="0.35">
      <c r="A55" s="18" t="s">
        <v>187</v>
      </c>
      <c r="B55" s="36" t="s">
        <v>188</v>
      </c>
      <c r="C55" s="27"/>
      <c r="D55" s="27"/>
      <c r="E55" s="27"/>
      <c r="F55" s="27"/>
      <c r="G55" s="27"/>
      <c r="H55" s="27"/>
      <c r="I55" s="19"/>
    </row>
    <row r="56" spans="1:10" ht="18.75" customHeight="1" x14ac:dyDescent="0.35">
      <c r="A56" s="23"/>
      <c r="B56" s="1" t="s">
        <v>55</v>
      </c>
      <c r="G56" s="2" t="s">
        <v>56</v>
      </c>
      <c r="H56" s="95">
        <v>240000</v>
      </c>
      <c r="I56" s="29" t="s">
        <v>72</v>
      </c>
    </row>
    <row r="57" spans="1:10" ht="18.75" customHeight="1" x14ac:dyDescent="0.35">
      <c r="A57" s="40"/>
      <c r="B57" s="1" t="s">
        <v>204</v>
      </c>
      <c r="C57" s="21"/>
      <c r="D57" s="21"/>
      <c r="E57" s="21"/>
      <c r="F57" s="21"/>
      <c r="G57" s="2" t="s">
        <v>143</v>
      </c>
      <c r="H57" s="95">
        <v>23000</v>
      </c>
      <c r="I57" s="29" t="s">
        <v>72</v>
      </c>
      <c r="J57" s="5" t="s">
        <v>58</v>
      </c>
    </row>
    <row r="58" spans="1:10" ht="18.75" customHeight="1" x14ac:dyDescent="0.35">
      <c r="A58" s="40"/>
      <c r="B58" s="51" t="s">
        <v>203</v>
      </c>
      <c r="C58" s="21"/>
      <c r="D58" s="21"/>
      <c r="E58" s="21"/>
      <c r="F58" s="21"/>
      <c r="G58" s="2" t="s">
        <v>61</v>
      </c>
      <c r="H58" s="97">
        <f>326*10^6</f>
        <v>326000000</v>
      </c>
      <c r="I58" s="29" t="s">
        <v>73</v>
      </c>
    </row>
    <row r="59" spans="1:10" ht="18.75" customHeight="1" x14ac:dyDescent="0.35">
      <c r="A59" s="40"/>
      <c r="B59" s="21" t="s">
        <v>210</v>
      </c>
      <c r="C59" s="21"/>
      <c r="D59" s="21"/>
      <c r="E59" s="21"/>
      <c r="F59" s="21"/>
      <c r="G59" s="2" t="s">
        <v>215</v>
      </c>
      <c r="H59" s="97">
        <f>1100*10^6</f>
        <v>1100000000</v>
      </c>
      <c r="I59" s="29" t="s">
        <v>73</v>
      </c>
    </row>
    <row r="60" spans="1:10" ht="18.75" customHeight="1" x14ac:dyDescent="0.35">
      <c r="A60" s="40"/>
      <c r="B60" s="21" t="s">
        <v>211</v>
      </c>
      <c r="C60" s="21"/>
      <c r="D60" s="21"/>
      <c r="E60" s="21"/>
      <c r="F60" s="21"/>
      <c r="G60" s="2" t="s">
        <v>216</v>
      </c>
      <c r="H60" s="97">
        <f>1100*10^6</f>
        <v>1100000000</v>
      </c>
      <c r="I60" s="29" t="s">
        <v>73</v>
      </c>
    </row>
    <row r="61" spans="1:10" ht="18.75" customHeight="1" x14ac:dyDescent="0.35">
      <c r="A61" s="24"/>
      <c r="B61" s="32"/>
      <c r="C61" s="32"/>
      <c r="D61" s="32"/>
      <c r="E61" s="32"/>
      <c r="F61" s="32"/>
      <c r="G61" s="32"/>
      <c r="H61" s="32"/>
      <c r="I61" s="39"/>
    </row>
  </sheetData>
  <mergeCells count="3">
    <mergeCell ref="B1:F1"/>
    <mergeCell ref="B32:B34"/>
    <mergeCell ref="D32:D34"/>
  </mergeCells>
  <dataValidations count="1">
    <dataValidation type="list" allowBlank="1" showInputMessage="1" showErrorMessage="1" sqref="H29:H30 H46:H47" xr:uid="{C677C3C3-9EB5-4658-A6DF-0123C86429B8}">
      <formula1>"2,3,4,5,6,7,8"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6827A-2CCB-42C9-B552-21AA0B14AE46}">
  <sheetPr>
    <tabColor theme="7" tint="0.79998168889431442"/>
  </sheetPr>
  <dimension ref="A1:I200"/>
  <sheetViews>
    <sheetView showGridLines="0" tabSelected="1" topLeftCell="A104" zoomScale="115" zoomScaleNormal="115" workbookViewId="0">
      <selection activeCell="K114" sqref="K114"/>
    </sheetView>
  </sheetViews>
  <sheetFormatPr defaultColWidth="9.1796875" defaultRowHeight="18.75" customHeight="1" x14ac:dyDescent="0.35"/>
  <cols>
    <col min="1" max="1" width="6.7265625" style="1" customWidth="1"/>
    <col min="2" max="8" width="12.81640625" style="1" customWidth="1"/>
    <col min="9" max="9" width="10.7265625" style="5" customWidth="1"/>
    <col min="10" max="16384" width="9.1796875" style="1"/>
  </cols>
  <sheetData>
    <row r="1" spans="1:9" ht="18.75" customHeight="1" x14ac:dyDescent="0.35">
      <c r="A1" s="14" t="s">
        <v>34</v>
      </c>
      <c r="B1" s="114" t="s">
        <v>35</v>
      </c>
      <c r="C1" s="114"/>
      <c r="D1" s="114"/>
      <c r="E1" s="114"/>
      <c r="F1" s="114"/>
      <c r="G1" s="14" t="s">
        <v>36</v>
      </c>
      <c r="H1" s="14" t="s">
        <v>37</v>
      </c>
      <c r="I1" s="14" t="s">
        <v>38</v>
      </c>
    </row>
    <row r="2" spans="1:9" ht="18.75" customHeight="1" x14ac:dyDescent="0.35">
      <c r="A2" s="15" t="s">
        <v>41</v>
      </c>
      <c r="B2" s="25" t="s">
        <v>225</v>
      </c>
      <c r="C2" s="16"/>
      <c r="D2" s="16"/>
      <c r="E2" s="16"/>
      <c r="F2" s="16"/>
      <c r="G2" s="16"/>
      <c r="H2" s="16"/>
      <c r="I2" s="17"/>
    </row>
    <row r="3" spans="1:9" ht="18.75" customHeight="1" x14ac:dyDescent="0.35">
      <c r="A3" s="18" t="s">
        <v>42</v>
      </c>
      <c r="B3" s="26" t="s">
        <v>194</v>
      </c>
      <c r="C3" s="27"/>
      <c r="D3" s="27"/>
      <c r="E3" s="27"/>
      <c r="F3" s="27"/>
      <c r="G3" s="27"/>
      <c r="H3" s="27"/>
      <c r="I3" s="19"/>
    </row>
    <row r="4" spans="1:9" ht="18.75" customHeight="1" x14ac:dyDescent="0.35">
      <c r="A4" s="50"/>
      <c r="B4" s="51" t="s">
        <v>184</v>
      </c>
      <c r="C4" s="21"/>
      <c r="D4" s="21"/>
      <c r="E4" s="21"/>
      <c r="F4" s="21"/>
      <c r="G4" s="21"/>
      <c r="H4" s="21"/>
      <c r="I4" s="41"/>
    </row>
    <row r="5" spans="1:9" ht="18.75" customHeight="1" x14ac:dyDescent="0.35">
      <c r="A5" s="50"/>
      <c r="B5" s="84"/>
      <c r="C5" s="3" t="s">
        <v>193</v>
      </c>
      <c r="D5" s="3" t="s">
        <v>79</v>
      </c>
      <c r="E5" s="3">
        <v>150</v>
      </c>
      <c r="H5" s="21"/>
      <c r="I5" s="41"/>
    </row>
    <row r="6" spans="1:9" ht="18.75" customHeight="1" x14ac:dyDescent="0.35">
      <c r="A6" s="50"/>
      <c r="B6" s="28"/>
      <c r="C6" s="58">
        <f>Input!H48</f>
        <v>78.666666666666671</v>
      </c>
      <c r="D6" s="3" t="str">
        <f>IF(C6&gt;E6,"&gt;","≤")</f>
        <v>≤</v>
      </c>
      <c r="E6" s="69">
        <f>E5</f>
        <v>150</v>
      </c>
      <c r="F6" s="6" t="s">
        <v>20</v>
      </c>
      <c r="G6" s="7" t="str">
        <f>IF(C6&lt;=E6,"[ OK ]","[ NOT OK ]")</f>
        <v>[ OK ]</v>
      </c>
      <c r="H6" s="21"/>
      <c r="I6" s="41"/>
    </row>
    <row r="7" spans="1:9" ht="18.75" customHeight="1" x14ac:dyDescent="0.35">
      <c r="A7" s="50"/>
      <c r="B7" s="51"/>
      <c r="C7" s="21"/>
      <c r="D7" s="21"/>
      <c r="E7" s="21"/>
      <c r="F7" s="21"/>
      <c r="G7" s="21"/>
      <c r="H7" s="21"/>
      <c r="I7" s="41"/>
    </row>
    <row r="8" spans="1:9" ht="18.75" customHeight="1" x14ac:dyDescent="0.35">
      <c r="A8" s="68"/>
      <c r="B8" s="28" t="s">
        <v>195</v>
      </c>
      <c r="I8" s="38"/>
    </row>
    <row r="9" spans="1:9" ht="18.75" customHeight="1" x14ac:dyDescent="0.35">
      <c r="A9" s="68"/>
      <c r="B9" s="84" t="s">
        <v>103</v>
      </c>
      <c r="I9" s="38"/>
    </row>
    <row r="10" spans="1:9" ht="36.65" customHeight="1" x14ac:dyDescent="0.35">
      <c r="A10" s="68"/>
      <c r="B10" s="118" t="s">
        <v>104</v>
      </c>
      <c r="C10" s="119"/>
      <c r="D10" s="119"/>
      <c r="E10" s="119"/>
      <c r="F10" s="119"/>
      <c r="G10" s="119"/>
      <c r="H10" s="119"/>
      <c r="I10" s="120"/>
    </row>
    <row r="11" spans="1:9" ht="18.75" customHeight="1" x14ac:dyDescent="0.35">
      <c r="A11" s="68"/>
      <c r="B11" s="9" t="s">
        <v>94</v>
      </c>
      <c r="I11" s="38"/>
    </row>
    <row r="12" spans="1:9" ht="18.75" customHeight="1" x14ac:dyDescent="0.35">
      <c r="A12" s="68"/>
      <c r="C12" s="3" t="s">
        <v>95</v>
      </c>
      <c r="D12" s="3" t="s">
        <v>24</v>
      </c>
      <c r="E12" s="3" t="s">
        <v>97</v>
      </c>
      <c r="G12" s="3" t="s">
        <v>98</v>
      </c>
      <c r="H12" s="3" t="s">
        <v>24</v>
      </c>
      <c r="I12" s="85">
        <v>70</v>
      </c>
    </row>
    <row r="13" spans="1:9" ht="18.75" customHeight="1" x14ac:dyDescent="0.35">
      <c r="A13" s="68"/>
      <c r="C13" s="69">
        <f>Input!H57</f>
        <v>23000</v>
      </c>
      <c r="D13" s="3" t="str">
        <f>IF(C13&gt;E13,"&gt;","≤")</f>
        <v>≤</v>
      </c>
      <c r="E13" s="69">
        <f>0.3*H144*H137</f>
        <v>1890000</v>
      </c>
      <c r="G13" s="69">
        <f>H137</f>
        <v>35</v>
      </c>
      <c r="H13" s="3" t="str">
        <f>IF(G13&gt;I13,"&gt;","≤")</f>
        <v>≤</v>
      </c>
      <c r="I13" s="69">
        <f>I12</f>
        <v>70</v>
      </c>
    </row>
    <row r="14" spans="1:9" ht="18.75" customHeight="1" x14ac:dyDescent="0.35">
      <c r="A14" s="68"/>
      <c r="I14" s="38"/>
    </row>
    <row r="15" spans="1:9" ht="18.75" customHeight="1" x14ac:dyDescent="0.35">
      <c r="A15" s="68"/>
      <c r="B15" s="9" t="s">
        <v>96</v>
      </c>
      <c r="C15" s="8" t="s">
        <v>20</v>
      </c>
      <c r="D15" s="7" t="str">
        <f>IF(OR(C13&gt;E13,G13&gt;I13),"[ hx ≤ 200 mm ]","[ hx ≤ 350 mm ]")</f>
        <v>[ hx ≤ 350 mm ]</v>
      </c>
      <c r="E15" s="73" t="str">
        <f>IF(D15="[ hx ≤ 200 mm ]","dan [ ikat silang harus mengikat semua tul. Longitudinal ]","")</f>
        <v/>
      </c>
      <c r="I15" s="38"/>
    </row>
    <row r="16" spans="1:9" ht="18.75" customHeight="1" x14ac:dyDescent="0.35">
      <c r="A16" s="68"/>
      <c r="B16" s="28"/>
      <c r="I16" s="38"/>
    </row>
    <row r="17" spans="1:9" ht="18.75" customHeight="1" x14ac:dyDescent="0.35">
      <c r="A17" s="68"/>
      <c r="B17" s="84" t="s">
        <v>99</v>
      </c>
      <c r="C17" s="3" t="s">
        <v>100</v>
      </c>
      <c r="D17" s="3" t="s">
        <v>79</v>
      </c>
      <c r="E17" s="3">
        <f>IF(D15="[ hx ≤ 350 mm ]",350,200)</f>
        <v>350</v>
      </c>
      <c r="I17" s="38"/>
    </row>
    <row r="18" spans="1:9" ht="18.75" customHeight="1" x14ac:dyDescent="0.35">
      <c r="A18" s="68"/>
      <c r="B18" s="28"/>
      <c r="C18" s="69">
        <f>Input!H50</f>
        <v>157.33333333333334</v>
      </c>
      <c r="D18" s="3" t="str">
        <f>IF(C18&gt;E18,"&gt;","≤")</f>
        <v>≤</v>
      </c>
      <c r="E18" s="69">
        <f>E17</f>
        <v>350</v>
      </c>
      <c r="F18" s="6" t="s">
        <v>20</v>
      </c>
      <c r="G18" s="7" t="str">
        <f>IF(C18&lt;=E18,"[ OK ]","[ NOT OK ]")</f>
        <v>[ OK ]</v>
      </c>
      <c r="I18" s="38"/>
    </row>
    <row r="19" spans="1:9" ht="18.75" customHeight="1" x14ac:dyDescent="0.35">
      <c r="A19" s="68"/>
      <c r="B19" s="28"/>
      <c r="I19" s="38"/>
    </row>
    <row r="20" spans="1:9" ht="18.75" customHeight="1" x14ac:dyDescent="0.35">
      <c r="A20" s="18" t="s">
        <v>43</v>
      </c>
      <c r="B20" s="26" t="s">
        <v>116</v>
      </c>
      <c r="C20" s="27"/>
      <c r="D20" s="27"/>
      <c r="E20" s="27"/>
      <c r="F20" s="27"/>
      <c r="G20" s="27"/>
      <c r="H20" s="27"/>
      <c r="I20" s="19"/>
    </row>
    <row r="21" spans="1:9" ht="18.75" customHeight="1" x14ac:dyDescent="0.35">
      <c r="A21" s="50"/>
      <c r="B21" s="51"/>
      <c r="C21" s="21"/>
      <c r="D21" s="21"/>
      <c r="E21" s="21"/>
      <c r="F21" s="21"/>
      <c r="G21" s="21"/>
      <c r="H21" s="21"/>
      <c r="I21" s="41"/>
    </row>
    <row r="22" spans="1:9" ht="18.75" customHeight="1" x14ac:dyDescent="0.35">
      <c r="A22" s="50"/>
      <c r="B22" s="51"/>
      <c r="C22" s="21"/>
      <c r="D22" s="21"/>
      <c r="E22" s="21"/>
      <c r="F22" s="21"/>
      <c r="G22" s="21"/>
      <c r="H22" s="21"/>
      <c r="I22" s="41"/>
    </row>
    <row r="23" spans="1:9" ht="18.75" customHeight="1" x14ac:dyDescent="0.35">
      <c r="A23" s="50"/>
      <c r="B23" s="51"/>
      <c r="C23" s="21"/>
      <c r="D23" s="21"/>
      <c r="E23" s="21"/>
      <c r="F23" s="21"/>
      <c r="G23" s="21"/>
      <c r="H23" s="21"/>
      <c r="I23" s="41"/>
    </row>
    <row r="24" spans="1:9" ht="18.75" customHeight="1" x14ac:dyDescent="0.35">
      <c r="A24" s="50"/>
      <c r="B24" s="51"/>
      <c r="C24" s="21"/>
      <c r="D24" s="21"/>
      <c r="E24" s="21"/>
      <c r="F24" s="21"/>
      <c r="G24" s="21"/>
      <c r="H24" s="21"/>
      <c r="I24" s="41"/>
    </row>
    <row r="25" spans="1:9" ht="18.75" customHeight="1" x14ac:dyDescent="0.35">
      <c r="A25" s="50"/>
      <c r="B25" s="51"/>
      <c r="C25" s="21"/>
      <c r="D25" s="21"/>
      <c r="E25" s="21"/>
      <c r="F25" s="21"/>
      <c r="G25" s="21"/>
      <c r="H25" s="21"/>
      <c r="I25" s="41"/>
    </row>
    <row r="26" spans="1:9" ht="18.75" customHeight="1" x14ac:dyDescent="0.35">
      <c r="A26" s="50"/>
      <c r="B26" s="51"/>
      <c r="C26" s="21"/>
      <c r="D26" s="21"/>
      <c r="E26" s="21"/>
      <c r="F26" s="21"/>
      <c r="G26" s="21"/>
      <c r="H26" s="21"/>
      <c r="I26" s="41"/>
    </row>
    <row r="27" spans="1:9" ht="18.75" customHeight="1" x14ac:dyDescent="0.35">
      <c r="A27" s="50"/>
      <c r="B27" s="51"/>
      <c r="C27" s="21"/>
      <c r="D27" s="21"/>
      <c r="E27" s="21"/>
      <c r="F27" s="21"/>
      <c r="G27" s="21"/>
      <c r="H27" s="21"/>
      <c r="I27" s="41"/>
    </row>
    <row r="28" spans="1:9" ht="18.75" customHeight="1" x14ac:dyDescent="0.35">
      <c r="A28" s="50"/>
      <c r="B28" s="51"/>
      <c r="C28" s="21"/>
      <c r="D28" s="21"/>
      <c r="E28" s="21"/>
      <c r="F28" s="21"/>
      <c r="G28" s="21"/>
      <c r="H28" s="21"/>
      <c r="I28" s="41"/>
    </row>
    <row r="29" spans="1:9" ht="18.75" customHeight="1" x14ac:dyDescent="0.35">
      <c r="A29" s="50"/>
      <c r="B29" s="51"/>
      <c r="C29" s="21"/>
      <c r="D29" s="21"/>
      <c r="E29" s="21"/>
      <c r="F29" s="21"/>
      <c r="G29" s="21"/>
      <c r="H29" s="21"/>
      <c r="I29" s="41"/>
    </row>
    <row r="30" spans="1:9" ht="18.75" customHeight="1" x14ac:dyDescent="0.35">
      <c r="A30" s="50"/>
      <c r="B30" s="51"/>
      <c r="C30" s="21"/>
      <c r="D30" s="21"/>
      <c r="E30" s="21"/>
      <c r="F30" s="21"/>
      <c r="G30" s="21"/>
      <c r="H30" s="21"/>
      <c r="I30" s="41"/>
    </row>
    <row r="31" spans="1:9" ht="18.75" customHeight="1" x14ac:dyDescent="0.35">
      <c r="A31" s="50"/>
      <c r="B31" s="51"/>
      <c r="C31" s="21"/>
      <c r="D31" s="21"/>
      <c r="E31" s="21"/>
      <c r="F31" s="21"/>
      <c r="G31" s="21"/>
      <c r="H31" s="21"/>
      <c r="I31" s="41"/>
    </row>
    <row r="32" spans="1:9" ht="18.75" customHeight="1" x14ac:dyDescent="0.35">
      <c r="A32" s="50"/>
      <c r="B32" s="51"/>
      <c r="C32" s="21"/>
      <c r="D32" s="21"/>
      <c r="E32" s="21"/>
      <c r="F32" s="21"/>
      <c r="G32" s="21"/>
      <c r="H32" s="21"/>
      <c r="I32" s="41"/>
    </row>
    <row r="33" spans="1:9" ht="18.75" customHeight="1" x14ac:dyDescent="0.35">
      <c r="A33" s="50"/>
      <c r="B33" s="51"/>
      <c r="C33" s="21"/>
      <c r="D33" s="21"/>
      <c r="E33" s="21"/>
      <c r="F33" s="21"/>
      <c r="G33" s="21"/>
      <c r="H33" s="21"/>
      <c r="I33" s="41"/>
    </row>
    <row r="34" spans="1:9" ht="18.75" customHeight="1" x14ac:dyDescent="0.35">
      <c r="A34" s="50"/>
      <c r="B34" s="51"/>
      <c r="C34" s="21"/>
      <c r="D34" s="21"/>
      <c r="E34" s="21"/>
      <c r="F34" s="21"/>
      <c r="G34" s="21"/>
      <c r="H34" s="21"/>
      <c r="I34" s="41"/>
    </row>
    <row r="35" spans="1:9" ht="18.75" customHeight="1" x14ac:dyDescent="0.35">
      <c r="A35" s="50"/>
      <c r="B35" s="51"/>
      <c r="C35" s="21"/>
      <c r="D35" s="21"/>
      <c r="E35" s="21"/>
      <c r="F35" s="21"/>
      <c r="G35" s="21"/>
      <c r="H35" s="21"/>
      <c r="I35" s="41"/>
    </row>
    <row r="36" spans="1:9" ht="18.75" customHeight="1" x14ac:dyDescent="0.35">
      <c r="A36" s="50"/>
      <c r="B36" s="51"/>
      <c r="C36" s="21"/>
      <c r="D36" s="21"/>
      <c r="E36" s="21"/>
      <c r="F36" s="21"/>
      <c r="G36" s="21"/>
      <c r="H36" s="21"/>
      <c r="I36" s="41"/>
    </row>
    <row r="37" spans="1:9" ht="18.75" customHeight="1" x14ac:dyDescent="0.35">
      <c r="A37" s="50"/>
      <c r="B37" s="51"/>
      <c r="C37" s="21"/>
      <c r="D37" s="21"/>
      <c r="E37" s="21"/>
      <c r="F37" s="21"/>
      <c r="G37" s="21"/>
      <c r="H37" s="21"/>
      <c r="I37" s="41"/>
    </row>
    <row r="38" spans="1:9" ht="18.75" customHeight="1" x14ac:dyDescent="0.35">
      <c r="A38" s="50"/>
      <c r="B38" s="51"/>
      <c r="C38" s="21"/>
      <c r="D38" s="21"/>
      <c r="E38" s="21"/>
      <c r="F38" s="21"/>
      <c r="G38" s="21"/>
      <c r="H38" s="21"/>
      <c r="I38" s="41"/>
    </row>
    <row r="39" spans="1:9" ht="18.75" customHeight="1" x14ac:dyDescent="0.35">
      <c r="A39" s="50"/>
      <c r="B39" s="51"/>
      <c r="C39" s="21"/>
      <c r="D39" s="21"/>
      <c r="E39" s="21"/>
      <c r="F39" s="21"/>
      <c r="G39" s="21"/>
      <c r="H39" s="21"/>
      <c r="I39" s="41"/>
    </row>
    <row r="40" spans="1:9" ht="18.75" customHeight="1" x14ac:dyDescent="0.35">
      <c r="A40" s="50"/>
      <c r="B40" s="51"/>
      <c r="C40" s="21"/>
      <c r="D40" s="21"/>
      <c r="E40" s="21"/>
      <c r="F40" s="21"/>
      <c r="G40" s="21"/>
      <c r="H40" s="21"/>
      <c r="I40" s="41"/>
    </row>
    <row r="41" spans="1:9" ht="18.75" customHeight="1" x14ac:dyDescent="0.35">
      <c r="A41" s="40"/>
      <c r="B41" s="77" t="s">
        <v>126</v>
      </c>
      <c r="C41" s="21"/>
      <c r="D41" s="21"/>
      <c r="E41" s="21"/>
      <c r="F41" s="21"/>
      <c r="G41" s="21"/>
      <c r="H41" s="21"/>
      <c r="I41" s="41"/>
    </row>
    <row r="42" spans="1:9" ht="18.75" customHeight="1" x14ac:dyDescent="0.35">
      <c r="A42" s="50"/>
      <c r="B42" s="51" t="s">
        <v>125</v>
      </c>
      <c r="C42" s="21"/>
      <c r="D42" s="21"/>
      <c r="E42" s="21"/>
      <c r="F42" s="21"/>
      <c r="G42" s="21"/>
      <c r="H42" s="21"/>
      <c r="I42" s="41"/>
    </row>
    <row r="43" spans="1:9" ht="18.75" customHeight="1" x14ac:dyDescent="0.35">
      <c r="A43" s="50"/>
      <c r="B43" s="54" t="s">
        <v>107</v>
      </c>
      <c r="C43" s="21"/>
      <c r="D43" s="21"/>
      <c r="E43" s="21"/>
      <c r="F43" s="21"/>
      <c r="G43" s="53" t="s">
        <v>83</v>
      </c>
      <c r="H43" s="57">
        <f>4/3*Input!H14</f>
        <v>53.333333333333329</v>
      </c>
      <c r="I43" s="29" t="s">
        <v>4</v>
      </c>
    </row>
    <row r="44" spans="1:9" ht="18.75" customHeight="1" x14ac:dyDescent="0.35">
      <c r="A44" s="50"/>
      <c r="B44" s="54" t="s">
        <v>108</v>
      </c>
      <c r="C44" s="21"/>
      <c r="D44" s="21"/>
      <c r="E44" s="21"/>
      <c r="F44" s="21"/>
      <c r="G44" s="53"/>
      <c r="H44" s="53"/>
      <c r="I44" s="29"/>
    </row>
    <row r="45" spans="1:9" ht="18.75" customHeight="1" x14ac:dyDescent="0.35">
      <c r="A45" s="50"/>
      <c r="B45" s="75" t="s">
        <v>109</v>
      </c>
      <c r="C45" s="21"/>
      <c r="D45" s="21"/>
      <c r="E45" s="21"/>
      <c r="F45" s="21"/>
      <c r="G45" s="53" t="s">
        <v>88</v>
      </c>
      <c r="H45" s="57">
        <f>1/4*MIN(Input!H10:H11)</f>
        <v>75</v>
      </c>
      <c r="I45" s="29" t="s">
        <v>4</v>
      </c>
    </row>
    <row r="46" spans="1:9" ht="18.75" customHeight="1" x14ac:dyDescent="0.35">
      <c r="A46" s="50"/>
      <c r="B46" s="75" t="s">
        <v>110</v>
      </c>
      <c r="C46" s="21"/>
      <c r="D46" s="21"/>
      <c r="E46" s="21"/>
      <c r="F46" s="21"/>
      <c r="G46" s="53" t="s">
        <v>89</v>
      </c>
      <c r="H46" s="57">
        <f>6*Input!H28</f>
        <v>132</v>
      </c>
      <c r="I46" s="29" t="s">
        <v>4</v>
      </c>
    </row>
    <row r="47" spans="1:9" ht="18.75" customHeight="1" x14ac:dyDescent="0.35">
      <c r="A47" s="50"/>
      <c r="B47" s="75" t="s">
        <v>111</v>
      </c>
      <c r="C47" s="21"/>
      <c r="D47" s="21"/>
      <c r="E47" s="21"/>
      <c r="F47" s="21"/>
      <c r="G47" s="53" t="s">
        <v>90</v>
      </c>
      <c r="H47" s="57">
        <f>100+(350-Input!H50)/3</f>
        <v>164.22222222222223</v>
      </c>
      <c r="I47" s="29" t="s">
        <v>4</v>
      </c>
    </row>
    <row r="48" spans="1:9" ht="18.75" customHeight="1" x14ac:dyDescent="0.35">
      <c r="A48" s="50"/>
      <c r="B48" s="76" t="s">
        <v>112</v>
      </c>
      <c r="C48" s="21"/>
      <c r="D48" s="21"/>
      <c r="E48" s="21"/>
      <c r="F48" s="21"/>
      <c r="G48" s="53" t="s">
        <v>113</v>
      </c>
      <c r="H48" s="57">
        <f>IF(AND(H47&lt;=150,H47&gt;=100),H47,IF(H47&gt;=150,150,IF(H47&lt;=100,100)))</f>
        <v>150</v>
      </c>
      <c r="I48" s="29" t="s">
        <v>4</v>
      </c>
    </row>
    <row r="49" spans="1:9" ht="18.75" customHeight="1" x14ac:dyDescent="0.35">
      <c r="A49" s="50"/>
      <c r="B49" s="76" t="s">
        <v>246</v>
      </c>
      <c r="C49" s="21"/>
      <c r="D49" s="21"/>
      <c r="E49" s="21"/>
      <c r="F49" s="21"/>
      <c r="G49" s="53" t="s">
        <v>114</v>
      </c>
      <c r="H49" s="57">
        <f>MIN(H45:H46,H48)</f>
        <v>75</v>
      </c>
      <c r="I49" s="29" t="s">
        <v>4</v>
      </c>
    </row>
    <row r="50" spans="1:9" ht="18.75" customHeight="1" x14ac:dyDescent="0.35">
      <c r="A50" s="50"/>
      <c r="B50" s="51"/>
      <c r="C50" s="21"/>
      <c r="D50" s="21"/>
      <c r="E50" s="21"/>
      <c r="F50" s="21"/>
      <c r="G50" s="53"/>
      <c r="H50" s="74"/>
      <c r="I50" s="29"/>
    </row>
    <row r="51" spans="1:9" ht="18.649999999999999" customHeight="1" x14ac:dyDescent="0.35">
      <c r="A51" s="50"/>
      <c r="B51" s="30" t="s">
        <v>115</v>
      </c>
      <c r="C51" s="21"/>
      <c r="D51" s="21"/>
      <c r="E51" s="21"/>
      <c r="F51" s="21"/>
      <c r="G51" s="53"/>
      <c r="H51" s="53"/>
      <c r="I51" s="29"/>
    </row>
    <row r="52" spans="1:9" ht="18.75" customHeight="1" x14ac:dyDescent="0.35">
      <c r="A52" s="50"/>
      <c r="C52" s="3" t="s">
        <v>84</v>
      </c>
      <c r="D52" s="60" t="s">
        <v>79</v>
      </c>
      <c r="E52" s="62" t="s">
        <v>244</v>
      </c>
      <c r="F52" s="60" t="s">
        <v>79</v>
      </c>
      <c r="G52" s="62" t="s">
        <v>85</v>
      </c>
      <c r="H52" s="3"/>
      <c r="I52" s="41"/>
    </row>
    <row r="53" spans="1:9" ht="18.75" customHeight="1" x14ac:dyDescent="0.35">
      <c r="A53" s="50"/>
      <c r="B53" s="9"/>
      <c r="C53" s="58">
        <f>H43</f>
        <v>53.333333333333329</v>
      </c>
      <c r="D53" s="3" t="str">
        <f>IF(C53&gt;E53,"&gt;","≤")</f>
        <v>≤</v>
      </c>
      <c r="E53" s="58">
        <f>Input!H52</f>
        <v>75</v>
      </c>
      <c r="F53" s="3" t="str">
        <f>IF(E53&gt;G53,"&gt;","≤")</f>
        <v>≤</v>
      </c>
      <c r="G53" s="58">
        <f>H49</f>
        <v>75</v>
      </c>
      <c r="H53" s="61" t="str">
        <f>IF(AND(C53&lt;=E53,E53&lt;=G53),"→   [ OK ]","→   [ NOT OK ]")</f>
        <v>→   [ OK ]</v>
      </c>
      <c r="I53" s="41"/>
    </row>
    <row r="54" spans="1:9" ht="18.75" customHeight="1" x14ac:dyDescent="0.35">
      <c r="A54" s="50"/>
      <c r="B54" s="51"/>
      <c r="C54" s="21"/>
      <c r="D54" s="21"/>
      <c r="E54" s="21"/>
      <c r="F54" s="21"/>
      <c r="G54" s="21"/>
      <c r="H54" s="21"/>
      <c r="I54" s="41"/>
    </row>
    <row r="55" spans="1:9" ht="18.75" customHeight="1" x14ac:dyDescent="0.35">
      <c r="A55" s="50"/>
      <c r="B55" s="51" t="s">
        <v>120</v>
      </c>
      <c r="C55" s="21"/>
      <c r="D55" s="21"/>
      <c r="E55" s="21"/>
      <c r="F55" s="21"/>
      <c r="I55" s="41"/>
    </row>
    <row r="56" spans="1:9" ht="18.75" customHeight="1" x14ac:dyDescent="0.35">
      <c r="A56" s="50"/>
      <c r="B56" s="51"/>
      <c r="C56" s="21"/>
      <c r="D56" s="21"/>
      <c r="E56" s="21"/>
      <c r="F56" s="21"/>
      <c r="G56" s="53" t="s">
        <v>119</v>
      </c>
      <c r="H56" s="57">
        <f>MAX(Input!H10:H11)</f>
        <v>600</v>
      </c>
      <c r="I56" s="29" t="s">
        <v>4</v>
      </c>
    </row>
    <row r="57" spans="1:9" ht="18.75" customHeight="1" x14ac:dyDescent="0.35">
      <c r="A57" s="50"/>
      <c r="B57" s="51"/>
      <c r="C57" s="21"/>
      <c r="D57" s="21"/>
      <c r="E57" s="21"/>
      <c r="F57" s="21"/>
      <c r="G57" s="53" t="s">
        <v>118</v>
      </c>
      <c r="H57" s="57">
        <f>1/6*Input!H13</f>
        <v>666.66666666666663</v>
      </c>
      <c r="I57" s="29" t="s">
        <v>4</v>
      </c>
    </row>
    <row r="58" spans="1:9" ht="18.75" customHeight="1" x14ac:dyDescent="0.35">
      <c r="A58" s="50"/>
      <c r="B58" s="51"/>
      <c r="C58" s="21"/>
      <c r="D58" s="21"/>
      <c r="E58" s="21"/>
      <c r="F58" s="21"/>
      <c r="G58" s="53" t="s">
        <v>117</v>
      </c>
      <c r="H58" s="57">
        <v>450</v>
      </c>
      <c r="I58" s="29" t="s">
        <v>4</v>
      </c>
    </row>
    <row r="59" spans="1:9" ht="18.75" customHeight="1" x14ac:dyDescent="0.35">
      <c r="A59" s="50"/>
      <c r="B59" s="75" t="s">
        <v>121</v>
      </c>
      <c r="C59" s="21"/>
      <c r="D59" s="21"/>
      <c r="E59" s="21"/>
      <c r="F59" s="21"/>
      <c r="G59" s="53" t="s">
        <v>122</v>
      </c>
      <c r="H59" s="57">
        <f>MAX(H56:H58)</f>
        <v>666.66666666666663</v>
      </c>
      <c r="I59" s="29" t="s">
        <v>4</v>
      </c>
    </row>
    <row r="60" spans="1:9" ht="18.75" customHeight="1" x14ac:dyDescent="0.35">
      <c r="A60" s="50"/>
      <c r="B60" s="51"/>
      <c r="C60" s="21"/>
      <c r="D60" s="21"/>
      <c r="E60" s="21"/>
      <c r="F60" s="21"/>
      <c r="G60" s="21"/>
      <c r="H60" s="21"/>
      <c r="I60" s="41"/>
    </row>
    <row r="61" spans="1:9" ht="18.75" customHeight="1" x14ac:dyDescent="0.35">
      <c r="A61" s="50"/>
      <c r="B61" s="51" t="s">
        <v>129</v>
      </c>
      <c r="C61" s="21"/>
      <c r="D61" s="21"/>
      <c r="E61" s="21"/>
      <c r="F61" s="21"/>
      <c r="G61" s="53" t="s">
        <v>130</v>
      </c>
      <c r="H61" s="57">
        <f>Input!H4/175+0.6</f>
        <v>0.8</v>
      </c>
      <c r="I61" s="41"/>
    </row>
    <row r="62" spans="1:9" ht="18.75" customHeight="1" x14ac:dyDescent="0.35">
      <c r="A62" s="50"/>
      <c r="B62" s="51" t="s">
        <v>132</v>
      </c>
      <c r="C62" s="21"/>
      <c r="D62" s="21"/>
      <c r="E62" s="21"/>
      <c r="F62" s="21"/>
      <c r="G62" s="2" t="s">
        <v>131</v>
      </c>
      <c r="H62" s="57">
        <f>IF(H61&lt;1,1,H61)</f>
        <v>1</v>
      </c>
      <c r="I62" s="41"/>
    </row>
    <row r="63" spans="1:9" ht="18.75" customHeight="1" x14ac:dyDescent="0.35">
      <c r="A63" s="50"/>
      <c r="C63" s="21"/>
      <c r="D63" s="21"/>
      <c r="E63" s="21"/>
      <c r="F63" s="21"/>
      <c r="G63" s="21"/>
      <c r="H63" s="21"/>
      <c r="I63" s="41"/>
    </row>
    <row r="64" spans="1:9" ht="18.75" customHeight="1" x14ac:dyDescent="0.35">
      <c r="A64" s="50"/>
      <c r="B64" s="1" t="s">
        <v>150</v>
      </c>
      <c r="C64" s="21"/>
      <c r="D64" s="21"/>
      <c r="E64" s="21"/>
      <c r="F64" s="21"/>
      <c r="I64" s="41"/>
    </row>
    <row r="65" spans="1:9" ht="18.75" customHeight="1" x14ac:dyDescent="0.35">
      <c r="A65" s="50"/>
      <c r="C65" s="21"/>
      <c r="D65" s="21"/>
      <c r="E65" s="21"/>
      <c r="F65" s="21"/>
      <c r="G65" s="2" t="s">
        <v>134</v>
      </c>
      <c r="H65" s="57">
        <f>Input!H46*2+((Input!H47-2)*2)</f>
        <v>12</v>
      </c>
      <c r="I65" s="41"/>
    </row>
    <row r="66" spans="1:9" ht="18.75" customHeight="1" x14ac:dyDescent="0.35">
      <c r="A66" s="50"/>
      <c r="B66" s="51" t="s">
        <v>133</v>
      </c>
      <c r="C66" s="21"/>
      <c r="D66" s="21"/>
      <c r="E66" s="21"/>
      <c r="F66" s="21"/>
      <c r="G66" s="2" t="s">
        <v>135</v>
      </c>
      <c r="H66" s="57">
        <f>H65/(H65-2)</f>
        <v>1.2</v>
      </c>
      <c r="I66" s="41"/>
    </row>
    <row r="67" spans="1:9" ht="18.75" customHeight="1" x14ac:dyDescent="0.35">
      <c r="A67" s="50"/>
      <c r="B67" s="51" t="s">
        <v>140</v>
      </c>
      <c r="C67" s="21"/>
      <c r="D67" s="21"/>
      <c r="E67" s="21"/>
      <c r="F67" s="21"/>
      <c r="G67" s="53" t="s">
        <v>217</v>
      </c>
      <c r="H67" s="57">
        <f>Input!H11-Input!H12-Input!H12</f>
        <v>520</v>
      </c>
      <c r="I67" s="29" t="s">
        <v>4</v>
      </c>
    </row>
    <row r="68" spans="1:9" ht="18.75" customHeight="1" x14ac:dyDescent="0.35">
      <c r="A68" s="50"/>
      <c r="B68" s="51" t="s">
        <v>141</v>
      </c>
      <c r="C68" s="21"/>
      <c r="D68" s="21"/>
      <c r="E68" s="21"/>
      <c r="F68" s="21"/>
      <c r="G68" s="53" t="s">
        <v>218</v>
      </c>
      <c r="H68" s="57">
        <f>Input!H10-2*Input!H12</f>
        <v>220</v>
      </c>
      <c r="I68" s="29" t="s">
        <v>4</v>
      </c>
    </row>
    <row r="69" spans="1:9" ht="18.75" customHeight="1" x14ac:dyDescent="0.35">
      <c r="A69" s="50"/>
      <c r="B69" s="51" t="s">
        <v>138</v>
      </c>
      <c r="C69" s="21"/>
      <c r="D69" s="21"/>
      <c r="E69" s="21"/>
      <c r="F69" s="21"/>
      <c r="G69" s="53" t="s">
        <v>139</v>
      </c>
      <c r="H69" s="57">
        <f>H67*H68</f>
        <v>114400</v>
      </c>
      <c r="I69" s="29" t="s">
        <v>21</v>
      </c>
    </row>
    <row r="70" spans="1:9" ht="18.75" customHeight="1" x14ac:dyDescent="0.35">
      <c r="A70" s="50"/>
      <c r="B70" s="51" t="s">
        <v>231</v>
      </c>
      <c r="C70" s="21"/>
      <c r="D70" s="21"/>
      <c r="E70" s="21"/>
      <c r="F70" s="21"/>
      <c r="G70" s="53"/>
      <c r="H70" s="57"/>
      <c r="I70" s="29"/>
    </row>
    <row r="71" spans="1:9" ht="18.75" customHeight="1" x14ac:dyDescent="0.35">
      <c r="A71" s="50"/>
      <c r="B71" s="75" t="s">
        <v>109</v>
      </c>
      <c r="C71" s="21"/>
      <c r="D71" s="21"/>
      <c r="E71" s="21"/>
      <c r="F71" s="21"/>
      <c r="G71" s="2" t="s">
        <v>136</v>
      </c>
      <c r="H71" s="78">
        <f>0.3*(H144/H69-1)*Input!H4/Input!H6</f>
        <v>1.4335664335664333E-2</v>
      </c>
      <c r="I71" s="41"/>
    </row>
    <row r="72" spans="1:9" ht="18.75" customHeight="1" x14ac:dyDescent="0.35">
      <c r="A72" s="50"/>
      <c r="B72" s="75" t="s">
        <v>110</v>
      </c>
      <c r="C72" s="21"/>
      <c r="D72" s="21"/>
      <c r="E72" s="21"/>
      <c r="F72" s="21"/>
      <c r="G72" s="2" t="s">
        <v>154</v>
      </c>
      <c r="H72" s="78">
        <f>0.09*Input!H4/Input!H6</f>
        <v>7.4999999999999997E-3</v>
      </c>
      <c r="I72" s="41"/>
    </row>
    <row r="73" spans="1:9" ht="18.75" customHeight="1" x14ac:dyDescent="0.35">
      <c r="A73" s="50"/>
      <c r="B73" s="75" t="s">
        <v>111</v>
      </c>
      <c r="C73" s="21"/>
      <c r="D73" s="21"/>
      <c r="E73" s="21"/>
      <c r="F73" s="21"/>
      <c r="G73" s="2" t="s">
        <v>137</v>
      </c>
      <c r="H73" s="78">
        <f>0.2*H62*H66*Input!H57/(Input!H6*'Process (1)'!H69)</f>
        <v>1.1488511488511489E-4</v>
      </c>
      <c r="I73" s="41"/>
    </row>
    <row r="74" spans="1:9" ht="18.75" customHeight="1" x14ac:dyDescent="0.35">
      <c r="A74" s="50"/>
      <c r="B74" s="75" t="s">
        <v>142</v>
      </c>
      <c r="C74" s="21"/>
      <c r="D74" s="21"/>
      <c r="E74" s="21"/>
      <c r="F74" s="21"/>
      <c r="G74" s="2" t="s">
        <v>232</v>
      </c>
      <c r="H74" s="78">
        <f>MAX(H71:H73)</f>
        <v>1.4335664335664333E-2</v>
      </c>
      <c r="I74" s="41"/>
    </row>
    <row r="75" spans="1:9" ht="18.75" customHeight="1" x14ac:dyDescent="0.35">
      <c r="A75" s="50"/>
      <c r="B75" s="51"/>
      <c r="C75" s="21"/>
      <c r="D75" s="21"/>
      <c r="E75" s="21"/>
      <c r="F75" s="21"/>
      <c r="G75" s="21"/>
      <c r="H75" s="21"/>
      <c r="I75" s="41"/>
    </row>
    <row r="76" spans="1:9" ht="18.75" customHeight="1" x14ac:dyDescent="0.35">
      <c r="A76" s="50"/>
      <c r="B76" s="51" t="s">
        <v>219</v>
      </c>
      <c r="C76" s="21"/>
      <c r="D76" s="21"/>
      <c r="E76" s="21"/>
      <c r="F76" s="21"/>
      <c r="G76" s="21"/>
      <c r="H76" s="21"/>
      <c r="I76" s="41"/>
    </row>
    <row r="77" spans="1:9" ht="18.75" customHeight="1" x14ac:dyDescent="0.35">
      <c r="A77" s="50"/>
      <c r="C77" s="21"/>
      <c r="D77" s="21"/>
      <c r="E77" s="2" t="s">
        <v>233</v>
      </c>
      <c r="F77" s="80">
        <f>H74</f>
        <v>1.4335664335664333E-2</v>
      </c>
      <c r="G77" s="79" t="s">
        <v>220</v>
      </c>
      <c r="H77" s="57">
        <f>H74*H49*H67</f>
        <v>559.09090909090901</v>
      </c>
      <c r="I77" s="29" t="s">
        <v>21</v>
      </c>
    </row>
    <row r="78" spans="1:9" ht="18.75" customHeight="1" x14ac:dyDescent="0.35">
      <c r="A78" s="50"/>
      <c r="B78" s="51" t="s">
        <v>196</v>
      </c>
      <c r="C78" s="21"/>
      <c r="D78" s="21"/>
      <c r="E78" s="21"/>
      <c r="F78" s="21"/>
      <c r="G78" s="2" t="s">
        <v>236</v>
      </c>
      <c r="H78" s="57">
        <f>1/4*3.14*Input!H45^2</f>
        <v>132.66499999999999</v>
      </c>
      <c r="I78" s="29" t="s">
        <v>21</v>
      </c>
    </row>
    <row r="79" spans="1:9" ht="18.75" customHeight="1" x14ac:dyDescent="0.35">
      <c r="A79" s="50"/>
      <c r="B79" s="51" t="s">
        <v>198</v>
      </c>
      <c r="C79" s="21"/>
      <c r="D79" s="21"/>
      <c r="E79" s="21"/>
      <c r="F79" s="21"/>
      <c r="G79" s="2" t="s">
        <v>237</v>
      </c>
      <c r="H79" s="57">
        <f>H77/H78</f>
        <v>4.2143060271428716</v>
      </c>
      <c r="I79" s="29"/>
    </row>
    <row r="80" spans="1:9" ht="18.75" customHeight="1" x14ac:dyDescent="0.35">
      <c r="A80" s="50"/>
      <c r="B80" s="51" t="s">
        <v>227</v>
      </c>
      <c r="C80" s="21"/>
      <c r="D80" s="21"/>
      <c r="E80" s="21"/>
      <c r="F80" s="21"/>
      <c r="G80" s="2" t="s">
        <v>147</v>
      </c>
      <c r="H80" s="57">
        <f>Input!H46</f>
        <v>5</v>
      </c>
      <c r="I80" s="29"/>
    </row>
    <row r="81" spans="1:9" ht="18.75" customHeight="1" x14ac:dyDescent="0.35">
      <c r="A81" s="50"/>
      <c r="B81" s="28" t="s">
        <v>226</v>
      </c>
      <c r="D81" s="3" t="s">
        <v>228</v>
      </c>
      <c r="E81" s="60" t="s">
        <v>152</v>
      </c>
      <c r="F81" s="3" t="s">
        <v>234</v>
      </c>
      <c r="I81" s="29"/>
    </row>
    <row r="82" spans="1:9" ht="18.75" customHeight="1" x14ac:dyDescent="0.35">
      <c r="A82" s="50"/>
      <c r="B82" s="28"/>
      <c r="C82" s="81" t="s">
        <v>153</v>
      </c>
      <c r="D82" s="58">
        <f>H80</f>
        <v>5</v>
      </c>
      <c r="E82" s="3" t="str">
        <f>IF(D82&gt;=F82,"≥","&lt;")</f>
        <v>≥</v>
      </c>
      <c r="F82" s="58">
        <f>H79</f>
        <v>4.2143060271428716</v>
      </c>
      <c r="G82" s="6" t="s">
        <v>20</v>
      </c>
      <c r="H82" s="7" t="str">
        <f>IF(D82&gt;=F82,"[ OK ]","[ NOT OK ]")</f>
        <v>[ OK ]</v>
      </c>
      <c r="I82" s="29"/>
    </row>
    <row r="83" spans="1:9" ht="18.75" customHeight="1" x14ac:dyDescent="0.35">
      <c r="A83" s="50"/>
      <c r="B83" s="51"/>
      <c r="C83" s="21"/>
      <c r="D83" s="21"/>
      <c r="E83" s="21"/>
      <c r="F83" s="21"/>
      <c r="G83" s="2"/>
      <c r="H83" s="74"/>
      <c r="I83" s="29"/>
    </row>
    <row r="84" spans="1:9" ht="18.75" customHeight="1" x14ac:dyDescent="0.35">
      <c r="A84" s="50"/>
      <c r="B84" s="51" t="s">
        <v>221</v>
      </c>
      <c r="C84" s="21"/>
      <c r="D84" s="21"/>
      <c r="E84" s="21"/>
      <c r="F84" s="21"/>
      <c r="G84" s="88">
        <f>IF(H82="[ OK ]",IF(D82&gt;=ROUNDUP(H79,0),D82),"")</f>
        <v>5</v>
      </c>
      <c r="H84" s="89" t="str">
        <f>IF(H82="[ OK ]","  D"&amp;Input!H45&amp;" - "&amp;H49,"")</f>
        <v xml:space="preserve">  D13 - 75</v>
      </c>
      <c r="I84" s="29"/>
    </row>
    <row r="85" spans="1:9" ht="18.75" customHeight="1" x14ac:dyDescent="0.35">
      <c r="A85" s="50"/>
      <c r="B85" s="28" t="s">
        <v>151</v>
      </c>
      <c r="D85" s="3" t="s">
        <v>238</v>
      </c>
      <c r="E85" s="60" t="s">
        <v>152</v>
      </c>
      <c r="F85" s="3" t="s">
        <v>235</v>
      </c>
      <c r="I85" s="41"/>
    </row>
    <row r="86" spans="1:9" ht="18.75" customHeight="1" x14ac:dyDescent="0.35">
      <c r="A86" s="50"/>
      <c r="B86" s="28"/>
      <c r="C86" s="81" t="s">
        <v>153</v>
      </c>
      <c r="D86" s="58">
        <f>D82*H78</f>
        <v>663.32499999999993</v>
      </c>
      <c r="E86" s="3" t="str">
        <f>IF(D86&gt;=F86,"≥","&lt;")</f>
        <v>≥</v>
      </c>
      <c r="F86" s="58">
        <f>H77</f>
        <v>559.09090909090901</v>
      </c>
      <c r="G86" s="6" t="s">
        <v>20</v>
      </c>
      <c r="H86" s="7" t="str">
        <f>IF(D86&gt;=F86,"[ OK ]","[ NOT OK ]")</f>
        <v>[ OK ]</v>
      </c>
      <c r="I86" s="41"/>
    </row>
    <row r="87" spans="1:9" ht="18.75" customHeight="1" x14ac:dyDescent="0.35">
      <c r="A87" s="50"/>
      <c r="B87" s="51"/>
      <c r="C87" s="81"/>
      <c r="D87" s="87"/>
      <c r="E87" s="3"/>
      <c r="F87" s="87"/>
      <c r="G87" s="6"/>
      <c r="H87" s="7"/>
      <c r="I87" s="41"/>
    </row>
    <row r="88" spans="1:9" ht="18.75" customHeight="1" x14ac:dyDescent="0.35">
      <c r="A88" s="50"/>
      <c r="B88" s="51"/>
      <c r="C88" s="21"/>
      <c r="D88" s="21"/>
      <c r="E88" s="21"/>
      <c r="F88" s="21"/>
      <c r="G88" s="21"/>
      <c r="H88" s="21"/>
      <c r="I88" s="41"/>
    </row>
    <row r="89" spans="1:9" ht="18.75" customHeight="1" x14ac:dyDescent="0.35">
      <c r="A89" s="50"/>
      <c r="B89" s="51" t="s">
        <v>222</v>
      </c>
      <c r="C89" s="21"/>
      <c r="D89" s="21"/>
      <c r="E89" s="21"/>
      <c r="F89" s="21"/>
      <c r="G89" s="21"/>
      <c r="H89" s="21"/>
      <c r="I89" s="41"/>
    </row>
    <row r="90" spans="1:9" ht="18.75" customHeight="1" x14ac:dyDescent="0.35">
      <c r="A90" s="50"/>
      <c r="C90" s="21"/>
      <c r="D90" s="21"/>
      <c r="E90" s="2" t="s">
        <v>239</v>
      </c>
      <c r="F90" s="80">
        <f>H74</f>
        <v>1.4335664335664333E-2</v>
      </c>
      <c r="G90" s="79" t="s">
        <v>223</v>
      </c>
      <c r="H90" s="57">
        <f>H74*H49*H68</f>
        <v>236.53846153846149</v>
      </c>
      <c r="I90" s="29" t="s">
        <v>21</v>
      </c>
    </row>
    <row r="91" spans="1:9" ht="18.75" customHeight="1" x14ac:dyDescent="0.35">
      <c r="A91" s="50"/>
      <c r="B91" s="51" t="s">
        <v>149</v>
      </c>
      <c r="C91" s="21"/>
      <c r="D91" s="21"/>
      <c r="E91" s="21"/>
      <c r="F91" s="21"/>
      <c r="G91" s="2" t="s">
        <v>199</v>
      </c>
      <c r="H91" s="57">
        <f>1/4*3.14*Input!H45^2</f>
        <v>132.66499999999999</v>
      </c>
      <c r="I91" s="29" t="s">
        <v>21</v>
      </c>
    </row>
    <row r="92" spans="1:9" ht="18.75" customHeight="1" x14ac:dyDescent="0.35">
      <c r="A92" s="50"/>
      <c r="B92" s="51" t="s">
        <v>198</v>
      </c>
      <c r="C92" s="21"/>
      <c r="D92" s="21"/>
      <c r="E92" s="21"/>
      <c r="F92" s="21"/>
      <c r="G92" s="2" t="s">
        <v>240</v>
      </c>
      <c r="H92" s="57">
        <f>H90/H91</f>
        <v>1.7829756268681378</v>
      </c>
      <c r="I92" s="29"/>
    </row>
    <row r="93" spans="1:9" ht="18.75" customHeight="1" x14ac:dyDescent="0.35">
      <c r="A93" s="50"/>
      <c r="B93" s="51" t="s">
        <v>229</v>
      </c>
      <c r="C93" s="21"/>
      <c r="D93" s="21"/>
      <c r="E93" s="21"/>
      <c r="F93" s="21"/>
      <c r="G93" s="2" t="s">
        <v>148</v>
      </c>
      <c r="H93" s="57">
        <f>Input!H47</f>
        <v>3</v>
      </c>
      <c r="I93" s="29"/>
    </row>
    <row r="94" spans="1:9" ht="18.75" customHeight="1" x14ac:dyDescent="0.35">
      <c r="A94" s="50"/>
      <c r="B94" s="28" t="s">
        <v>226</v>
      </c>
      <c r="D94" s="3" t="s">
        <v>230</v>
      </c>
      <c r="E94" s="60" t="s">
        <v>152</v>
      </c>
      <c r="F94" s="3" t="s">
        <v>241</v>
      </c>
      <c r="I94" s="29"/>
    </row>
    <row r="95" spans="1:9" ht="18.75" customHeight="1" x14ac:dyDescent="0.35">
      <c r="A95" s="50"/>
      <c r="B95" s="28"/>
      <c r="C95" s="81" t="s">
        <v>153</v>
      </c>
      <c r="D95" s="58">
        <f>H93</f>
        <v>3</v>
      </c>
      <c r="E95" s="3" t="str">
        <f>IF(D95&gt;=F95,"≥","&lt;")</f>
        <v>≥</v>
      </c>
      <c r="F95" s="58">
        <f>H92</f>
        <v>1.7829756268681378</v>
      </c>
      <c r="G95" s="6" t="s">
        <v>20</v>
      </c>
      <c r="H95" s="7" t="str">
        <f>IF(D95&gt;=F95,"[ OK ]","[ NOT OK ]")</f>
        <v>[ OK ]</v>
      </c>
      <c r="I95" s="29"/>
    </row>
    <row r="96" spans="1:9" ht="18.75" customHeight="1" x14ac:dyDescent="0.35">
      <c r="A96" s="50"/>
      <c r="B96" s="51"/>
      <c r="C96" s="21"/>
      <c r="D96" s="21"/>
      <c r="E96" s="21"/>
      <c r="F96" s="21"/>
      <c r="G96" s="2"/>
      <c r="H96" s="74"/>
      <c r="I96" s="29"/>
    </row>
    <row r="97" spans="1:9" ht="18.75" customHeight="1" x14ac:dyDescent="0.35">
      <c r="A97" s="50"/>
      <c r="B97" s="51" t="s">
        <v>224</v>
      </c>
      <c r="C97" s="21"/>
      <c r="D97" s="21"/>
      <c r="E97" s="21"/>
      <c r="F97" s="21"/>
      <c r="G97" s="88">
        <f>IF(H95="[ OK ]",IF(D95&gt;=ROUNDUP(H92,0),D95),"")</f>
        <v>3</v>
      </c>
      <c r="H97" s="89" t="str">
        <f>IF(H82="[ OK ]","  D"&amp;Input!H45&amp;" - "&amp;H49,"")</f>
        <v xml:space="preserve">  D13 - 75</v>
      </c>
      <c r="I97" s="29"/>
    </row>
    <row r="98" spans="1:9" ht="18.75" customHeight="1" x14ac:dyDescent="0.35">
      <c r="A98" s="50"/>
      <c r="B98" s="28" t="s">
        <v>151</v>
      </c>
      <c r="D98" s="3" t="s">
        <v>242</v>
      </c>
      <c r="E98" s="60" t="s">
        <v>152</v>
      </c>
      <c r="F98" s="3" t="s">
        <v>243</v>
      </c>
      <c r="I98" s="41"/>
    </row>
    <row r="99" spans="1:9" ht="18.75" customHeight="1" x14ac:dyDescent="0.35">
      <c r="A99" s="50"/>
      <c r="B99" s="28"/>
      <c r="C99" s="81" t="s">
        <v>153</v>
      </c>
      <c r="D99" s="58">
        <f>H91*G97</f>
        <v>397.995</v>
      </c>
      <c r="E99" s="3" t="str">
        <f>IF(D99&gt;=F99,"≥","&lt;")</f>
        <v>≥</v>
      </c>
      <c r="F99" s="58">
        <f>H90</f>
        <v>236.53846153846149</v>
      </c>
      <c r="G99" s="6" t="s">
        <v>20</v>
      </c>
      <c r="H99" s="7" t="str">
        <f>IF(D99&gt;=F99,"[ OK ]","[ NOT OK ]")</f>
        <v>[ OK ]</v>
      </c>
      <c r="I99" s="41"/>
    </row>
    <row r="100" spans="1:9" ht="18.75" customHeight="1" x14ac:dyDescent="0.35">
      <c r="A100" s="50"/>
      <c r="B100" s="51"/>
      <c r="I100" s="41"/>
    </row>
    <row r="101" spans="1:9" ht="18.75" customHeight="1" x14ac:dyDescent="0.35">
      <c r="A101" s="50"/>
      <c r="B101" s="51"/>
      <c r="C101" s="21"/>
      <c r="D101" s="21"/>
      <c r="E101" s="21"/>
      <c r="F101" s="21"/>
      <c r="G101" s="21"/>
      <c r="H101" s="21"/>
      <c r="I101" s="41"/>
    </row>
    <row r="102" spans="1:9" ht="18.75" customHeight="1" x14ac:dyDescent="0.35">
      <c r="A102" s="40"/>
      <c r="B102" s="77" t="s">
        <v>155</v>
      </c>
      <c r="C102" s="21"/>
      <c r="D102" s="21"/>
      <c r="E102" s="21"/>
      <c r="F102" s="21"/>
      <c r="G102" s="21"/>
      <c r="H102" s="21"/>
      <c r="I102" s="41"/>
    </row>
    <row r="103" spans="1:9" ht="18.75" customHeight="1" x14ac:dyDescent="0.35">
      <c r="A103" s="50"/>
      <c r="B103" s="51" t="s">
        <v>156</v>
      </c>
      <c r="C103" s="21"/>
      <c r="D103" s="21"/>
      <c r="E103" s="21"/>
      <c r="F103" s="21"/>
      <c r="G103" s="21"/>
      <c r="H103" s="21"/>
      <c r="I103" s="41"/>
    </row>
    <row r="104" spans="1:9" ht="18.75" customHeight="1" x14ac:dyDescent="0.35">
      <c r="A104" s="50"/>
      <c r="B104" s="54" t="s">
        <v>107</v>
      </c>
      <c r="C104" s="21"/>
      <c r="D104" s="21"/>
      <c r="E104" s="21"/>
      <c r="F104" s="21"/>
      <c r="G104" s="53" t="s">
        <v>83</v>
      </c>
      <c r="H104" s="57">
        <f>4/3*Input!H14</f>
        <v>53.333333333333329</v>
      </c>
      <c r="I104" s="29" t="s">
        <v>4</v>
      </c>
    </row>
    <row r="105" spans="1:9" ht="18.75" customHeight="1" x14ac:dyDescent="0.35">
      <c r="A105" s="50"/>
      <c r="B105" s="54" t="s">
        <v>108</v>
      </c>
      <c r="C105" s="21"/>
      <c r="D105" s="21"/>
      <c r="E105" s="21"/>
      <c r="F105" s="21"/>
      <c r="G105" s="53"/>
      <c r="H105" s="53"/>
      <c r="I105" s="29"/>
    </row>
    <row r="106" spans="1:9" ht="18.75" customHeight="1" x14ac:dyDescent="0.35">
      <c r="A106" s="50"/>
      <c r="B106" s="75" t="s">
        <v>109</v>
      </c>
      <c r="C106" s="21"/>
      <c r="D106" s="21"/>
      <c r="E106" s="21"/>
      <c r="F106" s="21"/>
      <c r="G106" s="53" t="s">
        <v>89</v>
      </c>
      <c r="H106" s="57">
        <f>6*Input!H28</f>
        <v>132</v>
      </c>
      <c r="I106" s="29" t="s">
        <v>4</v>
      </c>
    </row>
    <row r="107" spans="1:9" ht="18.75" customHeight="1" x14ac:dyDescent="0.35">
      <c r="A107" s="50"/>
      <c r="B107" s="75" t="s">
        <v>110</v>
      </c>
      <c r="C107" s="21"/>
      <c r="D107" s="21"/>
      <c r="E107" s="21"/>
      <c r="F107" s="21"/>
      <c r="G107" s="53" t="s">
        <v>114</v>
      </c>
      <c r="H107" s="57">
        <v>150</v>
      </c>
      <c r="I107" s="29" t="s">
        <v>4</v>
      </c>
    </row>
    <row r="108" spans="1:9" ht="18.75" customHeight="1" x14ac:dyDescent="0.35">
      <c r="A108" s="50"/>
      <c r="B108" s="76" t="s">
        <v>246</v>
      </c>
      <c r="C108" s="21"/>
      <c r="D108" s="21"/>
      <c r="E108" s="21"/>
      <c r="F108" s="21"/>
      <c r="G108" s="53" t="s">
        <v>114</v>
      </c>
      <c r="H108" s="57">
        <f>MIN(H106:H107)</f>
        <v>132</v>
      </c>
      <c r="I108" s="29" t="s">
        <v>4</v>
      </c>
    </row>
    <row r="109" spans="1:9" ht="18.75" customHeight="1" x14ac:dyDescent="0.35">
      <c r="A109" s="50"/>
      <c r="B109" s="51"/>
      <c r="C109" s="21"/>
      <c r="D109" s="21"/>
      <c r="E109" s="21"/>
      <c r="F109" s="21"/>
      <c r="G109" s="53"/>
      <c r="H109" s="74"/>
      <c r="I109" s="29"/>
    </row>
    <row r="110" spans="1:9" ht="18.649999999999999" customHeight="1" x14ac:dyDescent="0.35">
      <c r="A110" s="50"/>
      <c r="B110" s="30" t="s">
        <v>115</v>
      </c>
      <c r="C110" s="21"/>
      <c r="D110" s="21"/>
      <c r="E110" s="21"/>
      <c r="F110" s="21"/>
      <c r="G110" s="53"/>
      <c r="H110" s="53"/>
      <c r="I110" s="29"/>
    </row>
    <row r="111" spans="1:9" ht="18.75" customHeight="1" x14ac:dyDescent="0.35">
      <c r="A111" s="50"/>
      <c r="C111" s="3" t="s">
        <v>84</v>
      </c>
      <c r="D111" s="60" t="s">
        <v>79</v>
      </c>
      <c r="E111" s="62" t="s">
        <v>245</v>
      </c>
      <c r="F111" s="60" t="s">
        <v>79</v>
      </c>
      <c r="G111" s="62" t="s">
        <v>85</v>
      </c>
      <c r="H111" s="3"/>
      <c r="I111" s="41"/>
    </row>
    <row r="112" spans="1:9" ht="18.75" customHeight="1" x14ac:dyDescent="0.35">
      <c r="A112" s="50"/>
      <c r="B112" s="9"/>
      <c r="C112" s="58">
        <f>H104</f>
        <v>53.333333333333329</v>
      </c>
      <c r="D112" s="3" t="str">
        <f>IF(C112&gt;E112,"&gt;","≤")</f>
        <v>≤</v>
      </c>
      <c r="E112" s="58">
        <f>Input!H53</f>
        <v>120</v>
      </c>
      <c r="F112" s="3" t="str">
        <f>IF(E112&gt;G112,"&gt;","≤")</f>
        <v>≤</v>
      </c>
      <c r="G112" s="58">
        <f>H108</f>
        <v>132</v>
      </c>
      <c r="H112" s="61" t="str">
        <f>IF(AND(C112&lt;=E112,E112&lt;=G112),"→   [ OK ]","→   [ NOT OK ]")</f>
        <v>→   [ OK ]</v>
      </c>
      <c r="I112" s="41"/>
    </row>
    <row r="113" spans="1:9" ht="18.75" customHeight="1" x14ac:dyDescent="0.35">
      <c r="A113" s="50"/>
      <c r="B113" s="9"/>
      <c r="C113" s="87"/>
      <c r="D113" s="3"/>
      <c r="E113" s="87"/>
      <c r="F113" s="3"/>
      <c r="G113" s="87"/>
      <c r="H113" s="61"/>
      <c r="I113" s="41"/>
    </row>
    <row r="114" spans="1:9" ht="18.75" customHeight="1" x14ac:dyDescent="0.35">
      <c r="A114" s="50"/>
      <c r="B114" s="51" t="s">
        <v>200</v>
      </c>
      <c r="C114" s="21"/>
      <c r="D114" s="21"/>
      <c r="E114" s="21"/>
      <c r="F114" s="21"/>
      <c r="G114" s="88">
        <f>G84</f>
        <v>5</v>
      </c>
      <c r="H114" s="89" t="str">
        <f>"  D"&amp;Input!H45&amp;" - "&amp;E112</f>
        <v xml:space="preserve">  D13 - 120</v>
      </c>
      <c r="I114" s="29"/>
    </row>
    <row r="115" spans="1:9" ht="18.75" customHeight="1" x14ac:dyDescent="0.35">
      <c r="A115" s="50"/>
      <c r="B115" s="51" t="s">
        <v>201</v>
      </c>
      <c r="C115" s="21"/>
      <c r="D115" s="21"/>
      <c r="E115" s="21"/>
      <c r="F115" s="21"/>
      <c r="G115" s="88">
        <f>G97</f>
        <v>3</v>
      </c>
      <c r="H115" s="89" t="str">
        <f>"  D"&amp;Input!H45&amp;" - "&amp;E112</f>
        <v xml:space="preserve">  D13 - 120</v>
      </c>
      <c r="I115" s="29"/>
    </row>
    <row r="116" spans="1:9" ht="18.75" customHeight="1" x14ac:dyDescent="0.35">
      <c r="A116" s="50"/>
      <c r="B116" s="51"/>
      <c r="C116" s="21"/>
      <c r="D116" s="21"/>
      <c r="E116" s="21"/>
      <c r="F116" s="21"/>
      <c r="G116" s="21"/>
      <c r="H116" s="21"/>
      <c r="I116" s="41"/>
    </row>
    <row r="117" spans="1:9" ht="18.75" customHeight="1" x14ac:dyDescent="0.35">
      <c r="A117" s="18" t="s">
        <v>44</v>
      </c>
      <c r="B117" s="26" t="s">
        <v>157</v>
      </c>
      <c r="C117" s="27"/>
      <c r="D117" s="27"/>
      <c r="E117" s="27"/>
      <c r="F117" s="27"/>
      <c r="G117" s="27"/>
      <c r="H117" s="27"/>
      <c r="I117" s="19"/>
    </row>
    <row r="118" spans="1:9" ht="18.75" customHeight="1" x14ac:dyDescent="0.35">
      <c r="A118" s="50"/>
      <c r="B118" s="1" t="s">
        <v>123</v>
      </c>
      <c r="C118" s="21"/>
      <c r="D118" s="21"/>
      <c r="E118" s="21"/>
      <c r="F118" s="21"/>
      <c r="G118" s="53" t="s">
        <v>214</v>
      </c>
      <c r="H118" s="83">
        <f>Input!H13</f>
        <v>4000</v>
      </c>
      <c r="I118" s="29" t="s">
        <v>4</v>
      </c>
    </row>
    <row r="119" spans="1:9" ht="18.75" customHeight="1" x14ac:dyDescent="0.35">
      <c r="A119" s="50"/>
      <c r="B119" s="21" t="s">
        <v>210</v>
      </c>
      <c r="C119" s="21"/>
      <c r="D119" s="21"/>
      <c r="E119" s="21"/>
      <c r="F119" s="21"/>
      <c r="G119" s="2" t="s">
        <v>215</v>
      </c>
      <c r="H119" s="90">
        <f>Input!H59</f>
        <v>1100000000</v>
      </c>
      <c r="I119" s="29" t="s">
        <v>73</v>
      </c>
    </row>
    <row r="120" spans="1:9" ht="18.75" customHeight="1" x14ac:dyDescent="0.35">
      <c r="A120" s="50"/>
      <c r="B120" s="21" t="s">
        <v>211</v>
      </c>
      <c r="C120" s="21"/>
      <c r="D120" s="21"/>
      <c r="E120" s="21"/>
      <c r="F120" s="21"/>
      <c r="G120" s="2" t="s">
        <v>216</v>
      </c>
      <c r="H120" s="90">
        <f>Input!H60</f>
        <v>1100000000</v>
      </c>
      <c r="I120" s="29" t="s">
        <v>73</v>
      </c>
    </row>
    <row r="121" spans="1:9" ht="18.75" customHeight="1" x14ac:dyDescent="0.35">
      <c r="A121" s="50"/>
      <c r="B121" s="51" t="s">
        <v>213</v>
      </c>
      <c r="C121" s="21"/>
      <c r="D121" s="21"/>
      <c r="E121" s="21"/>
      <c r="F121" s="21"/>
      <c r="G121" s="53" t="s">
        <v>212</v>
      </c>
      <c r="H121" s="83">
        <v>0.5</v>
      </c>
      <c r="I121" s="29"/>
    </row>
    <row r="122" spans="1:9" ht="18.75" customHeight="1" x14ac:dyDescent="0.35">
      <c r="A122" s="50"/>
      <c r="B122" s="51" t="s">
        <v>158</v>
      </c>
      <c r="C122" s="21"/>
      <c r="D122" s="21"/>
      <c r="E122" s="21"/>
      <c r="F122" s="21"/>
      <c r="I122" s="41"/>
    </row>
    <row r="123" spans="1:9" ht="18.75" customHeight="1" x14ac:dyDescent="0.35">
      <c r="A123" s="50"/>
      <c r="B123" s="51"/>
      <c r="C123" s="21"/>
      <c r="D123" s="21"/>
      <c r="E123" s="21"/>
      <c r="F123" s="21"/>
      <c r="G123" s="53" t="s">
        <v>159</v>
      </c>
      <c r="H123" s="57">
        <f>(H119*H121+(H120*H121))/H118</f>
        <v>275000</v>
      </c>
      <c r="I123" s="29" t="s">
        <v>72</v>
      </c>
    </row>
    <row r="124" spans="1:9" ht="18.75" customHeight="1" x14ac:dyDescent="0.35">
      <c r="A124" s="50"/>
      <c r="B124" s="51" t="s">
        <v>161</v>
      </c>
      <c r="C124" s="21"/>
      <c r="D124" s="21"/>
      <c r="E124" s="21"/>
      <c r="F124" s="21"/>
      <c r="G124" s="53" t="s">
        <v>174</v>
      </c>
      <c r="H124" s="57">
        <f>Input!H56</f>
        <v>240000</v>
      </c>
      <c r="I124" s="29" t="s">
        <v>72</v>
      </c>
    </row>
    <row r="125" spans="1:9" ht="18.75" customHeight="1" x14ac:dyDescent="0.35">
      <c r="A125" s="50"/>
      <c r="B125" s="51" t="s">
        <v>162</v>
      </c>
      <c r="C125" s="21"/>
      <c r="D125" s="21"/>
      <c r="E125" s="21"/>
      <c r="F125" s="21"/>
      <c r="G125" s="53" t="s">
        <v>175</v>
      </c>
      <c r="H125" s="57">
        <f>MAX(H123:H124)</f>
        <v>275000</v>
      </c>
      <c r="I125" s="29" t="s">
        <v>72</v>
      </c>
    </row>
    <row r="126" spans="1:9" ht="18.75" customHeight="1" x14ac:dyDescent="0.35">
      <c r="A126" s="50"/>
      <c r="B126" s="51"/>
      <c r="C126" s="21"/>
      <c r="D126" s="21"/>
      <c r="E126" s="21"/>
      <c r="F126" s="21"/>
      <c r="G126" s="21"/>
      <c r="H126" s="21"/>
      <c r="I126" s="41"/>
    </row>
    <row r="127" spans="1:9" ht="18.75" customHeight="1" x14ac:dyDescent="0.35">
      <c r="A127" s="50"/>
      <c r="B127" s="51" t="s">
        <v>173</v>
      </c>
      <c r="C127" s="21"/>
      <c r="D127" s="21"/>
      <c r="E127" s="21"/>
      <c r="F127" s="21"/>
      <c r="G127" s="21"/>
      <c r="H127" s="21"/>
      <c r="I127" s="41"/>
    </row>
    <row r="128" spans="1:9" ht="18.75" customHeight="1" x14ac:dyDescent="0.35">
      <c r="A128" s="50"/>
      <c r="B128" s="51" t="s">
        <v>163</v>
      </c>
      <c r="C128" s="21"/>
      <c r="D128" s="21"/>
      <c r="E128" s="21"/>
      <c r="F128" s="21"/>
      <c r="G128" s="21"/>
      <c r="H128" s="21"/>
      <c r="I128" s="41"/>
    </row>
    <row r="129" spans="1:9" ht="18.75" customHeight="1" x14ac:dyDescent="0.35">
      <c r="A129" s="50"/>
      <c r="B129" s="75" t="s">
        <v>109</v>
      </c>
      <c r="C129" s="21"/>
      <c r="D129" s="3" t="s">
        <v>176</v>
      </c>
      <c r="E129" s="60" t="s">
        <v>152</v>
      </c>
      <c r="F129" s="3" t="s">
        <v>164</v>
      </c>
      <c r="I129" s="41"/>
    </row>
    <row r="130" spans="1:9" ht="18.75" customHeight="1" x14ac:dyDescent="0.35">
      <c r="A130" s="50"/>
      <c r="C130" s="21"/>
      <c r="D130" s="58">
        <f>0.5*Input!H56</f>
        <v>120000</v>
      </c>
      <c r="E130" s="3" t="str">
        <f>IF(D130&gt;=F130,"≥","&lt;")</f>
        <v>&lt;</v>
      </c>
      <c r="F130" s="58">
        <f>H125</f>
        <v>275000</v>
      </c>
      <c r="G130" s="6" t="s">
        <v>20</v>
      </c>
      <c r="H130" s="7" t="str">
        <f>IF(D130&gt;=F130,"[ OK ]","[ NOT OK ]")</f>
        <v>[ NOT OK ]</v>
      </c>
      <c r="I130" s="41"/>
    </row>
    <row r="131" spans="1:9" ht="18.75" customHeight="1" x14ac:dyDescent="0.35">
      <c r="A131" s="50"/>
      <c r="C131" s="21"/>
      <c r="D131" s="21"/>
      <c r="E131" s="21"/>
      <c r="F131" s="21"/>
      <c r="G131" s="21"/>
      <c r="H131" s="21"/>
      <c r="I131" s="41"/>
    </row>
    <row r="132" spans="1:9" ht="18.75" customHeight="1" x14ac:dyDescent="0.35">
      <c r="A132" s="50"/>
      <c r="B132" s="75" t="s">
        <v>110</v>
      </c>
      <c r="C132" s="21"/>
      <c r="D132" s="3" t="s">
        <v>95</v>
      </c>
      <c r="E132" s="60" t="s">
        <v>23</v>
      </c>
      <c r="F132" s="3" t="s">
        <v>172</v>
      </c>
      <c r="I132" s="41"/>
    </row>
    <row r="133" spans="1:9" ht="18.75" customHeight="1" x14ac:dyDescent="0.35">
      <c r="A133" s="50"/>
      <c r="B133" s="51"/>
      <c r="C133" s="21"/>
      <c r="D133" s="58">
        <f>Input!H57</f>
        <v>23000</v>
      </c>
      <c r="E133" s="3" t="str">
        <f>IF(D133&gt;=F133,"≥","&lt;")</f>
        <v>&lt;</v>
      </c>
      <c r="F133" s="58">
        <f>H144*Input!H4/20</f>
        <v>315000</v>
      </c>
      <c r="G133" s="6" t="s">
        <v>20</v>
      </c>
      <c r="H133" s="7" t="str">
        <f>IF(D133&gt;=F133,"[ OK ]","[ NOT OK ]")</f>
        <v>[ NOT OK ]</v>
      </c>
      <c r="I133" s="41"/>
    </row>
    <row r="134" spans="1:9" ht="18.75" customHeight="1" x14ac:dyDescent="0.35">
      <c r="A134" s="50"/>
      <c r="B134" s="51" t="s">
        <v>96</v>
      </c>
      <c r="C134" s="21" t="str">
        <f>IF(AND(H130="[ OK ]",H133="[ OK ]"),"diasumsikan Vc = 0","Vc ≠ 0")</f>
        <v>Vc ≠ 0</v>
      </c>
      <c r="D134" s="21"/>
      <c r="E134" s="21"/>
      <c r="F134" s="21"/>
      <c r="G134" s="21"/>
      <c r="H134" s="21"/>
      <c r="I134" s="41"/>
    </row>
    <row r="135" spans="1:9" ht="18.75" customHeight="1" x14ac:dyDescent="0.35">
      <c r="A135" s="50"/>
      <c r="B135" s="51" t="s">
        <v>203</v>
      </c>
      <c r="C135" s="21"/>
      <c r="D135" s="21"/>
      <c r="E135" s="21"/>
      <c r="F135" s="21"/>
      <c r="G135" s="53" t="s">
        <v>74</v>
      </c>
      <c r="H135" s="90">
        <f>Input!H58</f>
        <v>326000000</v>
      </c>
      <c r="I135" s="29" t="s">
        <v>73</v>
      </c>
    </row>
    <row r="136" spans="1:9" ht="18.75" customHeight="1" x14ac:dyDescent="0.35">
      <c r="A136" s="50"/>
      <c r="B136" s="51" t="s">
        <v>204</v>
      </c>
      <c r="C136" s="21"/>
      <c r="D136" s="21"/>
      <c r="E136" s="21"/>
      <c r="F136" s="21"/>
      <c r="G136" s="53" t="s">
        <v>202</v>
      </c>
      <c r="H136" s="52">
        <f>Input!H57</f>
        <v>23000</v>
      </c>
      <c r="I136" s="29" t="s">
        <v>72</v>
      </c>
    </row>
    <row r="137" spans="1:9" ht="18.75" customHeight="1" x14ac:dyDescent="0.35">
      <c r="A137" s="50"/>
      <c r="B137" s="51" t="s">
        <v>10</v>
      </c>
      <c r="C137" s="21"/>
      <c r="D137" s="21"/>
      <c r="E137" s="21"/>
      <c r="F137" s="21"/>
      <c r="G137" s="53" t="s">
        <v>207</v>
      </c>
      <c r="H137" s="52">
        <f>Input!H4</f>
        <v>35</v>
      </c>
      <c r="I137" s="29" t="s">
        <v>0</v>
      </c>
    </row>
    <row r="138" spans="1:9" ht="18.75" customHeight="1" x14ac:dyDescent="0.35">
      <c r="A138" s="50"/>
      <c r="B138" s="51" t="s">
        <v>59</v>
      </c>
      <c r="C138" s="21"/>
      <c r="D138" s="21"/>
      <c r="E138" s="21"/>
      <c r="F138" s="21"/>
      <c r="G138" s="2" t="s">
        <v>205</v>
      </c>
      <c r="H138" s="52">
        <f>Input!H11</f>
        <v>600</v>
      </c>
      <c r="I138" s="29" t="s">
        <v>4</v>
      </c>
    </row>
    <row r="139" spans="1:9" ht="18.75" customHeight="1" x14ac:dyDescent="0.35">
      <c r="A139" s="50"/>
      <c r="B139" s="51" t="s">
        <v>60</v>
      </c>
      <c r="C139" s="21"/>
      <c r="D139" s="21"/>
      <c r="E139" s="21"/>
      <c r="F139" s="21"/>
      <c r="G139" s="2" t="s">
        <v>206</v>
      </c>
      <c r="H139" s="52">
        <f>Input!H10</f>
        <v>300</v>
      </c>
      <c r="I139" s="29" t="s">
        <v>4</v>
      </c>
    </row>
    <row r="140" spans="1:9" ht="18.75" customHeight="1" x14ac:dyDescent="0.35">
      <c r="A140" s="50"/>
      <c r="B140" s="1" t="s">
        <v>8</v>
      </c>
      <c r="C140" s="21"/>
      <c r="D140" s="21"/>
      <c r="E140" s="21"/>
      <c r="F140" s="21"/>
      <c r="G140" s="2" t="s">
        <v>9</v>
      </c>
      <c r="H140" s="52">
        <f>Input!H12</f>
        <v>40</v>
      </c>
      <c r="I140" s="29" t="s">
        <v>4</v>
      </c>
    </row>
    <row r="141" spans="1:9" ht="18.75" customHeight="1" x14ac:dyDescent="0.35">
      <c r="A141" s="50"/>
      <c r="B141" s="54" t="s">
        <v>66</v>
      </c>
      <c r="C141" s="21"/>
      <c r="D141" s="21"/>
      <c r="E141" s="21"/>
      <c r="F141" s="21"/>
      <c r="I141" s="1"/>
    </row>
    <row r="142" spans="1:9" ht="18.75" customHeight="1" x14ac:dyDescent="0.35">
      <c r="A142" s="50"/>
      <c r="B142" s="54"/>
      <c r="C142" s="21"/>
      <c r="D142" s="21"/>
      <c r="E142" s="21"/>
      <c r="F142" s="21"/>
      <c r="G142" s="53" t="s">
        <v>208</v>
      </c>
      <c r="H142" s="52">
        <f>MAX(Input!H10:H11)-H140-Input!H45-0.5*Input!H28</f>
        <v>536</v>
      </c>
      <c r="I142" s="29" t="s">
        <v>4</v>
      </c>
    </row>
    <row r="143" spans="1:9" ht="18.75" customHeight="1" x14ac:dyDescent="0.35">
      <c r="A143" s="50"/>
      <c r="B143" s="54"/>
      <c r="C143" s="21"/>
      <c r="D143" s="21"/>
      <c r="E143" s="21"/>
      <c r="F143" s="21"/>
      <c r="G143" s="53"/>
      <c r="H143" s="53"/>
      <c r="I143" s="29"/>
    </row>
    <row r="144" spans="1:9" ht="18.75" customHeight="1" x14ac:dyDescent="0.35">
      <c r="A144" s="50"/>
      <c r="B144" s="51" t="s">
        <v>25</v>
      </c>
      <c r="C144" s="21"/>
      <c r="D144" s="21"/>
      <c r="E144" s="21"/>
      <c r="F144" s="21"/>
      <c r="G144" s="2" t="s">
        <v>75</v>
      </c>
      <c r="H144" s="52">
        <f>H139*H138</f>
        <v>180000</v>
      </c>
      <c r="I144" s="29" t="s">
        <v>21</v>
      </c>
    </row>
    <row r="145" spans="1:9" ht="18.75" customHeight="1" x14ac:dyDescent="0.35">
      <c r="A145" s="50"/>
      <c r="B145" s="51" t="s">
        <v>69</v>
      </c>
      <c r="C145" s="21"/>
      <c r="D145" s="21"/>
      <c r="E145" s="21"/>
      <c r="F145" s="21"/>
      <c r="G145" s="2" t="s">
        <v>209</v>
      </c>
      <c r="H145" s="52">
        <f>0.25*3.14*Input!H28^2</f>
        <v>379.94</v>
      </c>
      <c r="I145" s="29" t="s">
        <v>21</v>
      </c>
    </row>
    <row r="146" spans="1:9" ht="18.75" customHeight="1" x14ac:dyDescent="0.35">
      <c r="A146" s="50"/>
      <c r="B146" s="51" t="s">
        <v>67</v>
      </c>
      <c r="C146" s="21"/>
      <c r="D146" s="21"/>
      <c r="E146" s="21"/>
      <c r="F146" s="21"/>
      <c r="G146" s="53" t="s">
        <v>68</v>
      </c>
      <c r="H146" s="55">
        <f>H145/(H138*H142)</f>
        <v>1.1814054726368159E-3</v>
      </c>
      <c r="I146" s="29"/>
    </row>
    <row r="147" spans="1:9" ht="18.75" customHeight="1" x14ac:dyDescent="0.35">
      <c r="A147" s="50"/>
      <c r="B147" s="51" t="s">
        <v>71</v>
      </c>
      <c r="C147" s="21"/>
      <c r="D147" s="21"/>
      <c r="E147" s="21"/>
      <c r="F147" s="21"/>
      <c r="G147" s="56" t="s">
        <v>70</v>
      </c>
      <c r="H147" s="57">
        <v>1</v>
      </c>
      <c r="I147" s="29"/>
    </row>
    <row r="148" spans="1:9" ht="18.75" customHeight="1" x14ac:dyDescent="0.35">
      <c r="A148" s="50"/>
      <c r="B148" s="51"/>
      <c r="C148" s="21"/>
      <c r="D148" s="21"/>
      <c r="E148" s="21"/>
      <c r="F148" s="21"/>
      <c r="G148" s="21"/>
      <c r="I148" s="29"/>
    </row>
    <row r="149" spans="1:9" ht="18.75" customHeight="1" x14ac:dyDescent="0.35">
      <c r="A149" s="50"/>
      <c r="B149" s="51" t="s">
        <v>57</v>
      </c>
      <c r="C149" s="21"/>
      <c r="D149" s="21"/>
      <c r="E149" s="21"/>
      <c r="F149" s="21"/>
      <c r="I149" s="29"/>
    </row>
    <row r="150" spans="1:9" ht="18.75" customHeight="1" x14ac:dyDescent="0.35">
      <c r="A150" s="50"/>
      <c r="B150" s="51"/>
      <c r="C150" s="21"/>
      <c r="D150" s="21"/>
      <c r="E150" s="21"/>
      <c r="F150" s="21"/>
      <c r="G150" s="53" t="s">
        <v>62</v>
      </c>
      <c r="H150" s="57">
        <f>IF(C134="diasumsikan Vc = 0","-",(0.17*(1+(H136/(14*H144)))*H147*SQRT(H137)*H138*H142)/10^3)</f>
        <v>326.39598136977202</v>
      </c>
      <c r="I150" s="29" t="s">
        <v>19</v>
      </c>
    </row>
    <row r="151" spans="1:9" ht="18.75" customHeight="1" x14ac:dyDescent="0.35">
      <c r="A151" s="50"/>
      <c r="B151" s="51"/>
      <c r="C151" s="21"/>
      <c r="D151" s="21"/>
      <c r="E151" s="21"/>
      <c r="F151" s="21"/>
      <c r="G151" s="53" t="s">
        <v>65</v>
      </c>
      <c r="H151" s="57">
        <f>IF(C134="diasumsikan Vc = 0","-",IF((H135-(H136*(4*H139-H142)/8))&lt;0,"-",((0.16*H147*SQRT(H137)+17*H146*(H125*H142/(H135-H136*(4*H139-H142)/8)))*H138*H142)/10^3))</f>
        <v>307.35541344663187</v>
      </c>
      <c r="I151" s="29" t="s">
        <v>19</v>
      </c>
    </row>
    <row r="152" spans="1:9" ht="18.75" customHeight="1" x14ac:dyDescent="0.35">
      <c r="A152" s="50"/>
      <c r="B152" s="51"/>
      <c r="C152" s="21"/>
      <c r="D152" s="21"/>
      <c r="E152" s="21"/>
      <c r="F152" s="21"/>
      <c r="G152" s="53" t="s">
        <v>64</v>
      </c>
      <c r="H152" s="57">
        <f>IF(C134="diasumsikan Vc = 0","-",(0.29*H147*SQRT(H137)*H138*H142*SQRT(1+(0.29*H136/H144)))/10^3)</f>
        <v>561.88711269421367</v>
      </c>
      <c r="I152" s="29" t="s">
        <v>19</v>
      </c>
    </row>
    <row r="153" spans="1:9" ht="18.75" customHeight="1" x14ac:dyDescent="0.35">
      <c r="A153" s="50"/>
      <c r="B153" s="51"/>
      <c r="C153" s="21"/>
      <c r="D153" s="21"/>
      <c r="E153" s="21"/>
      <c r="F153" s="21"/>
      <c r="G153" s="53" t="s">
        <v>63</v>
      </c>
      <c r="H153" s="57">
        <f>MIN(H150:H152)</f>
        <v>307.35541344663187</v>
      </c>
      <c r="I153" s="29" t="s">
        <v>19</v>
      </c>
    </row>
    <row r="154" spans="1:9" ht="18.75" customHeight="1" x14ac:dyDescent="0.35">
      <c r="A154" s="50"/>
      <c r="C154" s="21"/>
      <c r="D154" s="21"/>
      <c r="E154" s="21"/>
      <c r="F154" s="21"/>
      <c r="G154" s="21"/>
      <c r="H154" s="21"/>
      <c r="I154" s="41"/>
    </row>
    <row r="155" spans="1:9" ht="18.75" customHeight="1" x14ac:dyDescent="0.35">
      <c r="A155" s="50"/>
      <c r="B155" s="51"/>
      <c r="C155" s="21"/>
      <c r="D155" s="21"/>
      <c r="E155" s="21"/>
      <c r="F155" s="21"/>
      <c r="G155" s="56" t="s">
        <v>77</v>
      </c>
      <c r="H155" s="57">
        <v>0.75</v>
      </c>
      <c r="I155" s="41"/>
    </row>
    <row r="156" spans="1:9" ht="18.75" customHeight="1" x14ac:dyDescent="0.35">
      <c r="A156" s="50"/>
      <c r="B156" s="51" t="s">
        <v>76</v>
      </c>
      <c r="C156" s="21"/>
      <c r="D156" s="21"/>
      <c r="E156" s="21"/>
      <c r="F156" s="21"/>
      <c r="G156" s="56"/>
      <c r="H156" s="74"/>
      <c r="I156" s="41"/>
    </row>
    <row r="157" spans="1:9" ht="18.75" customHeight="1" x14ac:dyDescent="0.35">
      <c r="A157" s="50"/>
      <c r="B157" s="30" t="s">
        <v>22</v>
      </c>
      <c r="D157" s="3" t="s">
        <v>80</v>
      </c>
      <c r="E157" s="60" t="s">
        <v>79</v>
      </c>
      <c r="F157" s="59" t="s">
        <v>78</v>
      </c>
      <c r="G157" s="5"/>
      <c r="H157" s="3"/>
      <c r="I157" s="41"/>
    </row>
    <row r="158" spans="1:9" ht="18.75" customHeight="1" x14ac:dyDescent="0.35">
      <c r="A158" s="50"/>
      <c r="B158" s="28"/>
      <c r="C158" s="37" t="s">
        <v>166</v>
      </c>
      <c r="D158" s="58">
        <f>IF(C134="diasumsikan Vc = 0","-",H125/10^3)</f>
        <v>275</v>
      </c>
      <c r="E158" s="3" t="str">
        <f>IF(D158&gt;F158,"&gt;","≤")</f>
        <v>≤</v>
      </c>
      <c r="F158" s="58">
        <f>IF(C134="diasumsikan Vc = 0","-",H155*(H153*10^3+0.066*SQRT(H137)*H138*H142))/10^3</f>
        <v>324.69581736809329</v>
      </c>
      <c r="G158" s="6" t="s">
        <v>20</v>
      </c>
      <c r="H158" s="7" t="str">
        <f>IF(D158&lt;=F158,"[ OK ]","[ NOT OK ]")</f>
        <v>[ OK ]</v>
      </c>
      <c r="I158" s="41"/>
    </row>
    <row r="159" spans="1:9" ht="18.75" customHeight="1" x14ac:dyDescent="0.35">
      <c r="A159" s="50"/>
      <c r="B159" s="51"/>
      <c r="C159" s="21"/>
      <c r="D159" s="21"/>
      <c r="E159" s="21"/>
      <c r="F159" s="21"/>
      <c r="G159" s="21"/>
      <c r="H159" s="21"/>
      <c r="I159" s="41"/>
    </row>
    <row r="160" spans="1:9" ht="18.75" customHeight="1" x14ac:dyDescent="0.35">
      <c r="A160" s="50"/>
      <c r="B160" s="51" t="s">
        <v>165</v>
      </c>
      <c r="C160" s="21"/>
      <c r="D160" s="21"/>
      <c r="E160" s="21"/>
      <c r="F160" s="21"/>
      <c r="G160" s="21"/>
      <c r="H160" s="21"/>
      <c r="I160" s="41"/>
    </row>
    <row r="161" spans="1:9" ht="18.75" customHeight="1" x14ac:dyDescent="0.35">
      <c r="A161" s="50"/>
      <c r="B161" s="51"/>
      <c r="C161" s="21"/>
      <c r="D161" s="3" t="s">
        <v>80</v>
      </c>
      <c r="E161" s="60" t="s">
        <v>24</v>
      </c>
      <c r="F161" s="3" t="s">
        <v>167</v>
      </c>
      <c r="I161" s="41"/>
    </row>
    <row r="162" spans="1:9" ht="18.75" customHeight="1" x14ac:dyDescent="0.35">
      <c r="A162" s="50"/>
      <c r="B162" s="51"/>
      <c r="C162" s="37" t="s">
        <v>166</v>
      </c>
      <c r="D162" s="58">
        <f>H125/10^3</f>
        <v>275</v>
      </c>
      <c r="E162" s="3" t="str">
        <f>IF(D162&gt;F162,"&gt;","≤")</f>
        <v>&gt;</v>
      </c>
      <c r="F162" s="58">
        <f>H155*H153</f>
        <v>230.51656008497389</v>
      </c>
      <c r="G162" s="82" t="str">
        <f>IF(D162&gt;=F162,"→    [ perlu tul. Geser ]","→    [ tidak perlu tul. geser ]")</f>
        <v>→    [ perlu tul. Geser ]</v>
      </c>
      <c r="I162" s="41"/>
    </row>
    <row r="163" spans="1:9" ht="18.75" customHeight="1" x14ac:dyDescent="0.35">
      <c r="A163" s="50"/>
      <c r="B163" s="51"/>
      <c r="C163" s="21"/>
      <c r="D163" s="21"/>
      <c r="E163" s="21"/>
      <c r="F163" s="21"/>
      <c r="G163" s="21"/>
      <c r="H163" s="21"/>
      <c r="I163" s="41"/>
    </row>
    <row r="164" spans="1:9" ht="18.75" customHeight="1" x14ac:dyDescent="0.35">
      <c r="A164" s="50"/>
      <c r="B164" s="51" t="s">
        <v>168</v>
      </c>
      <c r="C164" s="21"/>
      <c r="D164" s="21"/>
      <c r="E164" s="21"/>
      <c r="F164" s="21"/>
      <c r="G164" s="2" t="s">
        <v>169</v>
      </c>
      <c r="H164" s="57">
        <f>IF(G162="→    [ perlu tul. Geser ]",((H125-(H155*H153*10^3))/(H155*Input!H6*H142))*H49,"-")</f>
        <v>19.75987913780477</v>
      </c>
      <c r="I164" s="29" t="s">
        <v>21</v>
      </c>
    </row>
    <row r="165" spans="1:9" ht="18.75" customHeight="1" x14ac:dyDescent="0.35">
      <c r="A165" s="50"/>
      <c r="B165" s="51" t="s">
        <v>196</v>
      </c>
      <c r="C165" s="21"/>
      <c r="D165" s="21"/>
      <c r="E165" s="21"/>
      <c r="F165" s="21"/>
      <c r="G165" s="2" t="s">
        <v>197</v>
      </c>
      <c r="H165" s="57">
        <f>Input!H46*1/4*3.14*Input!H45^2</f>
        <v>663.32500000000005</v>
      </c>
      <c r="I165" s="29" t="s">
        <v>183</v>
      </c>
    </row>
    <row r="166" spans="1:9" ht="18.649999999999999" customHeight="1" x14ac:dyDescent="0.35">
      <c r="A166" s="50"/>
      <c r="B166" s="51"/>
      <c r="C166" s="21"/>
      <c r="D166" s="21"/>
      <c r="E166" s="21"/>
      <c r="F166" s="21"/>
      <c r="G166" s="21"/>
      <c r="H166" s="21"/>
      <c r="I166" s="41"/>
    </row>
    <row r="167" spans="1:9" ht="18.75" customHeight="1" x14ac:dyDescent="0.35">
      <c r="A167" s="50"/>
      <c r="B167" s="30" t="s">
        <v>22</v>
      </c>
      <c r="D167" s="3" t="s">
        <v>171</v>
      </c>
      <c r="E167" s="60" t="s">
        <v>24</v>
      </c>
      <c r="F167" s="3" t="s">
        <v>170</v>
      </c>
      <c r="G167" s="5"/>
      <c r="H167" s="3"/>
      <c r="I167" s="41"/>
    </row>
    <row r="168" spans="1:9" ht="18.75" customHeight="1" x14ac:dyDescent="0.35">
      <c r="A168" s="50"/>
      <c r="B168" s="28"/>
      <c r="C168" s="37" t="s">
        <v>177</v>
      </c>
      <c r="D168" s="58">
        <f>H165</f>
        <v>663.32500000000005</v>
      </c>
      <c r="E168" s="3" t="str">
        <f>IF(D168&gt;F168,"&gt;","≤")</f>
        <v>&gt;</v>
      </c>
      <c r="F168" s="58">
        <f>H164</f>
        <v>19.75987913780477</v>
      </c>
      <c r="G168" s="6" t="s">
        <v>20</v>
      </c>
      <c r="H168" s="7" t="str">
        <f>IF(D168&gt;F168,"[ OK ]","[ NOT OK ]")</f>
        <v>[ OK ]</v>
      </c>
      <c r="I168" s="41"/>
    </row>
    <row r="169" spans="1:9" ht="18.75" customHeight="1" x14ac:dyDescent="0.35">
      <c r="A169" s="50"/>
      <c r="B169" s="51"/>
      <c r="C169" s="21"/>
      <c r="D169" s="21"/>
      <c r="E169" s="21"/>
      <c r="F169" s="21"/>
      <c r="G169" s="21"/>
      <c r="H169" s="21"/>
      <c r="I169" s="41"/>
    </row>
    <row r="170" spans="1:9" ht="18.75" customHeight="1" x14ac:dyDescent="0.35">
      <c r="A170" s="50"/>
      <c r="B170" s="51" t="s">
        <v>178</v>
      </c>
      <c r="C170" s="21"/>
      <c r="D170" s="21"/>
      <c r="E170" s="21"/>
      <c r="F170" s="21"/>
      <c r="G170" s="2" t="s">
        <v>179</v>
      </c>
      <c r="H170" s="57">
        <f>H165*Input!H6*H142/H49/10^3</f>
        <v>1991.0363200000002</v>
      </c>
      <c r="I170" s="29" t="s">
        <v>19</v>
      </c>
    </row>
    <row r="171" spans="1:9" ht="18.75" customHeight="1" x14ac:dyDescent="0.35">
      <c r="A171" s="50"/>
      <c r="B171" s="51" t="s">
        <v>180</v>
      </c>
      <c r="C171" s="21"/>
      <c r="D171" s="21"/>
      <c r="E171" s="21"/>
      <c r="F171" s="21"/>
      <c r="G171" s="2" t="s">
        <v>181</v>
      </c>
      <c r="H171" s="57">
        <f>H153+H170</f>
        <v>2298.3917334466319</v>
      </c>
      <c r="I171" s="29" t="s">
        <v>19</v>
      </c>
    </row>
    <row r="172" spans="1:9" ht="18.75" customHeight="1" x14ac:dyDescent="0.35">
      <c r="A172" s="50"/>
      <c r="B172" s="30" t="s">
        <v>22</v>
      </c>
      <c r="D172" s="3" t="s">
        <v>80</v>
      </c>
      <c r="E172" s="60" t="s">
        <v>23</v>
      </c>
      <c r="F172" s="3" t="s">
        <v>182</v>
      </c>
      <c r="G172" s="5"/>
      <c r="H172" s="3"/>
      <c r="I172" s="41"/>
    </row>
    <row r="173" spans="1:9" ht="18.75" customHeight="1" x14ac:dyDescent="0.35">
      <c r="A173" s="50"/>
      <c r="B173" s="28"/>
      <c r="C173" s="37" t="s">
        <v>177</v>
      </c>
      <c r="D173" s="58">
        <f>H125/10^3</f>
        <v>275</v>
      </c>
      <c r="E173" s="3" t="str">
        <f>IF(D173&lt;F173,"&lt;","≥")</f>
        <v>&lt;</v>
      </c>
      <c r="F173" s="58">
        <f>H155*H171</f>
        <v>1723.793800084974</v>
      </c>
      <c r="G173" s="6" t="s">
        <v>20</v>
      </c>
      <c r="H173" s="7" t="str">
        <f>IF(D173&lt;F173,"[ OK ]","[ NOT OK ]")</f>
        <v>[ OK ]</v>
      </c>
      <c r="I173" s="41"/>
    </row>
    <row r="174" spans="1:9" ht="18.75" customHeight="1" x14ac:dyDescent="0.35">
      <c r="A174" s="50"/>
      <c r="B174" s="51"/>
      <c r="C174" s="21"/>
      <c r="D174" s="21"/>
      <c r="E174" s="21"/>
      <c r="F174" s="21"/>
      <c r="G174" s="21"/>
      <c r="H174" s="21"/>
      <c r="I174" s="41"/>
    </row>
    <row r="175" spans="1:9" ht="18.75" customHeight="1" x14ac:dyDescent="0.35">
      <c r="A175" s="50"/>
      <c r="B175" s="51"/>
      <c r="C175" s="21"/>
      <c r="D175" s="21"/>
      <c r="E175" s="21"/>
      <c r="F175" s="21"/>
      <c r="G175" s="21"/>
      <c r="H175" s="21"/>
      <c r="I175" s="41"/>
    </row>
    <row r="176" spans="1:9" ht="18.75" customHeight="1" x14ac:dyDescent="0.35">
      <c r="A176" s="50"/>
      <c r="B176" s="51"/>
      <c r="C176" s="21"/>
      <c r="D176" s="21"/>
      <c r="E176" s="21"/>
      <c r="F176" s="21"/>
      <c r="G176" s="21"/>
      <c r="H176" s="21"/>
      <c r="I176" s="41"/>
    </row>
    <row r="177" spans="1:9" ht="18.75" customHeight="1" x14ac:dyDescent="0.35">
      <c r="A177" s="50"/>
      <c r="B177" s="51"/>
      <c r="C177" s="21"/>
      <c r="D177" s="21"/>
      <c r="E177" s="21"/>
      <c r="F177" s="21"/>
      <c r="G177" s="21"/>
      <c r="H177" s="21"/>
      <c r="I177" s="41"/>
    </row>
    <row r="178" spans="1:9" ht="18.75" customHeight="1" x14ac:dyDescent="0.35">
      <c r="A178" s="50"/>
      <c r="B178" s="51"/>
      <c r="C178" s="21"/>
      <c r="D178" s="21"/>
      <c r="E178" s="21"/>
      <c r="F178" s="21"/>
      <c r="G178" s="21"/>
      <c r="H178" s="21"/>
      <c r="I178" s="41"/>
    </row>
    <row r="179" spans="1:9" ht="18.75" customHeight="1" x14ac:dyDescent="0.35">
      <c r="A179" s="50"/>
      <c r="B179" s="51"/>
      <c r="C179" s="21"/>
      <c r="D179" s="21"/>
      <c r="E179" s="21"/>
      <c r="F179" s="21"/>
      <c r="G179" s="21"/>
      <c r="H179" s="21"/>
      <c r="I179" s="41"/>
    </row>
    <row r="180" spans="1:9" ht="18.75" customHeight="1" x14ac:dyDescent="0.35">
      <c r="A180" s="50"/>
      <c r="B180" s="51"/>
      <c r="C180" s="21"/>
      <c r="D180" s="21"/>
      <c r="E180" s="21"/>
      <c r="F180" s="21"/>
      <c r="G180" s="21"/>
      <c r="H180" s="21"/>
      <c r="I180" s="41"/>
    </row>
    <row r="181" spans="1:9" ht="18.75" customHeight="1" x14ac:dyDescent="0.35">
      <c r="A181" s="50"/>
      <c r="B181" s="51"/>
      <c r="C181" s="21"/>
      <c r="D181" s="21"/>
      <c r="E181" s="21"/>
      <c r="F181" s="21"/>
      <c r="G181" s="21"/>
      <c r="H181" s="21"/>
      <c r="I181" s="41"/>
    </row>
    <row r="182" spans="1:9" ht="18.75" customHeight="1" x14ac:dyDescent="0.35">
      <c r="A182" s="50"/>
      <c r="B182" s="51"/>
      <c r="C182" s="21"/>
      <c r="D182" s="21"/>
      <c r="E182" s="21"/>
      <c r="F182" s="21"/>
      <c r="G182" s="21"/>
      <c r="H182" s="21"/>
      <c r="I182" s="41"/>
    </row>
    <row r="183" spans="1:9" ht="18.75" customHeight="1" x14ac:dyDescent="0.35">
      <c r="A183" s="50"/>
      <c r="B183" s="51"/>
      <c r="C183" s="21"/>
      <c r="D183" s="21"/>
      <c r="E183" s="21"/>
      <c r="F183" s="21"/>
      <c r="G183" s="21"/>
      <c r="H183" s="21"/>
      <c r="I183" s="41"/>
    </row>
    <row r="184" spans="1:9" ht="18.75" customHeight="1" x14ac:dyDescent="0.35">
      <c r="A184" s="50"/>
      <c r="B184" s="51"/>
      <c r="C184" s="21"/>
      <c r="D184" s="21"/>
      <c r="E184" s="21"/>
      <c r="F184" s="21"/>
      <c r="G184" s="21"/>
      <c r="H184" s="21"/>
      <c r="I184" s="41"/>
    </row>
    <row r="185" spans="1:9" ht="18.75" customHeight="1" x14ac:dyDescent="0.35">
      <c r="A185" s="50"/>
      <c r="B185" s="51"/>
      <c r="C185" s="21"/>
      <c r="D185" s="21"/>
      <c r="E185" s="21"/>
      <c r="F185" s="21"/>
      <c r="G185" s="21"/>
      <c r="H185" s="21"/>
      <c r="I185" s="41"/>
    </row>
    <row r="186" spans="1:9" ht="18.75" customHeight="1" x14ac:dyDescent="0.35">
      <c r="A186" s="50"/>
      <c r="B186" s="51"/>
      <c r="C186" s="21"/>
      <c r="D186" s="21"/>
      <c r="E186" s="21"/>
      <c r="F186" s="21"/>
      <c r="G186" s="21"/>
      <c r="H186" s="21"/>
      <c r="I186" s="41"/>
    </row>
    <row r="187" spans="1:9" ht="18.75" customHeight="1" x14ac:dyDescent="0.35">
      <c r="A187" s="50"/>
      <c r="B187" s="51"/>
      <c r="C187" s="21"/>
      <c r="D187" s="21"/>
      <c r="E187" s="21"/>
      <c r="F187" s="21"/>
      <c r="G187" s="21"/>
      <c r="H187" s="21"/>
      <c r="I187" s="41"/>
    </row>
    <row r="188" spans="1:9" ht="18.75" customHeight="1" x14ac:dyDescent="0.35">
      <c r="A188" s="50"/>
      <c r="B188" s="51"/>
      <c r="C188" s="21"/>
      <c r="D188" s="21"/>
      <c r="E188" s="21"/>
      <c r="F188" s="21"/>
      <c r="G188" s="21"/>
      <c r="H188" s="21"/>
      <c r="I188" s="41"/>
    </row>
    <row r="189" spans="1:9" ht="18.75" customHeight="1" x14ac:dyDescent="0.35">
      <c r="A189" s="50"/>
      <c r="B189" s="51"/>
      <c r="C189" s="21"/>
      <c r="D189" s="21"/>
      <c r="E189" s="21"/>
      <c r="F189" s="21"/>
      <c r="G189" s="21"/>
      <c r="H189" s="21"/>
      <c r="I189" s="41"/>
    </row>
    <row r="190" spans="1:9" ht="18.75" customHeight="1" x14ac:dyDescent="0.35">
      <c r="A190" s="50"/>
      <c r="B190" s="51"/>
      <c r="C190" s="21"/>
      <c r="D190" s="21"/>
      <c r="E190" s="21"/>
      <c r="F190" s="21"/>
      <c r="G190" s="21"/>
      <c r="H190" s="21"/>
      <c r="I190" s="41"/>
    </row>
    <row r="191" spans="1:9" ht="18.75" customHeight="1" x14ac:dyDescent="0.35">
      <c r="A191" s="50"/>
      <c r="B191" s="51"/>
      <c r="C191" s="21"/>
      <c r="D191" s="21"/>
      <c r="E191" s="21"/>
      <c r="F191" s="21"/>
      <c r="G191" s="21"/>
      <c r="H191" s="21"/>
      <c r="I191" s="41"/>
    </row>
    <row r="192" spans="1:9" ht="18.75" customHeight="1" x14ac:dyDescent="0.35">
      <c r="A192" s="50"/>
      <c r="B192" s="51"/>
      <c r="C192" s="21"/>
      <c r="D192" s="21"/>
      <c r="E192" s="21"/>
      <c r="F192" s="21"/>
      <c r="G192" s="21"/>
      <c r="H192" s="21"/>
      <c r="I192" s="41"/>
    </row>
    <row r="193" spans="1:9" ht="18.75" customHeight="1" x14ac:dyDescent="0.35">
      <c r="A193" s="50"/>
      <c r="B193" s="51"/>
      <c r="C193" s="21"/>
      <c r="D193" s="21"/>
      <c r="E193" s="21"/>
      <c r="F193" s="21"/>
      <c r="G193" s="21"/>
      <c r="H193" s="21"/>
      <c r="I193" s="41"/>
    </row>
    <row r="194" spans="1:9" ht="18.75" customHeight="1" x14ac:dyDescent="0.35">
      <c r="A194" s="50"/>
      <c r="B194" s="51"/>
      <c r="C194" s="21"/>
      <c r="D194" s="21"/>
      <c r="E194" s="21"/>
      <c r="F194" s="21"/>
      <c r="G194" s="21"/>
      <c r="H194" s="21"/>
      <c r="I194" s="41"/>
    </row>
    <row r="195" spans="1:9" ht="18.75" customHeight="1" x14ac:dyDescent="0.35">
      <c r="A195" s="50"/>
      <c r="B195" s="51"/>
      <c r="C195" s="21"/>
      <c r="D195" s="21"/>
      <c r="E195" s="21"/>
      <c r="F195" s="21"/>
      <c r="G195" s="21"/>
      <c r="H195" s="21"/>
      <c r="I195" s="41"/>
    </row>
    <row r="196" spans="1:9" ht="18.75" customHeight="1" x14ac:dyDescent="0.35">
      <c r="A196" s="50"/>
      <c r="B196" s="51"/>
      <c r="C196" s="21"/>
      <c r="D196" s="21"/>
      <c r="E196" s="21"/>
      <c r="F196" s="21"/>
      <c r="G196" s="21"/>
      <c r="H196" s="21"/>
      <c r="I196" s="41"/>
    </row>
    <row r="197" spans="1:9" ht="18.75" customHeight="1" x14ac:dyDescent="0.35">
      <c r="A197" s="50"/>
      <c r="B197" s="51"/>
      <c r="C197" s="21"/>
      <c r="D197" s="21"/>
      <c r="E197" s="21"/>
      <c r="F197" s="21"/>
      <c r="G197" s="21"/>
      <c r="H197" s="21"/>
      <c r="I197" s="41"/>
    </row>
    <row r="198" spans="1:9" ht="18.75" customHeight="1" x14ac:dyDescent="0.35">
      <c r="A198" s="50"/>
      <c r="B198" s="51"/>
      <c r="C198" s="21"/>
      <c r="D198" s="21"/>
      <c r="E198" s="21"/>
      <c r="F198" s="21"/>
      <c r="G198" s="21"/>
      <c r="H198" s="21"/>
      <c r="I198" s="41"/>
    </row>
    <row r="199" spans="1:9" ht="18.75" customHeight="1" x14ac:dyDescent="0.35">
      <c r="A199" s="23"/>
      <c r="B199" s="28"/>
      <c r="G199" s="2"/>
      <c r="H199" s="3"/>
      <c r="I199" s="29"/>
    </row>
    <row r="200" spans="1:9" ht="18.75" customHeight="1" x14ac:dyDescent="0.35">
      <c r="A200" s="24"/>
      <c r="B200" s="31"/>
      <c r="C200" s="32"/>
      <c r="D200" s="32"/>
      <c r="E200" s="32"/>
      <c r="F200" s="32"/>
      <c r="G200" s="33"/>
      <c r="H200" s="34"/>
      <c r="I200" s="35"/>
    </row>
  </sheetData>
  <mergeCells count="2">
    <mergeCell ref="B10:I10"/>
    <mergeCell ref="B1:F1"/>
  </mergeCells>
  <phoneticPr fontId="23" type="noConversion"/>
  <pageMargins left="0.7" right="0.7" top="0.75" bottom="0.75" header="0.3" footer="0.3"/>
  <pageSetup orientation="portrait" r:id="rId1"/>
  <ignoredErrors>
    <ignoredError sqref="E53" formula="1"/>
    <ignoredError sqref="H45 H142 H5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3EF3F-8536-4654-B1B8-780AEB291AF0}">
  <sheetPr>
    <tabColor theme="9" tint="0.79998168889431442"/>
  </sheetPr>
  <dimension ref="A2:J75"/>
  <sheetViews>
    <sheetView showGridLines="0" zoomScaleNormal="100" workbookViewId="0"/>
  </sheetViews>
  <sheetFormatPr defaultRowHeight="18.75" customHeight="1" x14ac:dyDescent="0.35"/>
  <cols>
    <col min="2" max="10" width="13.54296875" customWidth="1"/>
  </cols>
  <sheetData>
    <row r="2" spans="1:10" ht="18.75" customHeight="1" x14ac:dyDescent="0.35">
      <c r="B2" s="22" t="s">
        <v>45</v>
      </c>
    </row>
    <row r="3" spans="1:10" s="1" customFormat="1" ht="18.75" customHeight="1" x14ac:dyDescent="0.35">
      <c r="A3"/>
      <c r="B3" s="1" t="s">
        <v>60</v>
      </c>
      <c r="F3" s="2"/>
      <c r="G3" s="2" t="s">
        <v>5</v>
      </c>
      <c r="H3" s="4">
        <f>Input!H10</f>
        <v>300</v>
      </c>
      <c r="I3" s="5" t="s">
        <v>4</v>
      </c>
    </row>
    <row r="4" spans="1:10" s="1" customFormat="1" ht="18.75" customHeight="1" x14ac:dyDescent="0.35">
      <c r="A4"/>
      <c r="B4" s="1" t="s">
        <v>59</v>
      </c>
      <c r="F4" s="2"/>
      <c r="G4" s="2" t="s">
        <v>6</v>
      </c>
      <c r="H4" s="4">
        <f>Input!H11</f>
        <v>600</v>
      </c>
      <c r="I4" s="5" t="s">
        <v>4</v>
      </c>
    </row>
    <row r="5" spans="1:10" s="1" customFormat="1" ht="18.75" customHeight="1" x14ac:dyDescent="0.35">
      <c r="A5"/>
      <c r="B5" s="1" t="s">
        <v>8</v>
      </c>
      <c r="G5" s="2" t="s">
        <v>9</v>
      </c>
      <c r="H5" s="4">
        <f>Input!H12</f>
        <v>40</v>
      </c>
      <c r="I5" s="5" t="s">
        <v>4</v>
      </c>
    </row>
    <row r="6" spans="1:10" s="1" customFormat="1" ht="18.75" customHeight="1" x14ac:dyDescent="0.35">
      <c r="A6"/>
      <c r="B6" s="1" t="s">
        <v>123</v>
      </c>
      <c r="G6" s="2" t="s">
        <v>160</v>
      </c>
      <c r="H6" s="4">
        <f>Input!H13</f>
        <v>4000</v>
      </c>
      <c r="I6" s="5" t="s">
        <v>4</v>
      </c>
    </row>
    <row r="7" spans="1:10" ht="18.75" customHeight="1" x14ac:dyDescent="0.35">
      <c r="B7" s="1"/>
      <c r="C7" s="1"/>
      <c r="D7" s="1"/>
      <c r="E7" s="1"/>
      <c r="F7" s="1"/>
      <c r="G7" s="2"/>
      <c r="H7" s="3"/>
      <c r="I7" s="5"/>
    </row>
    <row r="8" spans="1:10" ht="18.75" customHeight="1" x14ac:dyDescent="0.35">
      <c r="B8" s="1" t="s">
        <v>2</v>
      </c>
      <c r="C8" s="1"/>
      <c r="D8" s="1"/>
      <c r="E8" s="1"/>
      <c r="F8" s="1"/>
      <c r="G8" s="2" t="s">
        <v>3</v>
      </c>
      <c r="H8" s="4">
        <f>Input!H28</f>
        <v>22</v>
      </c>
      <c r="I8" s="5" t="s">
        <v>4</v>
      </c>
    </row>
    <row r="9" spans="1:10" ht="18.75" customHeight="1" x14ac:dyDescent="0.35">
      <c r="B9" s="1" t="s">
        <v>1</v>
      </c>
      <c r="C9" s="1"/>
      <c r="D9" s="1"/>
      <c r="E9" s="1" t="s">
        <v>15</v>
      </c>
      <c r="F9" s="1"/>
      <c r="G9" s="2" t="s">
        <v>17</v>
      </c>
      <c r="H9" s="4">
        <f>Input!H29</f>
        <v>7</v>
      </c>
      <c r="I9" s="5"/>
    </row>
    <row r="10" spans="1:10" ht="18.75" customHeight="1" x14ac:dyDescent="0.35">
      <c r="B10" s="1"/>
      <c r="C10" s="1"/>
      <c r="D10" s="1"/>
      <c r="E10" s="1" t="s">
        <v>16</v>
      </c>
      <c r="F10" s="1"/>
      <c r="G10" s="2" t="s">
        <v>18</v>
      </c>
      <c r="H10" s="4">
        <f>Input!H30</f>
        <v>3</v>
      </c>
      <c r="I10" s="5"/>
    </row>
    <row r="12" spans="1:10" s="1" customFormat="1" ht="18.75" customHeight="1" x14ac:dyDescent="0.35">
      <c r="A12"/>
      <c r="B12" s="1" t="s">
        <v>124</v>
      </c>
      <c r="G12" s="2" t="s">
        <v>3</v>
      </c>
      <c r="H12" s="4">
        <f>Input!H45</f>
        <v>13</v>
      </c>
      <c r="I12" s="5" t="s">
        <v>4</v>
      </c>
      <c r="J12" s="5"/>
    </row>
    <row r="13" spans="1:10" s="1" customFormat="1" ht="18.75" customHeight="1" x14ac:dyDescent="0.35">
      <c r="A13"/>
      <c r="B13" s="1" t="s">
        <v>144</v>
      </c>
      <c r="E13" s="1" t="s">
        <v>15</v>
      </c>
      <c r="G13" s="2" t="s">
        <v>147</v>
      </c>
      <c r="H13" s="4">
        <f>Input!H46</f>
        <v>5</v>
      </c>
      <c r="I13"/>
      <c r="J13" s="5"/>
    </row>
    <row r="14" spans="1:10" s="1" customFormat="1" ht="18.75" customHeight="1" x14ac:dyDescent="0.35">
      <c r="A14"/>
      <c r="E14" s="1" t="s">
        <v>16</v>
      </c>
      <c r="G14" s="2" t="s">
        <v>148</v>
      </c>
      <c r="H14" s="4">
        <f>Input!H47</f>
        <v>3</v>
      </c>
      <c r="I14"/>
      <c r="J14" s="5"/>
    </row>
    <row r="15" spans="1:10" s="1" customFormat="1" ht="18.75" customHeight="1" x14ac:dyDescent="0.35">
      <c r="A15"/>
      <c r="B15" s="1" t="s">
        <v>127</v>
      </c>
      <c r="G15" s="2" t="s">
        <v>128</v>
      </c>
      <c r="H15" s="91">
        <f>Input!H48</f>
        <v>78.666666666666671</v>
      </c>
      <c r="I15" s="5" t="s">
        <v>4</v>
      </c>
      <c r="J15" s="5"/>
    </row>
    <row r="16" spans="1:10" s="1" customFormat="1" ht="18.649999999999999" customHeight="1" x14ac:dyDescent="0.35">
      <c r="A16"/>
      <c r="B16" s="1" t="s">
        <v>102</v>
      </c>
      <c r="I16"/>
      <c r="J16" s="5"/>
    </row>
    <row r="17" spans="1:10" s="1" customFormat="1" ht="18.75" customHeight="1" x14ac:dyDescent="0.35">
      <c r="A17"/>
      <c r="G17" s="2" t="s">
        <v>101</v>
      </c>
      <c r="H17" s="91">
        <f>Input!H50</f>
        <v>157.33333333333334</v>
      </c>
      <c r="I17" s="5" t="s">
        <v>4</v>
      </c>
      <c r="J17" s="5"/>
    </row>
    <row r="18" spans="1:10" s="1" customFormat="1" ht="18.75" customHeight="1" x14ac:dyDescent="0.35">
      <c r="A18"/>
      <c r="G18" s="2"/>
      <c r="H18" s="2"/>
      <c r="I18"/>
      <c r="J18" s="5"/>
    </row>
    <row r="19" spans="1:10" s="1" customFormat="1" ht="18.75" customHeight="1" x14ac:dyDescent="0.35">
      <c r="A19"/>
      <c r="B19" s="1" t="s">
        <v>189</v>
      </c>
      <c r="G19" s="2" t="s">
        <v>191</v>
      </c>
      <c r="H19" s="4">
        <f>Input!H52</f>
        <v>75</v>
      </c>
      <c r="I19" s="5" t="s">
        <v>4</v>
      </c>
      <c r="J19" s="5"/>
    </row>
    <row r="20" spans="1:10" s="1" customFormat="1" ht="18.75" customHeight="1" x14ac:dyDescent="0.35">
      <c r="A20"/>
      <c r="B20" s="1" t="s">
        <v>190</v>
      </c>
      <c r="G20" s="2" t="s">
        <v>192</v>
      </c>
      <c r="H20" s="4">
        <f>Input!H53</f>
        <v>120</v>
      </c>
      <c r="I20" s="5" t="s">
        <v>4</v>
      </c>
      <c r="J20" s="5"/>
    </row>
    <row r="21" spans="1:10" s="1" customFormat="1" ht="18.75" customHeight="1" x14ac:dyDescent="0.35">
      <c r="A21"/>
      <c r="G21" s="2"/>
      <c r="H21" s="3"/>
      <c r="I21" s="5"/>
      <c r="J21" s="5"/>
    </row>
    <row r="22" spans="1:10" ht="18.75" customHeight="1" x14ac:dyDescent="0.35">
      <c r="B22" s="21" t="s">
        <v>194</v>
      </c>
      <c r="C22" s="21"/>
      <c r="D22" s="21"/>
      <c r="E22" s="21"/>
      <c r="F22" s="21"/>
      <c r="G22" s="21"/>
      <c r="H22" s="21"/>
      <c r="I22" s="21"/>
    </row>
    <row r="23" spans="1:10" ht="18.75" customHeight="1" x14ac:dyDescent="0.35">
      <c r="B23" s="21" t="s">
        <v>184</v>
      </c>
      <c r="C23" s="21"/>
      <c r="D23" s="21"/>
      <c r="E23" s="21"/>
      <c r="F23" s="21"/>
      <c r="G23" s="21"/>
      <c r="H23" s="21"/>
      <c r="I23" s="21"/>
    </row>
    <row r="24" spans="1:10" ht="18.75" customHeight="1" x14ac:dyDescent="0.35">
      <c r="B24" s="9"/>
      <c r="C24" s="3" t="s">
        <v>193</v>
      </c>
      <c r="D24" s="3" t="s">
        <v>79</v>
      </c>
      <c r="E24" s="3">
        <v>150</v>
      </c>
      <c r="F24" s="1"/>
      <c r="G24" s="1"/>
      <c r="H24" s="21"/>
      <c r="I24" s="21"/>
    </row>
    <row r="25" spans="1:10" ht="18.75" customHeight="1" x14ac:dyDescent="0.35">
      <c r="B25" s="1"/>
      <c r="C25" s="58">
        <f>'Process (1)'!C6</f>
        <v>78.666666666666671</v>
      </c>
      <c r="D25" s="3" t="str">
        <f>IF(C25&gt;E25,"&gt;","≤")</f>
        <v>≤</v>
      </c>
      <c r="E25" s="69">
        <f>'Process (1)'!E6</f>
        <v>150</v>
      </c>
      <c r="F25" s="6" t="s">
        <v>20</v>
      </c>
      <c r="G25" s="7" t="str">
        <f>IF(C25&lt;=E25,"[ OK ]","[ NOT OK ]")</f>
        <v>[ OK ]</v>
      </c>
      <c r="H25" s="21"/>
      <c r="I25" s="21"/>
    </row>
    <row r="26" spans="1:10" ht="18.75" customHeight="1" x14ac:dyDescent="0.35">
      <c r="B26" s="21"/>
      <c r="C26" s="21"/>
      <c r="D26" s="21"/>
      <c r="E26" s="21"/>
      <c r="F26" s="21"/>
      <c r="G26" s="21"/>
      <c r="H26" s="21"/>
      <c r="I26" s="21"/>
    </row>
    <row r="27" spans="1:10" ht="18.75" customHeight="1" x14ac:dyDescent="0.35">
      <c r="B27" s="1" t="s">
        <v>195</v>
      </c>
      <c r="C27" s="1"/>
      <c r="D27" s="1"/>
      <c r="E27" s="1"/>
      <c r="F27" s="1"/>
      <c r="G27" s="1"/>
      <c r="H27" s="1"/>
      <c r="I27" s="1"/>
    </row>
    <row r="28" spans="1:10" ht="18.75" customHeight="1" x14ac:dyDescent="0.35">
      <c r="B28" s="9" t="s">
        <v>103</v>
      </c>
      <c r="C28" s="1"/>
      <c r="D28" s="1"/>
      <c r="E28" s="1"/>
      <c r="F28" s="1"/>
      <c r="G28" s="1"/>
      <c r="H28" s="1"/>
      <c r="I28" s="1"/>
    </row>
    <row r="29" spans="1:10" ht="18.75" customHeight="1" x14ac:dyDescent="0.35">
      <c r="B29" s="119" t="s">
        <v>104</v>
      </c>
      <c r="C29" s="119"/>
      <c r="D29" s="119"/>
      <c r="E29" s="119"/>
      <c r="F29" s="119"/>
      <c r="G29" s="119"/>
      <c r="H29" s="119"/>
      <c r="I29" s="119"/>
    </row>
    <row r="30" spans="1:10" ht="18.75" customHeight="1" x14ac:dyDescent="0.35">
      <c r="B30" s="9" t="s">
        <v>94</v>
      </c>
      <c r="C30" s="1"/>
      <c r="D30" s="1"/>
      <c r="E30" s="1"/>
      <c r="F30" s="1"/>
      <c r="G30" s="1"/>
      <c r="H30" s="1"/>
      <c r="I30" s="1"/>
    </row>
    <row r="31" spans="1:10" ht="18.75" customHeight="1" x14ac:dyDescent="0.35">
      <c r="B31" s="1"/>
      <c r="C31" s="3" t="s">
        <v>95</v>
      </c>
      <c r="D31" s="3" t="s">
        <v>24</v>
      </c>
      <c r="E31" s="3" t="s">
        <v>97</v>
      </c>
      <c r="F31" s="1"/>
      <c r="G31" s="3" t="s">
        <v>98</v>
      </c>
      <c r="H31" s="3" t="s">
        <v>24</v>
      </c>
      <c r="I31" s="3">
        <v>70</v>
      </c>
    </row>
    <row r="32" spans="1:10" ht="18.75" customHeight="1" x14ac:dyDescent="0.35">
      <c r="B32" s="1"/>
      <c r="C32" s="69">
        <f>'Process (1)'!C13</f>
        <v>23000</v>
      </c>
      <c r="D32" s="3" t="str">
        <f>IF(C32&gt;E32,"&gt;","≤")</f>
        <v>≤</v>
      </c>
      <c r="E32" s="69">
        <f>'Process (1)'!E13</f>
        <v>1890000</v>
      </c>
      <c r="F32" s="1"/>
      <c r="G32" s="69">
        <f>'Process (1)'!G13</f>
        <v>35</v>
      </c>
      <c r="H32" s="3" t="str">
        <f>IF(G32&gt;I32,"&gt;","≤")</f>
        <v>≤</v>
      </c>
      <c r="I32" s="69">
        <f>I31</f>
        <v>70</v>
      </c>
    </row>
    <row r="33" spans="2:9" ht="18.75" customHeight="1" x14ac:dyDescent="0.35">
      <c r="B33" s="1"/>
      <c r="C33" s="1"/>
      <c r="D33" s="1"/>
      <c r="E33" s="1"/>
      <c r="F33" s="1"/>
      <c r="G33" s="1"/>
      <c r="H33" s="1"/>
      <c r="I33" s="1"/>
    </row>
    <row r="34" spans="2:9" ht="18.75" customHeight="1" x14ac:dyDescent="0.35">
      <c r="B34" s="9" t="s">
        <v>96</v>
      </c>
      <c r="C34" s="8" t="s">
        <v>20</v>
      </c>
      <c r="D34" s="7" t="str">
        <f>IF(OR(C32&gt;E32,G32&gt;I32),"[ hx ≤ 200 mm ]","[ hx ≤ 350 mm ]")</f>
        <v>[ hx ≤ 350 mm ]</v>
      </c>
      <c r="E34" s="73" t="str">
        <f>IF(D34="[ hx ≤ 200 mm ]","dan [ ikat silang harus mengikat semua tul. Longitudinal ]","")</f>
        <v/>
      </c>
      <c r="F34" s="1"/>
      <c r="G34" s="1"/>
      <c r="H34" s="1"/>
      <c r="I34" s="1"/>
    </row>
    <row r="35" spans="2:9" ht="18.75" customHeight="1" x14ac:dyDescent="0.35">
      <c r="B35" s="1"/>
      <c r="C35" s="1"/>
      <c r="D35" s="1"/>
      <c r="E35" s="1"/>
      <c r="F35" s="1"/>
      <c r="G35" s="1"/>
      <c r="H35" s="1"/>
      <c r="I35" s="1"/>
    </row>
    <row r="36" spans="2:9" ht="18.75" customHeight="1" x14ac:dyDescent="0.35">
      <c r="B36" s="9" t="s">
        <v>99</v>
      </c>
      <c r="C36" s="3" t="s">
        <v>100</v>
      </c>
      <c r="D36" s="3" t="s">
        <v>79</v>
      </c>
      <c r="E36" s="3">
        <f>IF(D34="[ hx ≤ 350 mm ]",350,200)</f>
        <v>350</v>
      </c>
      <c r="F36" s="1"/>
      <c r="G36" s="1"/>
      <c r="H36" s="1"/>
      <c r="I36" s="1"/>
    </row>
    <row r="37" spans="2:9" ht="18.75" customHeight="1" x14ac:dyDescent="0.35">
      <c r="B37" s="1"/>
      <c r="C37" s="69">
        <f>'Process (1)'!C18</f>
        <v>157.33333333333334</v>
      </c>
      <c r="D37" s="3" t="str">
        <f>IF(C37&gt;E37,"&gt;","≤")</f>
        <v>≤</v>
      </c>
      <c r="E37" s="69">
        <f>'Process (1)'!E18</f>
        <v>350</v>
      </c>
      <c r="F37" s="6" t="s">
        <v>20</v>
      </c>
      <c r="G37" s="7" t="str">
        <f>IF(C37&lt;=E37,"[ OK ]","[ NOT OK ]")</f>
        <v>[ OK ]</v>
      </c>
      <c r="H37" s="1"/>
      <c r="I37" s="1"/>
    </row>
    <row r="39" spans="2:9" ht="18.75" customHeight="1" x14ac:dyDescent="0.35">
      <c r="B39" s="92" t="s">
        <v>126</v>
      </c>
      <c r="C39" s="21"/>
      <c r="D39" s="21"/>
      <c r="E39" s="21"/>
      <c r="F39" s="21"/>
    </row>
    <row r="40" spans="2:9" ht="18.75" customHeight="1" x14ac:dyDescent="0.35">
      <c r="B40" s="93" t="s">
        <v>115</v>
      </c>
      <c r="C40" s="21"/>
      <c r="D40" s="21"/>
      <c r="E40" s="21"/>
      <c r="F40" s="21"/>
      <c r="G40" s="53"/>
      <c r="H40" s="53"/>
    </row>
    <row r="41" spans="2:9" ht="18.75" customHeight="1" x14ac:dyDescent="0.35">
      <c r="B41" s="1"/>
      <c r="C41" s="3" t="s">
        <v>84</v>
      </c>
      <c r="D41" s="60" t="s">
        <v>79</v>
      </c>
      <c r="E41" s="62" t="s">
        <v>244</v>
      </c>
      <c r="F41" s="60" t="s">
        <v>79</v>
      </c>
      <c r="G41" s="62" t="s">
        <v>85</v>
      </c>
      <c r="H41" s="3"/>
    </row>
    <row r="42" spans="2:9" ht="18.75" customHeight="1" x14ac:dyDescent="0.35">
      <c r="B42" s="9"/>
      <c r="C42" s="58">
        <f>'Process (1)'!C53</f>
        <v>53.333333333333329</v>
      </c>
      <c r="D42" s="3" t="str">
        <f>IF(C42&gt;E42,"&gt;","≤")</f>
        <v>≤</v>
      </c>
      <c r="E42" s="58">
        <f>'Process (1)'!E53</f>
        <v>75</v>
      </c>
      <c r="F42" s="3" t="str">
        <f>IF(E42&gt;G42,"&gt;","≤")</f>
        <v>≤</v>
      </c>
      <c r="G42" s="58">
        <f>'Process (1)'!G53</f>
        <v>75</v>
      </c>
      <c r="H42" s="61" t="str">
        <f>IF(AND(C42&lt;=E42,E42&lt;=G42),"→   [ OK ]","→   [ NOT OK ]")</f>
        <v>→   [ OK ]</v>
      </c>
    </row>
    <row r="43" spans="2:9" ht="18.75" customHeight="1" x14ac:dyDescent="0.35">
      <c r="B43" s="21"/>
      <c r="C43" s="21"/>
      <c r="D43" s="21"/>
      <c r="E43" s="21"/>
      <c r="F43" s="21"/>
      <c r="G43" s="21"/>
      <c r="H43" s="21"/>
    </row>
    <row r="44" spans="2:9" ht="18.75" customHeight="1" x14ac:dyDescent="0.35">
      <c r="B44" s="21" t="s">
        <v>247</v>
      </c>
      <c r="C44" s="21"/>
      <c r="D44" s="21"/>
      <c r="E44" s="21"/>
      <c r="F44" s="21"/>
      <c r="G44" s="53" t="s">
        <v>248</v>
      </c>
      <c r="H44" s="74">
        <f>'Process (1)'!H59</f>
        <v>666.66666666666663</v>
      </c>
      <c r="I44" s="5" t="s">
        <v>4</v>
      </c>
    </row>
    <row r="45" spans="2:9" ht="18.75" customHeight="1" x14ac:dyDescent="0.35">
      <c r="B45" s="94"/>
      <c r="C45" s="21"/>
      <c r="D45" s="21"/>
      <c r="E45" s="21"/>
      <c r="F45" s="21"/>
    </row>
    <row r="46" spans="2:9" ht="18.75" customHeight="1" x14ac:dyDescent="0.35">
      <c r="B46" s="21" t="s">
        <v>221</v>
      </c>
      <c r="C46" s="21"/>
      <c r="D46" s="21"/>
      <c r="E46" s="21"/>
      <c r="F46" s="21"/>
      <c r="G46" s="88">
        <f>'Process (1)'!G84</f>
        <v>5</v>
      </c>
      <c r="H46" s="89" t="str">
        <f>'Process (1)'!H84</f>
        <v xml:space="preserve">  D13 - 75</v>
      </c>
      <c r="I46" s="5"/>
    </row>
    <row r="47" spans="2:9" ht="18.75" customHeight="1" x14ac:dyDescent="0.35">
      <c r="B47" s="1" t="s">
        <v>151</v>
      </c>
      <c r="C47" s="1"/>
      <c r="D47" s="3" t="s">
        <v>238</v>
      </c>
      <c r="E47" s="60" t="s">
        <v>152</v>
      </c>
      <c r="F47" s="3" t="s">
        <v>235</v>
      </c>
      <c r="G47" s="1"/>
      <c r="H47" s="1"/>
      <c r="I47" s="21"/>
    </row>
    <row r="48" spans="2:9" ht="18.75" customHeight="1" x14ac:dyDescent="0.35">
      <c r="B48" s="1"/>
      <c r="C48" s="81" t="s">
        <v>153</v>
      </c>
      <c r="D48" s="58">
        <f>'Process (1)'!D86</f>
        <v>663.32499999999993</v>
      </c>
      <c r="E48" s="3" t="str">
        <f>IF(D48&gt;=F48,"≥","&lt;")</f>
        <v>≥</v>
      </c>
      <c r="F48" s="58">
        <f>'Process (1)'!F86</f>
        <v>559.09090909090901</v>
      </c>
      <c r="G48" s="6" t="s">
        <v>20</v>
      </c>
      <c r="H48" s="7" t="str">
        <f>IF(D48&gt;=F48,"[ OK ]","[ NOT OK ]")</f>
        <v>[ OK ]</v>
      </c>
      <c r="I48" s="21"/>
    </row>
    <row r="49" spans="2:9" ht="18.75" customHeight="1" x14ac:dyDescent="0.35">
      <c r="B49" s="21"/>
      <c r="C49" s="81"/>
      <c r="D49" s="87"/>
      <c r="E49" s="3"/>
      <c r="F49" s="87"/>
      <c r="G49" s="6"/>
      <c r="H49" s="7"/>
      <c r="I49" s="21"/>
    </row>
    <row r="50" spans="2:9" ht="18.75" customHeight="1" x14ac:dyDescent="0.35">
      <c r="B50" s="21" t="s">
        <v>224</v>
      </c>
      <c r="C50" s="21"/>
      <c r="D50" s="21"/>
      <c r="E50" s="21"/>
      <c r="F50" s="21"/>
      <c r="G50" s="88">
        <f>'Process (1)'!G97</f>
        <v>3</v>
      </c>
      <c r="H50" s="89" t="str">
        <f>'Process (1)'!H97</f>
        <v xml:space="preserve">  D13 - 75</v>
      </c>
    </row>
    <row r="51" spans="2:9" ht="18.75" customHeight="1" x14ac:dyDescent="0.35">
      <c r="B51" s="1" t="s">
        <v>151</v>
      </c>
      <c r="C51" s="1"/>
      <c r="D51" s="3" t="s">
        <v>242</v>
      </c>
      <c r="E51" s="60" t="s">
        <v>152</v>
      </c>
      <c r="F51" s="3" t="s">
        <v>243</v>
      </c>
      <c r="G51" s="1"/>
      <c r="H51" s="1"/>
    </row>
    <row r="52" spans="2:9" ht="18.75" customHeight="1" x14ac:dyDescent="0.35">
      <c r="B52" s="1"/>
      <c r="C52" s="81" t="s">
        <v>153</v>
      </c>
      <c r="D52" s="58">
        <f>'Process (1)'!D99</f>
        <v>397.995</v>
      </c>
      <c r="E52" s="3" t="str">
        <f>IF(D52&gt;=F52,"≥","&lt;")</f>
        <v>≥</v>
      </c>
      <c r="F52" s="58">
        <f>'Process (1)'!F99</f>
        <v>236.53846153846149</v>
      </c>
      <c r="G52" s="6" t="s">
        <v>20</v>
      </c>
      <c r="H52" s="7" t="str">
        <f>IF(D52&gt;=F52,"[ OK ]","[ NOT OK ]")</f>
        <v>[ OK ]</v>
      </c>
    </row>
    <row r="54" spans="2:9" ht="18.75" customHeight="1" x14ac:dyDescent="0.35">
      <c r="B54" s="92" t="s">
        <v>155</v>
      </c>
      <c r="C54" s="21"/>
      <c r="D54" s="21"/>
      <c r="E54" s="21"/>
      <c r="F54" s="21"/>
      <c r="G54" s="21"/>
      <c r="H54" s="21"/>
      <c r="I54" s="21"/>
    </row>
    <row r="55" spans="2:9" ht="18.75" customHeight="1" x14ac:dyDescent="0.35">
      <c r="B55" s="1"/>
      <c r="C55" s="3" t="s">
        <v>84</v>
      </c>
      <c r="D55" s="60" t="s">
        <v>79</v>
      </c>
      <c r="E55" s="62" t="s">
        <v>245</v>
      </c>
      <c r="F55" s="60" t="s">
        <v>79</v>
      </c>
      <c r="G55" s="62" t="s">
        <v>85</v>
      </c>
      <c r="H55" s="3"/>
      <c r="I55" s="21"/>
    </row>
    <row r="56" spans="2:9" ht="18.75" customHeight="1" x14ac:dyDescent="0.35">
      <c r="B56" s="9"/>
      <c r="C56" s="58">
        <f>'Process (1)'!C112</f>
        <v>53.333333333333329</v>
      </c>
      <c r="D56" s="3" t="str">
        <f>IF(C56&gt;E56,"&gt;","≤")</f>
        <v>≤</v>
      </c>
      <c r="E56" s="58">
        <f>'Process (1)'!E112</f>
        <v>120</v>
      </c>
      <c r="F56" s="3" t="str">
        <f>IF(E56&gt;G56,"&gt;","≤")</f>
        <v>≤</v>
      </c>
      <c r="G56" s="58">
        <f>'Process (1)'!G112</f>
        <v>132</v>
      </c>
      <c r="H56" s="61" t="str">
        <f>IF(AND(C56&lt;=E56,E56&lt;=G56),"→   [ OK ]","→   [ NOT OK ]")</f>
        <v>→   [ OK ]</v>
      </c>
      <c r="I56" s="21"/>
    </row>
    <row r="57" spans="2:9" ht="18.75" customHeight="1" x14ac:dyDescent="0.35">
      <c r="B57" s="9"/>
      <c r="C57" s="87"/>
      <c r="D57" s="3"/>
      <c r="E57" s="87"/>
      <c r="F57" s="3"/>
      <c r="G57" s="87"/>
      <c r="H57" s="61"/>
      <c r="I57" s="21"/>
    </row>
    <row r="58" spans="2:9" ht="18.75" customHeight="1" x14ac:dyDescent="0.35">
      <c r="B58" s="21" t="s">
        <v>200</v>
      </c>
      <c r="C58" s="21"/>
      <c r="D58" s="21"/>
      <c r="E58" s="21"/>
      <c r="F58" s="21"/>
      <c r="G58" s="88">
        <f>'Process (1)'!G114</f>
        <v>5</v>
      </c>
      <c r="H58" s="89" t="str">
        <f>'Process (1)'!H114</f>
        <v xml:space="preserve">  D13 - 120</v>
      </c>
      <c r="I58" s="5"/>
    </row>
    <row r="59" spans="2:9" ht="18.75" customHeight="1" x14ac:dyDescent="0.35">
      <c r="B59" s="21" t="s">
        <v>201</v>
      </c>
      <c r="C59" s="21"/>
      <c r="D59" s="21"/>
      <c r="E59" s="21"/>
      <c r="F59" s="21"/>
      <c r="G59" s="88">
        <f>'Process (1)'!G115</f>
        <v>3</v>
      </c>
      <c r="H59" s="89" t="str">
        <f>'Process (1)'!H115</f>
        <v xml:space="preserve">  D13 - 120</v>
      </c>
      <c r="I59" s="5"/>
    </row>
    <row r="61" spans="2:9" ht="18.75" customHeight="1" x14ac:dyDescent="0.35">
      <c r="B61" s="12" t="s">
        <v>157</v>
      </c>
    </row>
    <row r="62" spans="2:9" ht="18.75" customHeight="1" x14ac:dyDescent="0.35">
      <c r="B62" s="21" t="s">
        <v>165</v>
      </c>
      <c r="C62" s="21"/>
      <c r="D62" s="21"/>
      <c r="E62" s="21"/>
      <c r="F62" s="21"/>
      <c r="G62" s="21"/>
      <c r="H62" s="21"/>
      <c r="I62" s="21"/>
    </row>
    <row r="63" spans="2:9" ht="18.75" customHeight="1" x14ac:dyDescent="0.35">
      <c r="B63" s="21"/>
      <c r="C63" s="21"/>
      <c r="D63" s="3" t="s">
        <v>80</v>
      </c>
      <c r="E63" s="60" t="s">
        <v>24</v>
      </c>
      <c r="F63" s="3" t="s">
        <v>167</v>
      </c>
      <c r="G63" s="1"/>
      <c r="H63" s="1"/>
      <c r="I63" s="21"/>
    </row>
    <row r="64" spans="2:9" ht="18.75" customHeight="1" x14ac:dyDescent="0.35">
      <c r="B64" s="21"/>
      <c r="C64" s="37" t="s">
        <v>166</v>
      </c>
      <c r="D64" s="58">
        <f>'Process (1)'!D162</f>
        <v>275</v>
      </c>
      <c r="E64" s="3" t="str">
        <f>IF(D64&gt;F64,"&gt;","≤")</f>
        <v>&gt;</v>
      </c>
      <c r="F64" s="58">
        <f>'Process (1)'!F162</f>
        <v>230.51656008497389</v>
      </c>
      <c r="G64" s="82" t="str">
        <f>IF(D64&gt;=F64,"→    [ perlu tul. Geser ]","→    [ tidak perlu tul. geser ]")</f>
        <v>→    [ perlu tul. Geser ]</v>
      </c>
      <c r="H64" s="1"/>
      <c r="I64" s="21"/>
    </row>
    <row r="65" spans="2:9" ht="18.75" customHeight="1" x14ac:dyDescent="0.35">
      <c r="B65" s="21"/>
      <c r="C65" s="21"/>
      <c r="D65" s="21"/>
      <c r="E65" s="21"/>
      <c r="F65" s="21"/>
      <c r="G65" s="21"/>
      <c r="H65" s="21"/>
      <c r="I65" s="21"/>
    </row>
    <row r="66" spans="2:9" ht="18.75" customHeight="1" x14ac:dyDescent="0.35">
      <c r="B66" s="21" t="s">
        <v>168</v>
      </c>
      <c r="C66" s="21"/>
      <c r="D66" s="21"/>
      <c r="E66" s="21"/>
      <c r="F66" s="21"/>
      <c r="G66" s="2" t="s">
        <v>169</v>
      </c>
      <c r="H66" s="57">
        <f>'Process (1)'!H164</f>
        <v>19.75987913780477</v>
      </c>
      <c r="I66" s="5" t="s">
        <v>21</v>
      </c>
    </row>
    <row r="67" spans="2:9" ht="18.75" customHeight="1" x14ac:dyDescent="0.35">
      <c r="B67" s="21" t="s">
        <v>196</v>
      </c>
      <c r="C67" s="21"/>
      <c r="D67" s="21"/>
      <c r="E67" s="21"/>
      <c r="F67" s="21"/>
      <c r="G67" s="2" t="s">
        <v>197</v>
      </c>
      <c r="H67" s="57">
        <f>'Process (1)'!H165</f>
        <v>663.32500000000005</v>
      </c>
      <c r="I67" s="5" t="s">
        <v>183</v>
      </c>
    </row>
    <row r="68" spans="2:9" ht="18.75" customHeight="1" x14ac:dyDescent="0.35">
      <c r="B68" s="21"/>
      <c r="C68" s="21"/>
      <c r="D68" s="21"/>
      <c r="E68" s="21"/>
      <c r="F68" s="21"/>
      <c r="G68" s="21"/>
      <c r="H68" s="21"/>
      <c r="I68" s="21"/>
    </row>
    <row r="69" spans="2:9" ht="18.75" customHeight="1" x14ac:dyDescent="0.35">
      <c r="B69" s="93" t="s">
        <v>22</v>
      </c>
      <c r="C69" s="1"/>
      <c r="D69" s="3" t="s">
        <v>171</v>
      </c>
      <c r="E69" s="60" t="s">
        <v>24</v>
      </c>
      <c r="F69" s="3" t="s">
        <v>170</v>
      </c>
      <c r="G69" s="5"/>
      <c r="H69" s="3"/>
      <c r="I69" s="21"/>
    </row>
    <row r="70" spans="2:9" ht="18.75" customHeight="1" x14ac:dyDescent="0.35">
      <c r="B70" s="1"/>
      <c r="C70" s="37" t="s">
        <v>177</v>
      </c>
      <c r="D70" s="58">
        <f>'Process (1)'!D168</f>
        <v>663.32500000000005</v>
      </c>
      <c r="E70" s="3" t="str">
        <f>IF(D70&gt;F70,"&gt;","≤")</f>
        <v>&gt;</v>
      </c>
      <c r="F70" s="58">
        <f>'Process (1)'!F168</f>
        <v>19.75987913780477</v>
      </c>
      <c r="G70" s="6" t="s">
        <v>20</v>
      </c>
      <c r="H70" s="7" t="str">
        <f>IF(D70&gt;F70,"[ OK ]","[ NOT OK ]")</f>
        <v>[ OK ]</v>
      </c>
      <c r="I70" s="21"/>
    </row>
    <row r="71" spans="2:9" ht="18.75" customHeight="1" x14ac:dyDescent="0.35">
      <c r="B71" s="21"/>
      <c r="C71" s="21"/>
      <c r="D71" s="21"/>
      <c r="E71" s="21"/>
      <c r="F71" s="21"/>
      <c r="G71" s="21"/>
      <c r="H71" s="21"/>
      <c r="I71" s="21"/>
    </row>
    <row r="72" spans="2:9" ht="18.75" customHeight="1" x14ac:dyDescent="0.35">
      <c r="B72" s="21" t="s">
        <v>178</v>
      </c>
      <c r="C72" s="21"/>
      <c r="D72" s="21"/>
      <c r="E72" s="21"/>
      <c r="F72" s="21"/>
      <c r="G72" s="2" t="s">
        <v>179</v>
      </c>
      <c r="H72" s="57">
        <f>'Process (1)'!H170</f>
        <v>1991.0363200000002</v>
      </c>
      <c r="I72" s="5" t="s">
        <v>19</v>
      </c>
    </row>
    <row r="73" spans="2:9" ht="18.75" customHeight="1" x14ac:dyDescent="0.35">
      <c r="B73" s="21" t="s">
        <v>180</v>
      </c>
      <c r="C73" s="21"/>
      <c r="D73" s="21"/>
      <c r="E73" s="21"/>
      <c r="F73" s="21"/>
      <c r="G73" s="2" t="s">
        <v>181</v>
      </c>
      <c r="H73" s="57">
        <f>'Process (1)'!H171</f>
        <v>2298.3917334466319</v>
      </c>
      <c r="I73" s="5" t="s">
        <v>19</v>
      </c>
    </row>
    <row r="74" spans="2:9" ht="18.75" customHeight="1" x14ac:dyDescent="0.35">
      <c r="B74" s="93" t="s">
        <v>22</v>
      </c>
      <c r="C74" s="1"/>
      <c r="D74" s="3" t="s">
        <v>80</v>
      </c>
      <c r="E74" s="60" t="s">
        <v>23</v>
      </c>
      <c r="F74" s="3" t="s">
        <v>182</v>
      </c>
      <c r="G74" s="5"/>
      <c r="H74" s="3"/>
      <c r="I74" s="21"/>
    </row>
    <row r="75" spans="2:9" ht="18.75" customHeight="1" x14ac:dyDescent="0.35">
      <c r="B75" s="1"/>
      <c r="C75" s="37" t="s">
        <v>177</v>
      </c>
      <c r="D75" s="58">
        <f>'Process (1)'!D173</f>
        <v>275</v>
      </c>
      <c r="E75" s="3" t="str">
        <f>IF(D75&lt;F75,"&lt;","≥")</f>
        <v>&lt;</v>
      </c>
      <c r="F75" s="58">
        <f>'Process (1)'!F173</f>
        <v>1723.793800084974</v>
      </c>
      <c r="G75" s="6" t="s">
        <v>20</v>
      </c>
      <c r="H75" s="7" t="str">
        <f>IF(D75&lt;F75,"[ OK ]","[ NOT OK ]")</f>
        <v>[ OK ]</v>
      </c>
      <c r="I75" s="21"/>
    </row>
  </sheetData>
  <mergeCells count="1">
    <mergeCell ref="B29:I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B9522-011E-4E4A-A7F0-B06BCA8FCE14}">
  <sheetPr>
    <tabColor theme="4" tint="0.79998168889431442"/>
  </sheetPr>
  <dimension ref="A1:I248"/>
  <sheetViews>
    <sheetView showGridLines="0" view="pageLayout" zoomScale="115" zoomScaleNormal="100" zoomScalePageLayoutView="115" workbookViewId="0">
      <selection sqref="A1:I1"/>
    </sheetView>
  </sheetViews>
  <sheetFormatPr defaultColWidth="9.1796875" defaultRowHeight="18.75" customHeight="1" x14ac:dyDescent="0.35"/>
  <cols>
    <col min="1" max="1" width="4.453125" style="7" bestFit="1" customWidth="1"/>
    <col min="2" max="8" width="10.453125" style="1" customWidth="1"/>
    <col min="9" max="9" width="10" style="1" customWidth="1"/>
    <col min="10" max="16384" width="9.1796875" style="1"/>
  </cols>
  <sheetData>
    <row r="1" spans="1:9" ht="18.75" customHeight="1" x14ac:dyDescent="0.35">
      <c r="A1" s="121" t="s">
        <v>26</v>
      </c>
      <c r="B1" s="121"/>
      <c r="C1" s="121"/>
      <c r="D1" s="121"/>
      <c r="E1" s="121"/>
      <c r="F1" s="121"/>
      <c r="G1" s="121"/>
      <c r="H1" s="121"/>
      <c r="I1" s="121"/>
    </row>
    <row r="2" spans="1:9" ht="18.75" customHeight="1" x14ac:dyDescent="0.35">
      <c r="A2" s="12"/>
      <c r="D2" s="7"/>
      <c r="E2" s="7"/>
      <c r="F2" s="7"/>
      <c r="G2" s="7"/>
      <c r="H2" s="7"/>
      <c r="I2" s="7"/>
    </row>
    <row r="3" spans="1:9" ht="37.5" customHeight="1" x14ac:dyDescent="0.35">
      <c r="A3" s="122"/>
      <c r="B3" s="122"/>
      <c r="C3" s="122"/>
      <c r="D3" s="9" t="s">
        <v>27</v>
      </c>
      <c r="F3" s="123" t="str">
        <f>About!D2</f>
        <v>Perencanaan Penulangan Geser Kolom SRPMK Struktur Beton Bertulang</v>
      </c>
      <c r="G3" s="124"/>
      <c r="H3" s="124"/>
      <c r="I3" s="125"/>
    </row>
    <row r="4" spans="1:9" ht="18.75" customHeight="1" x14ac:dyDescent="0.35">
      <c r="A4" s="122"/>
      <c r="B4" s="122"/>
      <c r="C4" s="122"/>
      <c r="D4" s="9" t="s">
        <v>28</v>
      </c>
      <c r="F4" s="126"/>
      <c r="G4" s="127"/>
      <c r="H4" s="127"/>
      <c r="I4" s="128"/>
    </row>
    <row r="5" spans="1:9" ht="18.75" customHeight="1" x14ac:dyDescent="0.35">
      <c r="A5" s="122"/>
      <c r="B5" s="122"/>
      <c r="C5" s="122"/>
      <c r="D5" s="9" t="s">
        <v>29</v>
      </c>
      <c r="F5" s="129" t="str">
        <f>About!D6</f>
        <v>Shafannisa Sabila Sulhi</v>
      </c>
      <c r="G5" s="127"/>
      <c r="H5" s="127"/>
      <c r="I5" s="128"/>
    </row>
    <row r="6" spans="1:9" ht="18.75" customHeight="1" x14ac:dyDescent="0.35">
      <c r="A6" s="122"/>
      <c r="B6" s="122"/>
      <c r="C6" s="122"/>
      <c r="D6" s="9" t="s">
        <v>30</v>
      </c>
      <c r="F6" s="130" t="str">
        <f>About!D7</f>
        <v>info@inpetra.id</v>
      </c>
      <c r="G6" s="127"/>
      <c r="H6" s="127"/>
      <c r="I6" s="128"/>
    </row>
    <row r="7" spans="1:9" ht="18.649999999999999" customHeight="1" x14ac:dyDescent="0.35">
      <c r="A7" s="1"/>
    </row>
    <row r="8" spans="1:9" ht="18.75" customHeight="1" x14ac:dyDescent="0.35">
      <c r="A8" s="10" t="s">
        <v>31</v>
      </c>
      <c r="B8" s="13" t="s">
        <v>32</v>
      </c>
      <c r="C8" s="13"/>
      <c r="D8" s="13"/>
      <c r="E8" s="13"/>
      <c r="F8" s="13"/>
      <c r="G8" s="13"/>
      <c r="H8" s="13"/>
      <c r="I8" s="13"/>
    </row>
    <row r="9" spans="1:9" ht="18.75" customHeight="1" x14ac:dyDescent="0.35">
      <c r="A9" s="42" t="s">
        <v>33</v>
      </c>
      <c r="B9" s="36" t="str">
        <f>Input!B3</f>
        <v>Input data material kolom</v>
      </c>
      <c r="C9" s="27"/>
      <c r="D9" s="27"/>
      <c r="E9" s="27"/>
      <c r="F9" s="27"/>
      <c r="G9" s="27"/>
      <c r="H9" s="27"/>
      <c r="I9" s="27"/>
    </row>
    <row r="10" spans="1:9" ht="18.75" customHeight="1" x14ac:dyDescent="0.35">
      <c r="A10" s="1"/>
      <c r="B10" s="1" t="s">
        <v>10</v>
      </c>
      <c r="G10" s="2" t="s">
        <v>7</v>
      </c>
      <c r="H10" s="98">
        <f>Input!H4</f>
        <v>35</v>
      </c>
      <c r="I10" s="5" t="s">
        <v>0</v>
      </c>
    </row>
    <row r="11" spans="1:9" ht="18.75" customHeight="1" x14ac:dyDescent="0.35">
      <c r="A11" s="1"/>
      <c r="B11" s="1" t="s">
        <v>11</v>
      </c>
      <c r="G11" s="2" t="s">
        <v>87</v>
      </c>
      <c r="H11" s="98">
        <f>Input!H5</f>
        <v>420</v>
      </c>
      <c r="I11" s="5" t="s">
        <v>0</v>
      </c>
    </row>
    <row r="12" spans="1:9" ht="18.75" customHeight="1" x14ac:dyDescent="0.35">
      <c r="A12" s="1"/>
      <c r="B12" s="1" t="s">
        <v>12</v>
      </c>
      <c r="G12" s="2" t="s">
        <v>86</v>
      </c>
      <c r="H12" s="98">
        <f>Input!H6</f>
        <v>420</v>
      </c>
      <c r="I12" s="5" t="s">
        <v>0</v>
      </c>
    </row>
    <row r="13" spans="1:9" ht="18.75" customHeight="1" x14ac:dyDescent="0.35">
      <c r="A13" s="1"/>
      <c r="B13" s="1" t="s">
        <v>13</v>
      </c>
      <c r="G13" s="2" t="s">
        <v>14</v>
      </c>
      <c r="H13" s="98">
        <f>Input!H7</f>
        <v>200000</v>
      </c>
      <c r="I13" s="5" t="s">
        <v>0</v>
      </c>
    </row>
    <row r="14" spans="1:9" ht="18.75" customHeight="1" x14ac:dyDescent="0.35">
      <c r="A14" s="1"/>
      <c r="G14" s="2"/>
      <c r="H14" s="3"/>
      <c r="I14" s="5"/>
    </row>
    <row r="15" spans="1:9" ht="18.75" customHeight="1" x14ac:dyDescent="0.35">
      <c r="A15" s="42" t="s">
        <v>40</v>
      </c>
      <c r="B15" s="36" t="s">
        <v>186</v>
      </c>
      <c r="C15" s="27"/>
      <c r="D15" s="27"/>
      <c r="E15" s="27"/>
      <c r="F15" s="27"/>
      <c r="G15" s="27"/>
      <c r="H15" s="27"/>
      <c r="I15" s="27"/>
    </row>
    <row r="16" spans="1:9" ht="18.75" customHeight="1" x14ac:dyDescent="0.35">
      <c r="A16" s="1"/>
      <c r="B16" s="1" t="s">
        <v>60</v>
      </c>
      <c r="F16" s="2"/>
      <c r="G16" s="2" t="s">
        <v>5</v>
      </c>
      <c r="H16" s="98">
        <f>Input!H10</f>
        <v>300</v>
      </c>
      <c r="I16" s="5" t="s">
        <v>4</v>
      </c>
    </row>
    <row r="17" spans="1:9" ht="18.75" customHeight="1" x14ac:dyDescent="0.35">
      <c r="A17" s="1"/>
      <c r="B17" s="1" t="s">
        <v>59</v>
      </c>
      <c r="F17" s="2"/>
      <c r="G17" s="2" t="s">
        <v>6</v>
      </c>
      <c r="H17" s="98">
        <f>Input!H11</f>
        <v>600</v>
      </c>
      <c r="I17" s="5" t="s">
        <v>4</v>
      </c>
    </row>
    <row r="18" spans="1:9" ht="18.75" customHeight="1" x14ac:dyDescent="0.35">
      <c r="A18" s="1"/>
      <c r="B18" s="1" t="s">
        <v>8</v>
      </c>
      <c r="G18" s="2" t="s">
        <v>9</v>
      </c>
      <c r="H18" s="98">
        <f>Input!H12</f>
        <v>40</v>
      </c>
      <c r="I18" s="5" t="s">
        <v>4</v>
      </c>
    </row>
    <row r="19" spans="1:9" ht="18.75" customHeight="1" x14ac:dyDescent="0.35">
      <c r="A19" s="1"/>
      <c r="B19" s="1" t="s">
        <v>123</v>
      </c>
      <c r="G19" s="2" t="s">
        <v>160</v>
      </c>
      <c r="H19" s="98">
        <f>Input!H13</f>
        <v>4000</v>
      </c>
      <c r="I19" s="5" t="s">
        <v>4</v>
      </c>
    </row>
    <row r="20" spans="1:9" ht="18.75" customHeight="1" x14ac:dyDescent="0.35">
      <c r="A20" s="1"/>
      <c r="B20" s="1" t="s">
        <v>81</v>
      </c>
      <c r="G20" s="2" t="s">
        <v>82</v>
      </c>
      <c r="H20" s="98">
        <f>Input!H14</f>
        <v>40</v>
      </c>
      <c r="I20" s="5" t="s">
        <v>4</v>
      </c>
    </row>
    <row r="21" spans="1:9" ht="18.75" customHeight="1" x14ac:dyDescent="0.35">
      <c r="A21" s="1"/>
      <c r="G21" s="2"/>
      <c r="H21" s="3"/>
      <c r="I21" s="5"/>
    </row>
    <row r="22" spans="1:9" ht="18.75" customHeight="1" x14ac:dyDescent="0.35">
      <c r="A22" s="1"/>
      <c r="G22" s="2"/>
      <c r="H22" s="3"/>
      <c r="I22" s="5"/>
    </row>
    <row r="23" spans="1:9" ht="18.75" customHeight="1" x14ac:dyDescent="0.35">
      <c r="A23" s="1"/>
      <c r="G23" s="2"/>
      <c r="H23" s="3"/>
      <c r="I23" s="5"/>
    </row>
    <row r="24" spans="1:9" ht="18.75" customHeight="1" x14ac:dyDescent="0.35">
      <c r="A24" s="1"/>
      <c r="G24" s="2"/>
      <c r="H24" s="3"/>
      <c r="I24" s="5"/>
    </row>
    <row r="25" spans="1:9" ht="18.75" customHeight="1" x14ac:dyDescent="0.35">
      <c r="A25" s="1"/>
      <c r="G25" s="2"/>
      <c r="H25" s="3"/>
      <c r="I25" s="5"/>
    </row>
    <row r="26" spans="1:9" ht="18.75" customHeight="1" x14ac:dyDescent="0.35">
      <c r="A26" s="1"/>
      <c r="G26" s="2"/>
      <c r="H26" s="3"/>
      <c r="I26" s="5"/>
    </row>
    <row r="27" spans="1:9" ht="18.75" customHeight="1" x14ac:dyDescent="0.35">
      <c r="A27" s="1"/>
      <c r="G27" s="2"/>
      <c r="H27" s="3"/>
      <c r="I27" s="5"/>
    </row>
    <row r="28" spans="1:9" ht="18.75" customHeight="1" x14ac:dyDescent="0.35">
      <c r="A28" s="1"/>
      <c r="G28" s="2"/>
      <c r="H28" s="3"/>
      <c r="I28" s="5"/>
    </row>
    <row r="29" spans="1:9" ht="18.75" customHeight="1" x14ac:dyDescent="0.35">
      <c r="A29" s="1"/>
      <c r="G29" s="2"/>
      <c r="H29" s="3"/>
      <c r="I29" s="5"/>
    </row>
    <row r="30" spans="1:9" ht="18.75" customHeight="1" x14ac:dyDescent="0.35">
      <c r="A30" s="1"/>
      <c r="G30" s="2"/>
      <c r="H30" s="3"/>
      <c r="I30" s="5"/>
    </row>
    <row r="31" spans="1:9" ht="18.75" customHeight="1" x14ac:dyDescent="0.35">
      <c r="A31" s="1"/>
      <c r="G31" s="2"/>
      <c r="H31" s="3"/>
      <c r="I31" s="5"/>
    </row>
    <row r="32" spans="1:9" ht="18.75" customHeight="1" x14ac:dyDescent="0.35">
      <c r="A32" s="1"/>
      <c r="G32" s="2"/>
      <c r="H32" s="3"/>
      <c r="I32" s="5"/>
    </row>
    <row r="33" spans="1:9" ht="18.75" customHeight="1" x14ac:dyDescent="0.35">
      <c r="A33" s="1"/>
      <c r="G33" s="2"/>
      <c r="H33" s="3"/>
      <c r="I33" s="5"/>
    </row>
    <row r="34" spans="1:9" ht="18.75" customHeight="1" x14ac:dyDescent="0.35">
      <c r="A34" s="1"/>
      <c r="B34" s="1" t="s">
        <v>2</v>
      </c>
      <c r="G34" s="2" t="s">
        <v>3</v>
      </c>
      <c r="H34" s="98">
        <f>Input!H28</f>
        <v>22</v>
      </c>
      <c r="I34" s="5" t="s">
        <v>4</v>
      </c>
    </row>
    <row r="35" spans="1:9" ht="18.75" customHeight="1" x14ac:dyDescent="0.35">
      <c r="A35" s="1"/>
      <c r="B35" s="1" t="s">
        <v>1</v>
      </c>
      <c r="E35" s="1" t="s">
        <v>15</v>
      </c>
      <c r="G35" s="2" t="s">
        <v>145</v>
      </c>
      <c r="H35" s="98">
        <f>Input!H29</f>
        <v>7</v>
      </c>
      <c r="I35" s="5"/>
    </row>
    <row r="36" spans="1:9" ht="18.75" customHeight="1" x14ac:dyDescent="0.35">
      <c r="A36" s="1"/>
      <c r="E36" s="1" t="s">
        <v>16</v>
      </c>
      <c r="G36" s="2" t="s">
        <v>146</v>
      </c>
      <c r="H36" s="98">
        <f>Input!H30</f>
        <v>3</v>
      </c>
      <c r="I36" s="5"/>
    </row>
    <row r="37" spans="1:9" ht="18.649999999999999" customHeight="1" x14ac:dyDescent="0.35">
      <c r="A37" s="1"/>
      <c r="B37" s="131" t="s">
        <v>105</v>
      </c>
      <c r="C37" s="131" t="s">
        <v>249</v>
      </c>
      <c r="D37" s="131" t="s">
        <v>106</v>
      </c>
      <c r="E37" s="131" t="s">
        <v>249</v>
      </c>
      <c r="G37" s="2"/>
      <c r="H37" s="2"/>
      <c r="I37" s="5"/>
    </row>
    <row r="38" spans="1:9" ht="26.5" customHeight="1" x14ac:dyDescent="0.35">
      <c r="A38" s="1"/>
      <c r="B38" s="132"/>
      <c r="C38" s="133"/>
      <c r="D38" s="132"/>
      <c r="E38" s="133"/>
      <c r="G38" s="105"/>
      <c r="H38" s="2"/>
      <c r="I38" s="5"/>
    </row>
    <row r="39" spans="1:9" ht="18.75" customHeight="1" x14ac:dyDescent="0.35">
      <c r="A39" s="1"/>
      <c r="B39" s="132"/>
      <c r="C39" s="106" t="s">
        <v>93</v>
      </c>
      <c r="D39" s="132"/>
      <c r="E39" s="106" t="s">
        <v>93</v>
      </c>
      <c r="G39" s="2"/>
      <c r="H39" s="2"/>
      <c r="I39" s="5"/>
    </row>
    <row r="40" spans="1:9" ht="18.75" customHeight="1" x14ac:dyDescent="0.35">
      <c r="A40" s="100">
        <v>1</v>
      </c>
      <c r="B40" s="102">
        <f>Input!B35</f>
        <v>1</v>
      </c>
      <c r="C40" s="103">
        <f>Input!C35</f>
        <v>78.666666666666671</v>
      </c>
      <c r="D40" s="102">
        <f>Input!D35</f>
        <v>1</v>
      </c>
      <c r="E40" s="103">
        <f>Input!E35</f>
        <v>86</v>
      </c>
      <c r="G40" s="2"/>
      <c r="H40" s="2"/>
      <c r="I40" s="5"/>
    </row>
    <row r="41" spans="1:9" ht="18.75" customHeight="1" x14ac:dyDescent="0.35">
      <c r="A41" s="100">
        <v>2</v>
      </c>
      <c r="B41" s="102">
        <f>Input!B36</f>
        <v>2</v>
      </c>
      <c r="C41" s="103">
        <f>Input!C36</f>
        <v>78.666666666666671</v>
      </c>
      <c r="D41" s="102">
        <f>Input!D36</f>
        <v>2</v>
      </c>
      <c r="E41" s="103">
        <f>Input!E36</f>
        <v>86</v>
      </c>
      <c r="G41" s="2"/>
      <c r="H41" s="2"/>
      <c r="I41" s="5"/>
    </row>
    <row r="42" spans="1:9" ht="18.75" customHeight="1" x14ac:dyDescent="0.35">
      <c r="A42" s="100">
        <v>3</v>
      </c>
      <c r="B42" s="102">
        <f>Input!B37</f>
        <v>3</v>
      </c>
      <c r="C42" s="103">
        <f>Input!C37</f>
        <v>78.666666666666671</v>
      </c>
      <c r="D42" s="102" t="str">
        <f>Input!D37</f>
        <v/>
      </c>
      <c r="E42" s="103" t="str">
        <f>Input!E37</f>
        <v/>
      </c>
      <c r="G42" s="2"/>
      <c r="H42" s="2"/>
      <c r="I42" s="5"/>
    </row>
    <row r="43" spans="1:9" ht="18.75" customHeight="1" x14ac:dyDescent="0.35">
      <c r="A43" s="100">
        <v>4</v>
      </c>
      <c r="B43" s="102">
        <f>Input!B38</f>
        <v>4</v>
      </c>
      <c r="C43" s="103">
        <f>Input!C38</f>
        <v>78.666666666666671</v>
      </c>
      <c r="D43" s="102" t="str">
        <f>Input!D38</f>
        <v/>
      </c>
      <c r="E43" s="103" t="str">
        <f>Input!E38</f>
        <v/>
      </c>
      <c r="G43" s="2"/>
      <c r="H43" s="2"/>
      <c r="I43" s="5"/>
    </row>
    <row r="44" spans="1:9" ht="18.75" customHeight="1" x14ac:dyDescent="0.35">
      <c r="A44" s="100">
        <v>5</v>
      </c>
      <c r="B44" s="102">
        <f>Input!B39</f>
        <v>5</v>
      </c>
      <c r="C44" s="103">
        <f>Input!C39</f>
        <v>78.666666666666671</v>
      </c>
      <c r="D44" s="102" t="str">
        <f>Input!D39</f>
        <v/>
      </c>
      <c r="E44" s="103" t="str">
        <f>Input!E39</f>
        <v/>
      </c>
      <c r="G44" s="2"/>
      <c r="H44" s="2"/>
      <c r="I44" s="5"/>
    </row>
    <row r="45" spans="1:9" ht="18.75" customHeight="1" x14ac:dyDescent="0.35">
      <c r="A45" s="100">
        <v>6</v>
      </c>
      <c r="B45" s="102">
        <f>Input!B40</f>
        <v>6</v>
      </c>
      <c r="C45" s="103">
        <f>Input!C40</f>
        <v>78.666666666666671</v>
      </c>
      <c r="D45" s="102" t="str">
        <f>Input!D40</f>
        <v/>
      </c>
      <c r="E45" s="103" t="str">
        <f>Input!E40</f>
        <v/>
      </c>
      <c r="G45" s="2"/>
      <c r="H45" s="2"/>
      <c r="I45" s="5"/>
    </row>
    <row r="46" spans="1:9" ht="18.75" customHeight="1" x14ac:dyDescent="0.35">
      <c r="A46" s="100">
        <v>7</v>
      </c>
      <c r="B46" s="102" t="str">
        <f>Input!B41</f>
        <v/>
      </c>
      <c r="C46" s="103" t="str">
        <f>Input!C41</f>
        <v/>
      </c>
      <c r="D46" s="102" t="str">
        <f>Input!D41</f>
        <v/>
      </c>
      <c r="E46" s="103" t="str">
        <f>Input!E41</f>
        <v/>
      </c>
      <c r="G46" s="2"/>
      <c r="H46" s="2"/>
      <c r="I46" s="5"/>
    </row>
    <row r="47" spans="1:9" ht="18.75" customHeight="1" x14ac:dyDescent="0.35">
      <c r="A47" s="100">
        <v>8</v>
      </c>
      <c r="B47" s="102" t="str">
        <f>Input!B42</f>
        <v/>
      </c>
      <c r="C47" s="103" t="str">
        <f>Input!C42</f>
        <v/>
      </c>
      <c r="D47" s="102" t="str">
        <f>Input!D42</f>
        <v/>
      </c>
      <c r="E47" s="103" t="str">
        <f>Input!E42</f>
        <v/>
      </c>
      <c r="G47" s="2"/>
      <c r="H47" s="2"/>
      <c r="I47" s="5"/>
    </row>
    <row r="48" spans="1:9" ht="18.75" customHeight="1" x14ac:dyDescent="0.35">
      <c r="A48" s="1"/>
      <c r="B48" s="104"/>
      <c r="C48" s="72">
        <f>SUM(C40:C47)</f>
        <v>472.00000000000006</v>
      </c>
      <c r="D48" s="104"/>
      <c r="E48" s="70">
        <f>SUM(E36:E47)</f>
        <v>172</v>
      </c>
      <c r="G48" s="2"/>
      <c r="H48" s="2"/>
      <c r="I48" s="5"/>
    </row>
    <row r="49" spans="1:9" ht="18.75" customHeight="1" x14ac:dyDescent="0.35">
      <c r="A49" s="1"/>
      <c r="G49" s="2"/>
      <c r="H49" s="2"/>
      <c r="I49" s="5"/>
    </row>
    <row r="50" spans="1:9" ht="18.75" customHeight="1" x14ac:dyDescent="0.35">
      <c r="A50" s="1"/>
      <c r="B50" s="1" t="s">
        <v>124</v>
      </c>
      <c r="G50" s="2" t="s">
        <v>3</v>
      </c>
      <c r="H50" s="98">
        <f>Input!H45</f>
        <v>13</v>
      </c>
      <c r="I50" s="5" t="s">
        <v>4</v>
      </c>
    </row>
    <row r="51" spans="1:9" ht="18.75" customHeight="1" x14ac:dyDescent="0.35">
      <c r="A51" s="1"/>
      <c r="B51" s="1" t="s">
        <v>144</v>
      </c>
      <c r="E51" s="1" t="s">
        <v>15</v>
      </c>
      <c r="G51" s="2" t="s">
        <v>147</v>
      </c>
      <c r="H51" s="98">
        <f>Input!H46</f>
        <v>5</v>
      </c>
      <c r="I51" s="5"/>
    </row>
    <row r="52" spans="1:9" ht="18.75" customHeight="1" x14ac:dyDescent="0.35">
      <c r="A52" s="1"/>
      <c r="E52" s="1" t="s">
        <v>16</v>
      </c>
      <c r="G52" s="2" t="s">
        <v>148</v>
      </c>
      <c r="H52" s="98">
        <f>Input!H47</f>
        <v>3</v>
      </c>
      <c r="I52" s="5"/>
    </row>
    <row r="53" spans="1:9" ht="18.75" customHeight="1" x14ac:dyDescent="0.35">
      <c r="A53" s="1"/>
      <c r="B53" s="1" t="s">
        <v>127</v>
      </c>
      <c r="G53" s="2" t="s">
        <v>128</v>
      </c>
      <c r="H53" s="58">
        <f>Input!H48</f>
        <v>78.666666666666671</v>
      </c>
      <c r="I53" s="5" t="s">
        <v>4</v>
      </c>
    </row>
    <row r="54" spans="1:9" ht="18.75" customHeight="1" x14ac:dyDescent="0.35">
      <c r="A54" s="1"/>
      <c r="B54" s="134" t="s">
        <v>102</v>
      </c>
      <c r="C54" s="134"/>
      <c r="D54" s="134"/>
      <c r="E54" s="134"/>
      <c r="F54" s="134"/>
      <c r="G54" s="134"/>
      <c r="H54" s="134"/>
      <c r="I54" s="134"/>
    </row>
    <row r="55" spans="1:9" ht="18.75" customHeight="1" x14ac:dyDescent="0.35">
      <c r="A55" s="1"/>
      <c r="B55" s="134"/>
      <c r="C55" s="134"/>
      <c r="D55" s="134"/>
      <c r="E55" s="134"/>
      <c r="F55" s="134"/>
      <c r="G55" s="134"/>
      <c r="H55" s="134"/>
      <c r="I55" s="134"/>
    </row>
    <row r="56" spans="1:9" ht="18.75" customHeight="1" x14ac:dyDescent="0.35">
      <c r="A56" s="1"/>
      <c r="G56" s="2" t="s">
        <v>101</v>
      </c>
      <c r="H56" s="58">
        <f>Input!H50</f>
        <v>157.33333333333334</v>
      </c>
      <c r="I56" s="5" t="s">
        <v>4</v>
      </c>
    </row>
    <row r="57" spans="1:9" ht="18.75" customHeight="1" x14ac:dyDescent="0.35">
      <c r="A57" s="1"/>
      <c r="G57" s="2"/>
      <c r="H57" s="2"/>
      <c r="I57" s="5"/>
    </row>
    <row r="58" spans="1:9" ht="18.75" customHeight="1" x14ac:dyDescent="0.35">
      <c r="A58" s="1"/>
      <c r="B58" s="1" t="s">
        <v>189</v>
      </c>
      <c r="G58" s="2" t="s">
        <v>191</v>
      </c>
      <c r="H58" s="58">
        <f>Input!H52</f>
        <v>75</v>
      </c>
      <c r="I58" s="5" t="s">
        <v>4</v>
      </c>
    </row>
    <row r="59" spans="1:9" ht="18.75" customHeight="1" x14ac:dyDescent="0.35">
      <c r="A59" s="1"/>
      <c r="B59" s="1" t="s">
        <v>190</v>
      </c>
      <c r="G59" s="2" t="s">
        <v>192</v>
      </c>
      <c r="H59" s="58">
        <f>Input!H53</f>
        <v>120</v>
      </c>
      <c r="I59" s="5" t="s">
        <v>4</v>
      </c>
    </row>
    <row r="60" spans="1:9" ht="18.75" customHeight="1" x14ac:dyDescent="0.35">
      <c r="A60" s="1"/>
      <c r="G60" s="2"/>
      <c r="H60" s="2"/>
      <c r="I60" s="5"/>
    </row>
    <row r="61" spans="1:9" ht="18.75" customHeight="1" x14ac:dyDescent="0.35">
      <c r="A61" s="42" t="s">
        <v>187</v>
      </c>
      <c r="B61" s="36" t="s">
        <v>188</v>
      </c>
      <c r="C61" s="27"/>
      <c r="D61" s="27"/>
      <c r="E61" s="27"/>
      <c r="F61" s="27"/>
      <c r="G61" s="27"/>
      <c r="H61" s="27"/>
      <c r="I61" s="27"/>
    </row>
    <row r="62" spans="1:9" ht="18.75" customHeight="1" x14ac:dyDescent="0.35">
      <c r="A62" s="1"/>
      <c r="B62" s="1" t="s">
        <v>55</v>
      </c>
      <c r="G62" s="2" t="s">
        <v>56</v>
      </c>
      <c r="H62" s="58">
        <f>Input!H56</f>
        <v>240000</v>
      </c>
      <c r="I62" s="5" t="s">
        <v>72</v>
      </c>
    </row>
    <row r="63" spans="1:9" ht="18.75" customHeight="1" x14ac:dyDescent="0.35">
      <c r="A63" s="101"/>
      <c r="B63" s="1" t="s">
        <v>204</v>
      </c>
      <c r="C63" s="21"/>
      <c r="D63" s="21"/>
      <c r="E63" s="21"/>
      <c r="F63" s="21"/>
      <c r="G63" s="2" t="s">
        <v>143</v>
      </c>
      <c r="H63" s="58">
        <f>Input!H57</f>
        <v>23000</v>
      </c>
      <c r="I63" s="5" t="s">
        <v>72</v>
      </c>
    </row>
    <row r="64" spans="1:9" ht="18.75" customHeight="1" x14ac:dyDescent="0.35">
      <c r="A64" s="101"/>
      <c r="B64" s="21" t="s">
        <v>203</v>
      </c>
      <c r="C64" s="21"/>
      <c r="D64" s="21"/>
      <c r="E64" s="21"/>
      <c r="F64" s="21"/>
      <c r="G64" s="2" t="s">
        <v>61</v>
      </c>
      <c r="H64" s="99">
        <f>Input!H58</f>
        <v>326000000</v>
      </c>
      <c r="I64" s="5" t="s">
        <v>73</v>
      </c>
    </row>
    <row r="65" spans="1:9" ht="18.75" customHeight="1" x14ac:dyDescent="0.35">
      <c r="A65" s="101"/>
      <c r="B65" s="21" t="s">
        <v>210</v>
      </c>
      <c r="C65" s="21"/>
      <c r="D65" s="21"/>
      <c r="E65" s="21"/>
      <c r="F65" s="21"/>
      <c r="G65" s="2" t="s">
        <v>215</v>
      </c>
      <c r="H65" s="99">
        <f>Input!H59</f>
        <v>1100000000</v>
      </c>
      <c r="I65" s="5" t="s">
        <v>73</v>
      </c>
    </row>
    <row r="66" spans="1:9" ht="18.75" customHeight="1" x14ac:dyDescent="0.35">
      <c r="A66" s="101"/>
      <c r="B66" s="21" t="s">
        <v>211</v>
      </c>
      <c r="C66" s="21"/>
      <c r="D66" s="21"/>
      <c r="E66" s="21"/>
      <c r="F66" s="21"/>
      <c r="G66" s="2" t="s">
        <v>216</v>
      </c>
      <c r="H66" s="99">
        <f>Input!H60</f>
        <v>1100000000</v>
      </c>
      <c r="I66" s="5" t="s">
        <v>73</v>
      </c>
    </row>
    <row r="67" spans="1:9" ht="18.75" customHeight="1" x14ac:dyDescent="0.35">
      <c r="A67" s="1"/>
    </row>
    <row r="74" spans="1:9" ht="18.75" customHeight="1" x14ac:dyDescent="0.35">
      <c r="A74" s="10" t="s">
        <v>41</v>
      </c>
      <c r="B74" s="13" t="str">
        <f>'Process (1)'!B2</f>
        <v>DESAIN PENULANGAN GESER KOLOM SRPMK</v>
      </c>
      <c r="C74" s="13"/>
      <c r="D74" s="13"/>
      <c r="E74" s="13"/>
      <c r="F74" s="13"/>
      <c r="G74" s="13"/>
      <c r="H74" s="13"/>
      <c r="I74" s="13"/>
    </row>
    <row r="75" spans="1:9" ht="18.75" customHeight="1" x14ac:dyDescent="0.35">
      <c r="A75" s="42" t="s">
        <v>42</v>
      </c>
      <c r="B75" s="36" t="s">
        <v>194</v>
      </c>
      <c r="C75" s="27"/>
      <c r="D75" s="27"/>
      <c r="E75" s="27"/>
      <c r="F75" s="27"/>
      <c r="G75" s="27"/>
      <c r="H75" s="27"/>
      <c r="I75" s="27"/>
    </row>
    <row r="76" spans="1:9" ht="18.75" customHeight="1" x14ac:dyDescent="0.35">
      <c r="A76" s="108"/>
      <c r="B76" s="21" t="s">
        <v>184</v>
      </c>
      <c r="C76" s="21"/>
      <c r="D76" s="21"/>
      <c r="E76" s="21"/>
      <c r="F76" s="21"/>
      <c r="G76" s="21"/>
      <c r="H76" s="21"/>
      <c r="I76" s="21"/>
    </row>
    <row r="77" spans="1:9" ht="18.75" customHeight="1" x14ac:dyDescent="0.35">
      <c r="A77" s="108"/>
      <c r="B77" s="9"/>
      <c r="C77" s="3" t="s">
        <v>193</v>
      </c>
      <c r="D77" s="3" t="s">
        <v>79</v>
      </c>
      <c r="E77" s="3">
        <v>150</v>
      </c>
      <c r="H77" s="21"/>
      <c r="I77" s="21"/>
    </row>
    <row r="78" spans="1:9" ht="18.75" customHeight="1" x14ac:dyDescent="0.35">
      <c r="A78" s="108"/>
      <c r="C78" s="58">
        <f>'Process (1)'!C6</f>
        <v>78.666666666666671</v>
      </c>
      <c r="D78" s="3" t="str">
        <f>IF(C78&gt;E78,"&gt;","≤")</f>
        <v>≤</v>
      </c>
      <c r="E78" s="69">
        <f>E77</f>
        <v>150</v>
      </c>
      <c r="F78" s="6" t="s">
        <v>20</v>
      </c>
      <c r="G78" s="7" t="str">
        <f>IF(C78&lt;=E78,"[ OK ]","[ NOT OK ]")</f>
        <v>[ OK ]</v>
      </c>
      <c r="H78" s="21"/>
      <c r="I78" s="21"/>
    </row>
    <row r="79" spans="1:9" ht="18.75" customHeight="1" x14ac:dyDescent="0.35">
      <c r="A79" s="108"/>
      <c r="B79" s="21"/>
      <c r="C79" s="21"/>
      <c r="D79" s="21"/>
      <c r="E79" s="21"/>
      <c r="F79" s="21"/>
      <c r="G79" s="21"/>
      <c r="H79" s="21"/>
      <c r="I79" s="21"/>
    </row>
    <row r="80" spans="1:9" ht="32.15" customHeight="1" x14ac:dyDescent="0.35">
      <c r="A80" s="3"/>
      <c r="B80" s="134" t="s">
        <v>195</v>
      </c>
      <c r="C80" s="134"/>
      <c r="D80" s="134"/>
      <c r="E80" s="134"/>
      <c r="F80" s="134"/>
      <c r="G80" s="134"/>
      <c r="H80" s="134"/>
      <c r="I80" s="134"/>
    </row>
    <row r="81" spans="1:9" ht="18.75" customHeight="1" x14ac:dyDescent="0.35">
      <c r="A81" s="3"/>
      <c r="B81" s="9" t="s">
        <v>103</v>
      </c>
    </row>
    <row r="82" spans="1:9" ht="36.65" customHeight="1" x14ac:dyDescent="0.35">
      <c r="A82" s="3"/>
      <c r="B82" s="119" t="s">
        <v>104</v>
      </c>
      <c r="C82" s="119"/>
      <c r="D82" s="119"/>
      <c r="E82" s="119"/>
      <c r="F82" s="119"/>
      <c r="G82" s="119"/>
      <c r="H82" s="119"/>
      <c r="I82" s="119"/>
    </row>
    <row r="83" spans="1:9" ht="18.75" customHeight="1" x14ac:dyDescent="0.35">
      <c r="A83" s="3"/>
      <c r="B83" s="9" t="s">
        <v>94</v>
      </c>
    </row>
    <row r="84" spans="1:9" ht="18.75" customHeight="1" x14ac:dyDescent="0.35">
      <c r="A84" s="3"/>
      <c r="C84" s="3" t="s">
        <v>95</v>
      </c>
      <c r="D84" s="3" t="s">
        <v>24</v>
      </c>
      <c r="E84" s="3" t="s">
        <v>97</v>
      </c>
      <c r="G84" s="3" t="s">
        <v>98</v>
      </c>
      <c r="H84" s="3" t="s">
        <v>24</v>
      </c>
      <c r="I84" s="3">
        <v>70</v>
      </c>
    </row>
    <row r="85" spans="1:9" ht="18.75" customHeight="1" x14ac:dyDescent="0.35">
      <c r="A85" s="3"/>
      <c r="C85" s="69">
        <f>'Process (1)'!C13</f>
        <v>23000</v>
      </c>
      <c r="D85" s="3" t="str">
        <f>IF(C85&gt;E85,"&gt;","≤")</f>
        <v>≤</v>
      </c>
      <c r="E85" s="69">
        <f>'Process (1)'!E13</f>
        <v>1890000</v>
      </c>
      <c r="G85" s="69">
        <f>'Process (1)'!G13</f>
        <v>35</v>
      </c>
      <c r="H85" s="3" t="str">
        <f>IF(G85&gt;I85,"&gt;","≤")</f>
        <v>≤</v>
      </c>
      <c r="I85" s="69">
        <f>I84</f>
        <v>70</v>
      </c>
    </row>
    <row r="86" spans="1:9" ht="18.75" customHeight="1" x14ac:dyDescent="0.35">
      <c r="A86" s="3"/>
      <c r="I86" s="111"/>
    </row>
    <row r="87" spans="1:9" ht="18.75" customHeight="1" x14ac:dyDescent="0.35">
      <c r="A87" s="3"/>
      <c r="B87" s="9" t="s">
        <v>96</v>
      </c>
      <c r="C87" s="8" t="s">
        <v>20</v>
      </c>
      <c r="D87" s="7" t="str">
        <f>IF(OR(C85&gt;E85,G85&gt;I85),"[ hx ≤ 200 mm ]","[ hx ≤ 350 mm ]")</f>
        <v>[ hx ≤ 350 mm ]</v>
      </c>
      <c r="E87" s="73" t="str">
        <f>IF(D87="[ hx ≤ 200 mm ]","dan [ ikat silang harus mengikat semua tul. Longitudinal ]","")</f>
        <v/>
      </c>
    </row>
    <row r="88" spans="1:9" ht="18.75" customHeight="1" x14ac:dyDescent="0.35">
      <c r="A88" s="3"/>
    </row>
    <row r="89" spans="1:9" ht="18.75" customHeight="1" x14ac:dyDescent="0.35">
      <c r="A89" s="3"/>
      <c r="B89" s="9" t="s">
        <v>99</v>
      </c>
    </row>
    <row r="90" spans="1:9" ht="18.75" customHeight="1" x14ac:dyDescent="0.35">
      <c r="A90" s="3"/>
      <c r="B90" s="9"/>
      <c r="C90" s="3" t="s">
        <v>100</v>
      </c>
      <c r="D90" s="3" t="s">
        <v>79</v>
      </c>
      <c r="E90" s="3">
        <f>IF(D87="[ hx ≤ 350 mm ]",350,200)</f>
        <v>350</v>
      </c>
    </row>
    <row r="91" spans="1:9" ht="18.75" customHeight="1" x14ac:dyDescent="0.35">
      <c r="A91" s="3"/>
      <c r="C91" s="58">
        <f>'Process (1)'!C18</f>
        <v>157.33333333333334</v>
      </c>
      <c r="D91" s="3" t="str">
        <f>IF(C91&gt;E91,"&gt;","≤")</f>
        <v>≤</v>
      </c>
      <c r="E91" s="69">
        <f>E90</f>
        <v>350</v>
      </c>
      <c r="F91" s="6" t="s">
        <v>20</v>
      </c>
      <c r="G91" s="7" t="str">
        <f>IF(C91&lt;=E91,"[ OK ]","[ NOT OK ]")</f>
        <v>[ OK ]</v>
      </c>
    </row>
    <row r="92" spans="1:9" ht="18.75" customHeight="1" x14ac:dyDescent="0.35">
      <c r="A92" s="3"/>
    </row>
    <row r="93" spans="1:9" ht="18.75" customHeight="1" x14ac:dyDescent="0.35">
      <c r="A93" s="42" t="s">
        <v>43</v>
      </c>
      <c r="B93" s="36" t="s">
        <v>116</v>
      </c>
      <c r="C93" s="27"/>
      <c r="D93" s="27"/>
      <c r="E93" s="27"/>
      <c r="F93" s="27"/>
      <c r="G93" s="27"/>
      <c r="H93" s="27"/>
      <c r="I93" s="27"/>
    </row>
    <row r="94" spans="1:9" ht="18.75" customHeight="1" x14ac:dyDescent="0.35">
      <c r="A94" s="108"/>
      <c r="B94" s="21"/>
      <c r="C94" s="21"/>
      <c r="D94" s="21"/>
      <c r="E94" s="21"/>
      <c r="F94" s="21"/>
      <c r="G94" s="21"/>
      <c r="H94" s="21"/>
      <c r="I94" s="21"/>
    </row>
    <row r="95" spans="1:9" ht="18.75" customHeight="1" x14ac:dyDescent="0.35">
      <c r="A95" s="108"/>
      <c r="B95" s="21"/>
      <c r="C95" s="21"/>
      <c r="D95" s="21"/>
      <c r="E95" s="21"/>
      <c r="F95" s="21"/>
      <c r="G95" s="21"/>
      <c r="H95" s="21"/>
      <c r="I95" s="21"/>
    </row>
    <row r="96" spans="1:9" ht="18.75" customHeight="1" x14ac:dyDescent="0.35">
      <c r="A96" s="108"/>
      <c r="B96" s="21"/>
      <c r="C96" s="21"/>
      <c r="D96" s="21"/>
      <c r="E96" s="21"/>
      <c r="F96" s="21"/>
      <c r="G96" s="21"/>
      <c r="H96" s="21"/>
      <c r="I96" s="21"/>
    </row>
    <row r="97" spans="1:9" ht="18.75" customHeight="1" x14ac:dyDescent="0.35">
      <c r="A97" s="108"/>
      <c r="B97" s="21"/>
      <c r="C97" s="21"/>
      <c r="D97" s="21"/>
      <c r="E97" s="21"/>
      <c r="F97" s="21"/>
      <c r="G97" s="21"/>
      <c r="H97" s="21"/>
      <c r="I97" s="21"/>
    </row>
    <row r="98" spans="1:9" ht="18.75" customHeight="1" x14ac:dyDescent="0.35">
      <c r="A98" s="108"/>
      <c r="B98" s="21"/>
      <c r="C98" s="21"/>
      <c r="D98" s="21"/>
      <c r="E98" s="21"/>
      <c r="F98" s="21"/>
      <c r="G98" s="21"/>
      <c r="H98" s="21"/>
      <c r="I98" s="21"/>
    </row>
    <row r="99" spans="1:9" ht="18.75" customHeight="1" x14ac:dyDescent="0.35">
      <c r="A99" s="108"/>
      <c r="B99" s="21"/>
      <c r="C99" s="21"/>
      <c r="D99" s="21"/>
      <c r="E99" s="21"/>
      <c r="F99" s="21"/>
      <c r="G99" s="21"/>
      <c r="H99" s="21"/>
      <c r="I99" s="21"/>
    </row>
    <row r="100" spans="1:9" ht="18.75" customHeight="1" x14ac:dyDescent="0.35">
      <c r="A100" s="108"/>
      <c r="B100" s="21"/>
      <c r="C100" s="21"/>
      <c r="D100" s="21"/>
      <c r="E100" s="21"/>
      <c r="F100" s="21"/>
      <c r="G100" s="21"/>
      <c r="H100" s="21"/>
      <c r="I100" s="21"/>
    </row>
    <row r="101" spans="1:9" ht="18.75" customHeight="1" x14ac:dyDescent="0.35">
      <c r="A101" s="108"/>
      <c r="B101" s="21"/>
      <c r="C101" s="21"/>
      <c r="D101" s="21"/>
      <c r="E101" s="21"/>
      <c r="F101" s="21"/>
      <c r="G101" s="21"/>
      <c r="H101" s="21"/>
      <c r="I101" s="21"/>
    </row>
    <row r="102" spans="1:9" ht="18.75" customHeight="1" x14ac:dyDescent="0.35">
      <c r="A102" s="108"/>
      <c r="B102" s="21"/>
      <c r="C102" s="21"/>
      <c r="D102" s="21"/>
      <c r="E102" s="21"/>
      <c r="F102" s="21"/>
      <c r="G102" s="21"/>
      <c r="H102" s="21"/>
      <c r="I102" s="21"/>
    </row>
    <row r="103" spans="1:9" ht="18.75" customHeight="1" x14ac:dyDescent="0.35">
      <c r="A103" s="108"/>
      <c r="B103" s="21"/>
      <c r="C103" s="21"/>
      <c r="D103" s="21"/>
      <c r="E103" s="21"/>
      <c r="F103" s="21"/>
      <c r="G103" s="21"/>
      <c r="H103" s="21"/>
      <c r="I103" s="21"/>
    </row>
    <row r="104" spans="1:9" ht="18.75" customHeight="1" x14ac:dyDescent="0.35">
      <c r="A104" s="108"/>
      <c r="B104" s="21"/>
      <c r="C104" s="21"/>
      <c r="D104" s="21"/>
      <c r="E104" s="21"/>
      <c r="F104" s="21"/>
      <c r="G104" s="21"/>
      <c r="H104" s="21"/>
      <c r="I104" s="21"/>
    </row>
    <row r="105" spans="1:9" ht="18.75" customHeight="1" x14ac:dyDescent="0.35">
      <c r="A105" s="108"/>
      <c r="B105" s="21"/>
      <c r="C105" s="21"/>
      <c r="D105" s="21"/>
      <c r="E105" s="21"/>
      <c r="F105" s="21"/>
      <c r="G105" s="21"/>
      <c r="H105" s="21"/>
      <c r="I105" s="21"/>
    </row>
    <row r="106" spans="1:9" ht="18.75" customHeight="1" x14ac:dyDescent="0.35">
      <c r="A106" s="108"/>
      <c r="B106" s="21"/>
      <c r="C106" s="21"/>
      <c r="D106" s="21"/>
      <c r="E106" s="21"/>
      <c r="F106" s="21"/>
      <c r="G106" s="21"/>
      <c r="H106" s="21"/>
      <c r="I106" s="21"/>
    </row>
    <row r="107" spans="1:9" ht="18.75" customHeight="1" x14ac:dyDescent="0.35">
      <c r="A107" s="108"/>
      <c r="B107" s="21"/>
      <c r="C107" s="21"/>
      <c r="D107" s="21"/>
      <c r="E107" s="21"/>
      <c r="F107" s="21"/>
      <c r="G107" s="21"/>
      <c r="H107" s="21"/>
      <c r="I107" s="21"/>
    </row>
    <row r="108" spans="1:9" ht="18.75" customHeight="1" x14ac:dyDescent="0.35">
      <c r="A108" s="108"/>
      <c r="B108" s="21"/>
      <c r="C108" s="21"/>
      <c r="D108" s="21"/>
      <c r="E108" s="21"/>
      <c r="F108" s="21"/>
      <c r="G108" s="21"/>
      <c r="H108" s="21"/>
      <c r="I108" s="21"/>
    </row>
    <row r="109" spans="1:9" ht="18.75" customHeight="1" x14ac:dyDescent="0.35">
      <c r="A109" s="108"/>
      <c r="B109" s="21"/>
      <c r="C109" s="21"/>
      <c r="D109" s="21"/>
      <c r="E109" s="21"/>
      <c r="F109" s="21"/>
      <c r="G109" s="21"/>
      <c r="H109" s="21"/>
      <c r="I109" s="21"/>
    </row>
    <row r="110" spans="1:9" ht="18.75" customHeight="1" x14ac:dyDescent="0.35">
      <c r="A110" s="101"/>
      <c r="B110" s="92" t="s">
        <v>126</v>
      </c>
      <c r="C110" s="21"/>
      <c r="D110" s="21"/>
      <c r="E110" s="21"/>
      <c r="F110" s="21"/>
      <c r="G110" s="21"/>
      <c r="H110" s="21"/>
      <c r="I110" s="21"/>
    </row>
    <row r="111" spans="1:9" ht="18.75" customHeight="1" x14ac:dyDescent="0.35">
      <c r="A111" s="108"/>
      <c r="B111" s="21" t="s">
        <v>125</v>
      </c>
      <c r="C111" s="21"/>
      <c r="D111" s="21"/>
      <c r="E111" s="21"/>
      <c r="F111" s="21"/>
      <c r="G111" s="21"/>
      <c r="H111" s="21"/>
      <c r="I111" s="21"/>
    </row>
    <row r="112" spans="1:9" ht="18.75" customHeight="1" x14ac:dyDescent="0.35">
      <c r="A112" s="108"/>
      <c r="B112" s="109" t="s">
        <v>107</v>
      </c>
      <c r="C112" s="21"/>
      <c r="D112" s="21"/>
      <c r="E112" s="21"/>
      <c r="F112" s="21"/>
      <c r="G112" s="53" t="s">
        <v>83</v>
      </c>
      <c r="H112" s="57">
        <f>'Process (1)'!H43</f>
        <v>53.333333333333329</v>
      </c>
      <c r="I112" s="5" t="s">
        <v>4</v>
      </c>
    </row>
    <row r="113" spans="1:9" ht="18.75" customHeight="1" x14ac:dyDescent="0.35">
      <c r="A113" s="108"/>
      <c r="B113" s="109" t="s">
        <v>108</v>
      </c>
      <c r="C113" s="21"/>
      <c r="D113" s="21"/>
      <c r="E113" s="21"/>
      <c r="F113" s="21"/>
      <c r="G113" s="53"/>
      <c r="H113" s="53"/>
      <c r="I113" s="5"/>
    </row>
    <row r="114" spans="1:9" ht="18.75" customHeight="1" x14ac:dyDescent="0.35">
      <c r="A114" s="108"/>
      <c r="B114" s="94" t="s">
        <v>109</v>
      </c>
      <c r="C114" s="21"/>
      <c r="D114" s="21"/>
      <c r="E114" s="21"/>
      <c r="F114" s="21"/>
      <c r="G114" s="53" t="s">
        <v>88</v>
      </c>
      <c r="H114" s="57">
        <f>'Process (1)'!H45</f>
        <v>75</v>
      </c>
      <c r="I114" s="5" t="s">
        <v>4</v>
      </c>
    </row>
    <row r="115" spans="1:9" ht="18.75" customHeight="1" x14ac:dyDescent="0.35">
      <c r="A115" s="108"/>
      <c r="B115" s="94" t="s">
        <v>110</v>
      </c>
      <c r="C115" s="21"/>
      <c r="D115" s="21"/>
      <c r="E115" s="21"/>
      <c r="F115" s="21"/>
      <c r="G115" s="53" t="s">
        <v>89</v>
      </c>
      <c r="H115" s="57">
        <f>'Process (1)'!H46</f>
        <v>132</v>
      </c>
      <c r="I115" s="5" t="s">
        <v>4</v>
      </c>
    </row>
    <row r="116" spans="1:9" ht="18.75" customHeight="1" x14ac:dyDescent="0.35">
      <c r="A116" s="108"/>
      <c r="B116" s="94" t="s">
        <v>111</v>
      </c>
      <c r="C116" s="21"/>
      <c r="D116" s="21"/>
      <c r="E116" s="21"/>
      <c r="F116" s="21"/>
      <c r="G116" s="53" t="s">
        <v>90</v>
      </c>
      <c r="H116" s="57">
        <f>'Process (1)'!H47</f>
        <v>164.22222222222223</v>
      </c>
      <c r="I116" s="5" t="s">
        <v>4</v>
      </c>
    </row>
    <row r="117" spans="1:9" ht="18.75" customHeight="1" x14ac:dyDescent="0.35">
      <c r="A117" s="108"/>
      <c r="B117" s="110" t="s">
        <v>112</v>
      </c>
      <c r="C117" s="21"/>
      <c r="D117" s="21"/>
      <c r="E117" s="21"/>
      <c r="F117" s="21"/>
      <c r="G117" s="53" t="s">
        <v>113</v>
      </c>
      <c r="H117" s="57">
        <f>'Process (1)'!H48</f>
        <v>150</v>
      </c>
      <c r="I117" s="5" t="s">
        <v>4</v>
      </c>
    </row>
    <row r="118" spans="1:9" ht="18.75" customHeight="1" x14ac:dyDescent="0.35">
      <c r="A118" s="108"/>
      <c r="B118" s="110" t="s">
        <v>246</v>
      </c>
      <c r="C118" s="21"/>
      <c r="D118" s="21"/>
      <c r="E118" s="21"/>
      <c r="F118" s="21"/>
      <c r="G118" s="53" t="s">
        <v>114</v>
      </c>
      <c r="H118" s="57">
        <f>'Process (1)'!H49</f>
        <v>75</v>
      </c>
      <c r="I118" s="5" t="s">
        <v>4</v>
      </c>
    </row>
    <row r="119" spans="1:9" ht="18.75" customHeight="1" x14ac:dyDescent="0.35">
      <c r="A119" s="108"/>
      <c r="B119" s="21"/>
      <c r="C119" s="21"/>
      <c r="D119" s="21"/>
      <c r="E119" s="21"/>
      <c r="F119" s="21"/>
      <c r="G119" s="53"/>
      <c r="H119" s="74"/>
      <c r="I119" s="5"/>
    </row>
    <row r="120" spans="1:9" ht="18.649999999999999" customHeight="1" x14ac:dyDescent="0.35">
      <c r="A120" s="108"/>
      <c r="B120" s="93" t="s">
        <v>115</v>
      </c>
      <c r="C120" s="21"/>
      <c r="D120" s="21"/>
      <c r="E120" s="21"/>
      <c r="F120" s="21"/>
      <c r="G120" s="53"/>
      <c r="H120" s="53"/>
      <c r="I120" s="5"/>
    </row>
    <row r="121" spans="1:9" ht="18.75" customHeight="1" x14ac:dyDescent="0.35">
      <c r="A121" s="108"/>
      <c r="C121" s="3" t="s">
        <v>84</v>
      </c>
      <c r="D121" s="60" t="s">
        <v>79</v>
      </c>
      <c r="E121" s="62" t="s">
        <v>244</v>
      </c>
      <c r="F121" s="60" t="s">
        <v>79</v>
      </c>
      <c r="G121" s="62" t="s">
        <v>85</v>
      </c>
      <c r="H121" s="3"/>
      <c r="I121" s="21"/>
    </row>
    <row r="122" spans="1:9" ht="18.75" customHeight="1" x14ac:dyDescent="0.35">
      <c r="A122" s="108"/>
      <c r="B122" s="9"/>
      <c r="C122" s="57">
        <f>'Process (1)'!C53</f>
        <v>53.333333333333329</v>
      </c>
      <c r="D122" s="3" t="str">
        <f>IF(C122&gt;E122,"&gt;","≤")</f>
        <v>≤</v>
      </c>
      <c r="E122" s="57">
        <f>'Process (1)'!E53</f>
        <v>75</v>
      </c>
      <c r="F122" s="3" t="str">
        <f>IF(E122&gt;G122,"&gt;","≤")</f>
        <v>≤</v>
      </c>
      <c r="G122" s="57">
        <f>'Process (1)'!G53</f>
        <v>75</v>
      </c>
      <c r="H122" s="61" t="str">
        <f>IF(AND(C122&lt;=E122,E122&lt;=G122),"→   [ OK ]","→   [ NOT OK ]")</f>
        <v>→   [ OK ]</v>
      </c>
      <c r="I122" s="21"/>
    </row>
    <row r="123" spans="1:9" ht="18.75" customHeight="1" x14ac:dyDescent="0.35">
      <c r="A123" s="108"/>
      <c r="B123" s="21"/>
      <c r="C123" s="21"/>
      <c r="D123" s="21"/>
      <c r="E123" s="21"/>
      <c r="F123" s="21"/>
      <c r="G123" s="21"/>
      <c r="H123" s="21"/>
      <c r="I123" s="21"/>
    </row>
    <row r="124" spans="1:9" ht="18.75" customHeight="1" x14ac:dyDescent="0.35">
      <c r="A124" s="108"/>
      <c r="B124" s="21" t="s">
        <v>120</v>
      </c>
      <c r="C124" s="21"/>
      <c r="D124" s="21"/>
      <c r="E124" s="21"/>
      <c r="F124" s="21"/>
      <c r="I124" s="21"/>
    </row>
    <row r="125" spans="1:9" ht="18.75" customHeight="1" x14ac:dyDescent="0.35">
      <c r="A125" s="108"/>
      <c r="B125" s="21"/>
      <c r="C125" s="21"/>
      <c r="D125" s="21"/>
      <c r="E125" s="21"/>
      <c r="F125" s="21"/>
      <c r="G125" s="53" t="s">
        <v>119</v>
      </c>
      <c r="H125" s="57">
        <f>'Process (1)'!H56</f>
        <v>600</v>
      </c>
      <c r="I125" s="5" t="s">
        <v>4</v>
      </c>
    </row>
    <row r="126" spans="1:9" ht="18.75" customHeight="1" x14ac:dyDescent="0.35">
      <c r="A126" s="108"/>
      <c r="B126" s="21"/>
      <c r="C126" s="21"/>
      <c r="D126" s="21"/>
      <c r="E126" s="21"/>
      <c r="F126" s="21"/>
      <c r="G126" s="53" t="s">
        <v>118</v>
      </c>
      <c r="H126" s="57">
        <f>'Process (1)'!H57</f>
        <v>666.66666666666663</v>
      </c>
      <c r="I126" s="5" t="s">
        <v>4</v>
      </c>
    </row>
    <row r="127" spans="1:9" ht="18.75" customHeight="1" x14ac:dyDescent="0.35">
      <c r="A127" s="108"/>
      <c r="B127" s="21"/>
      <c r="C127" s="21"/>
      <c r="D127" s="21"/>
      <c r="E127" s="21"/>
      <c r="F127" s="21"/>
      <c r="G127" s="53" t="s">
        <v>117</v>
      </c>
      <c r="H127" s="57">
        <f>'Process (1)'!H58</f>
        <v>450</v>
      </c>
      <c r="I127" s="5" t="s">
        <v>4</v>
      </c>
    </row>
    <row r="128" spans="1:9" ht="18.75" customHeight="1" x14ac:dyDescent="0.35">
      <c r="A128" s="108"/>
      <c r="B128" s="94" t="s">
        <v>121</v>
      </c>
      <c r="C128" s="21"/>
      <c r="D128" s="21"/>
      <c r="E128" s="21"/>
      <c r="F128" s="21"/>
      <c r="G128" s="53" t="s">
        <v>122</v>
      </c>
      <c r="H128" s="57">
        <f>'Process (1)'!H59</f>
        <v>666.66666666666663</v>
      </c>
      <c r="I128" s="5" t="s">
        <v>4</v>
      </c>
    </row>
    <row r="129" spans="1:9" ht="18.75" customHeight="1" x14ac:dyDescent="0.35">
      <c r="A129" s="108"/>
      <c r="B129" s="21"/>
      <c r="C129" s="21"/>
      <c r="D129" s="21"/>
      <c r="E129" s="21"/>
      <c r="F129" s="21"/>
      <c r="G129" s="21"/>
      <c r="H129" s="21"/>
      <c r="I129" s="21"/>
    </row>
    <row r="130" spans="1:9" ht="18.75" customHeight="1" x14ac:dyDescent="0.35">
      <c r="A130" s="108"/>
      <c r="B130" s="21" t="s">
        <v>129</v>
      </c>
      <c r="C130" s="21"/>
      <c r="D130" s="21"/>
      <c r="E130" s="21"/>
      <c r="F130" s="21"/>
      <c r="G130" s="53" t="s">
        <v>130</v>
      </c>
      <c r="H130" s="57">
        <f>'Process (1)'!H61</f>
        <v>0.8</v>
      </c>
      <c r="I130" s="21"/>
    </row>
    <row r="131" spans="1:9" ht="18.75" customHeight="1" x14ac:dyDescent="0.35">
      <c r="A131" s="108"/>
      <c r="B131" s="21" t="s">
        <v>132</v>
      </c>
      <c r="C131" s="21"/>
      <c r="D131" s="21"/>
      <c r="E131" s="21"/>
      <c r="F131" s="21"/>
      <c r="G131" s="2" t="s">
        <v>131</v>
      </c>
      <c r="H131" s="57">
        <f>'Process (1)'!H62</f>
        <v>1</v>
      </c>
      <c r="I131" s="21"/>
    </row>
    <row r="132" spans="1:9" ht="18.75" customHeight="1" x14ac:dyDescent="0.35">
      <c r="A132" s="108"/>
      <c r="C132" s="21"/>
      <c r="D132" s="21"/>
      <c r="E132" s="21"/>
      <c r="F132" s="21"/>
      <c r="G132" s="21"/>
      <c r="H132" s="21"/>
      <c r="I132" s="21"/>
    </row>
    <row r="133" spans="1:9" ht="18.75" customHeight="1" x14ac:dyDescent="0.35">
      <c r="A133" s="108"/>
      <c r="B133" s="1" t="s">
        <v>150</v>
      </c>
      <c r="C133" s="21"/>
      <c r="D133" s="21"/>
      <c r="E133" s="21"/>
      <c r="F133" s="21"/>
      <c r="I133" s="21"/>
    </row>
    <row r="134" spans="1:9" ht="18.75" customHeight="1" x14ac:dyDescent="0.35">
      <c r="A134" s="108"/>
      <c r="C134" s="21"/>
      <c r="D134" s="21"/>
      <c r="E134" s="21"/>
      <c r="F134" s="21"/>
      <c r="G134" s="2" t="s">
        <v>134</v>
      </c>
      <c r="H134" s="57">
        <f>'Process (1)'!H65</f>
        <v>12</v>
      </c>
      <c r="I134" s="21"/>
    </row>
    <row r="135" spans="1:9" ht="18.75" customHeight="1" x14ac:dyDescent="0.35">
      <c r="A135" s="108"/>
      <c r="B135" s="21" t="s">
        <v>133</v>
      </c>
      <c r="C135" s="21"/>
      <c r="D135" s="21"/>
      <c r="E135" s="21"/>
      <c r="F135" s="21"/>
      <c r="G135" s="2" t="s">
        <v>135</v>
      </c>
      <c r="H135" s="57">
        <f>'Process (1)'!H66</f>
        <v>1.2</v>
      </c>
      <c r="I135" s="21"/>
    </row>
    <row r="136" spans="1:9" ht="18.75" customHeight="1" x14ac:dyDescent="0.35">
      <c r="A136" s="108"/>
      <c r="B136" s="21" t="s">
        <v>140</v>
      </c>
      <c r="C136" s="21"/>
      <c r="D136" s="21"/>
      <c r="E136" s="21"/>
      <c r="F136" s="21"/>
    </row>
    <row r="137" spans="1:9" ht="18.75" customHeight="1" x14ac:dyDescent="0.35">
      <c r="A137" s="108"/>
      <c r="B137" s="21"/>
      <c r="C137" s="21"/>
      <c r="D137" s="21"/>
      <c r="E137" s="21"/>
      <c r="F137" s="21"/>
      <c r="G137" s="53" t="s">
        <v>217</v>
      </c>
      <c r="H137" s="107">
        <f>'Process (1)'!H67</f>
        <v>520</v>
      </c>
      <c r="I137" s="112" t="s">
        <v>4</v>
      </c>
    </row>
    <row r="138" spans="1:9" ht="18.75" customHeight="1" x14ac:dyDescent="0.35">
      <c r="A138" s="108"/>
      <c r="B138" s="21" t="s">
        <v>141</v>
      </c>
      <c r="C138" s="21"/>
      <c r="D138" s="21"/>
      <c r="E138" s="21"/>
      <c r="F138" s="21"/>
    </row>
    <row r="139" spans="1:9" ht="18.75" customHeight="1" x14ac:dyDescent="0.35">
      <c r="A139" s="108"/>
      <c r="B139" s="21"/>
      <c r="C139" s="21"/>
      <c r="D139" s="21"/>
      <c r="E139" s="21"/>
      <c r="F139" s="21"/>
      <c r="G139" s="53" t="s">
        <v>218</v>
      </c>
      <c r="H139" s="107">
        <f>'Process (1)'!H68</f>
        <v>220</v>
      </c>
      <c r="I139" s="112" t="s">
        <v>4</v>
      </c>
    </row>
    <row r="140" spans="1:9" ht="18.649999999999999" customHeight="1" x14ac:dyDescent="0.35">
      <c r="A140" s="108"/>
      <c r="B140" s="21" t="s">
        <v>138</v>
      </c>
      <c r="C140" s="21"/>
      <c r="D140" s="21"/>
      <c r="E140" s="21"/>
      <c r="F140" s="21"/>
    </row>
    <row r="141" spans="1:9" ht="18.649999999999999" customHeight="1" x14ac:dyDescent="0.35">
      <c r="A141" s="108"/>
      <c r="B141" s="21"/>
      <c r="C141" s="21"/>
      <c r="D141" s="21"/>
      <c r="E141" s="21"/>
      <c r="F141" s="21"/>
      <c r="G141" s="53" t="s">
        <v>139</v>
      </c>
      <c r="H141" s="107">
        <f>'Process (1)'!H69</f>
        <v>114400</v>
      </c>
      <c r="I141" s="5" t="s">
        <v>21</v>
      </c>
    </row>
    <row r="142" spans="1:9" ht="18.75" customHeight="1" x14ac:dyDescent="0.35">
      <c r="A142" s="108"/>
      <c r="B142" s="21" t="s">
        <v>231</v>
      </c>
      <c r="C142" s="21"/>
      <c r="D142" s="21"/>
      <c r="E142" s="21"/>
      <c r="F142" s="21"/>
      <c r="G142" s="53"/>
      <c r="H142" s="53"/>
      <c r="I142" s="5"/>
    </row>
    <row r="143" spans="1:9" ht="18.75" customHeight="1" x14ac:dyDescent="0.35">
      <c r="A143" s="108"/>
      <c r="B143" s="94" t="s">
        <v>109</v>
      </c>
      <c r="C143" s="21"/>
      <c r="D143" s="21"/>
      <c r="E143" s="21"/>
      <c r="F143" s="21"/>
      <c r="G143" s="2" t="s">
        <v>136</v>
      </c>
      <c r="H143" s="78">
        <f>'Process (1)'!H71</f>
        <v>1.4335664335664333E-2</v>
      </c>
      <c r="I143" s="21"/>
    </row>
    <row r="144" spans="1:9" ht="18.75" customHeight="1" x14ac:dyDescent="0.35">
      <c r="A144" s="108"/>
      <c r="B144" s="94" t="s">
        <v>110</v>
      </c>
      <c r="C144" s="21"/>
      <c r="D144" s="21"/>
      <c r="E144" s="21"/>
      <c r="F144" s="21"/>
      <c r="G144" s="2" t="s">
        <v>154</v>
      </c>
      <c r="H144" s="78">
        <f>'Process (1)'!H72</f>
        <v>7.4999999999999997E-3</v>
      </c>
      <c r="I144" s="21"/>
    </row>
    <row r="145" spans="1:9" ht="18.75" customHeight="1" x14ac:dyDescent="0.35">
      <c r="A145" s="108"/>
      <c r="B145" s="94" t="s">
        <v>111</v>
      </c>
      <c r="C145" s="21"/>
      <c r="D145" s="21"/>
      <c r="E145" s="21"/>
      <c r="F145" s="21"/>
      <c r="G145" s="2" t="s">
        <v>137</v>
      </c>
      <c r="H145" s="78">
        <f>'Process (1)'!H73</f>
        <v>1.1488511488511489E-4</v>
      </c>
      <c r="I145" s="21"/>
    </row>
    <row r="146" spans="1:9" ht="18.75" customHeight="1" x14ac:dyDescent="0.35">
      <c r="A146" s="108"/>
      <c r="B146" s="94" t="s">
        <v>142</v>
      </c>
      <c r="C146" s="21"/>
      <c r="D146" s="21"/>
      <c r="E146" s="21"/>
      <c r="F146" s="21"/>
      <c r="G146" s="2" t="s">
        <v>232</v>
      </c>
      <c r="H146" s="78">
        <f>'Process (1)'!H74</f>
        <v>1.4335664335664333E-2</v>
      </c>
      <c r="I146" s="21"/>
    </row>
    <row r="147" spans="1:9" ht="18.75" customHeight="1" x14ac:dyDescent="0.35">
      <c r="A147" s="108"/>
      <c r="B147" s="21"/>
      <c r="C147" s="21"/>
      <c r="D147" s="21"/>
      <c r="E147" s="21"/>
      <c r="F147" s="21"/>
      <c r="G147" s="21"/>
      <c r="H147" s="21"/>
      <c r="I147" s="21"/>
    </row>
    <row r="148" spans="1:9" ht="18.75" customHeight="1" x14ac:dyDescent="0.35">
      <c r="A148" s="108"/>
      <c r="B148" s="21" t="s">
        <v>219</v>
      </c>
      <c r="C148" s="21"/>
      <c r="D148" s="21"/>
      <c r="E148" s="21"/>
      <c r="F148" s="21"/>
      <c r="G148" s="21"/>
      <c r="H148" s="21"/>
      <c r="I148" s="21"/>
    </row>
    <row r="149" spans="1:9" ht="18.75" customHeight="1" x14ac:dyDescent="0.35">
      <c r="A149" s="108"/>
      <c r="C149" s="21"/>
      <c r="D149" s="21"/>
      <c r="E149" s="2" t="s">
        <v>233</v>
      </c>
      <c r="F149" s="80">
        <f>H146</f>
        <v>1.4335664335664333E-2</v>
      </c>
      <c r="G149" s="79" t="s">
        <v>220</v>
      </c>
      <c r="H149" s="57">
        <f>'Process (1)'!H77</f>
        <v>559.09090909090901</v>
      </c>
      <c r="I149" s="5" t="s">
        <v>21</v>
      </c>
    </row>
    <row r="150" spans="1:9" ht="18.75" customHeight="1" x14ac:dyDescent="0.35">
      <c r="A150" s="108"/>
      <c r="B150" s="21" t="s">
        <v>196</v>
      </c>
      <c r="C150" s="21"/>
      <c r="D150" s="21"/>
      <c r="E150" s="21"/>
      <c r="F150" s="21"/>
      <c r="G150" s="2" t="s">
        <v>236</v>
      </c>
      <c r="H150" s="57">
        <f>'Process (1)'!H78</f>
        <v>132.66499999999999</v>
      </c>
      <c r="I150" s="5" t="s">
        <v>21</v>
      </c>
    </row>
    <row r="151" spans="1:9" ht="18.75" customHeight="1" x14ac:dyDescent="0.35">
      <c r="A151" s="108"/>
      <c r="B151" s="21" t="s">
        <v>198</v>
      </c>
      <c r="C151" s="21"/>
      <c r="D151" s="21"/>
      <c r="E151" s="21"/>
      <c r="F151" s="21"/>
      <c r="G151" s="2" t="s">
        <v>237</v>
      </c>
      <c r="H151" s="57">
        <f>'Process (1)'!H79</f>
        <v>4.2143060271428716</v>
      </c>
      <c r="I151" s="5"/>
    </row>
    <row r="152" spans="1:9" ht="18.75" customHeight="1" x14ac:dyDescent="0.35">
      <c r="A152" s="108"/>
      <c r="B152" s="21" t="s">
        <v>227</v>
      </c>
      <c r="C152" s="21"/>
      <c r="D152" s="21"/>
      <c r="E152" s="21"/>
      <c r="F152" s="21"/>
      <c r="G152" s="2" t="s">
        <v>147</v>
      </c>
      <c r="H152" s="57">
        <f>'Process (1)'!H80</f>
        <v>5</v>
      </c>
      <c r="I152" s="5"/>
    </row>
    <row r="153" spans="1:9" ht="18.75" customHeight="1" x14ac:dyDescent="0.35">
      <c r="A153" s="108"/>
      <c r="B153" s="1" t="s">
        <v>226</v>
      </c>
      <c r="D153" s="3" t="s">
        <v>228</v>
      </c>
      <c r="E153" s="60" t="s">
        <v>152</v>
      </c>
      <c r="F153" s="3" t="s">
        <v>234</v>
      </c>
      <c r="I153" s="5"/>
    </row>
    <row r="154" spans="1:9" ht="18.75" customHeight="1" x14ac:dyDescent="0.35">
      <c r="A154" s="108"/>
      <c r="C154" s="81" t="s">
        <v>153</v>
      </c>
      <c r="D154" s="58">
        <f>H152</f>
        <v>5</v>
      </c>
      <c r="E154" s="3" t="str">
        <f>IF(D154&gt;=F154,"≥","&lt;")</f>
        <v>≥</v>
      </c>
      <c r="F154" s="58">
        <f>H151</f>
        <v>4.2143060271428716</v>
      </c>
      <c r="G154" s="6" t="s">
        <v>20</v>
      </c>
      <c r="H154" s="7" t="str">
        <f>IF(D154&gt;=F154,"[ OK ]","[ NOT OK ]")</f>
        <v>[ OK ]</v>
      </c>
      <c r="I154" s="5"/>
    </row>
    <row r="155" spans="1:9" ht="18.75" customHeight="1" x14ac:dyDescent="0.35">
      <c r="A155" s="108"/>
      <c r="B155" s="21"/>
      <c r="C155" s="21"/>
      <c r="D155" s="21"/>
      <c r="E155" s="21"/>
      <c r="F155" s="21"/>
      <c r="G155" s="2"/>
      <c r="H155" s="74"/>
      <c r="I155" s="5"/>
    </row>
    <row r="156" spans="1:9" ht="18.75" customHeight="1" x14ac:dyDescent="0.35">
      <c r="A156" s="108"/>
      <c r="B156" s="21" t="s">
        <v>221</v>
      </c>
      <c r="C156" s="21"/>
      <c r="D156" s="21"/>
      <c r="E156" s="21"/>
      <c r="F156" s="21"/>
      <c r="G156" s="88">
        <f>IF(H154="[ OK ]",IF(D154&gt;=ROUNDUP(H151,0),D154),"")</f>
        <v>5</v>
      </c>
      <c r="H156" s="89" t="str">
        <f>IF(H154="[ OK ]","  D"&amp;Input!H115&amp;" - "&amp;H118,"")</f>
        <v xml:space="preserve">  D - 75</v>
      </c>
      <c r="I156" s="5"/>
    </row>
    <row r="157" spans="1:9" ht="18.75" customHeight="1" x14ac:dyDescent="0.35">
      <c r="A157" s="108"/>
      <c r="B157" s="1" t="s">
        <v>151</v>
      </c>
      <c r="D157" s="3" t="s">
        <v>238</v>
      </c>
      <c r="E157" s="60" t="s">
        <v>152</v>
      </c>
      <c r="F157" s="3" t="s">
        <v>235</v>
      </c>
      <c r="I157" s="21"/>
    </row>
    <row r="158" spans="1:9" ht="18.75" customHeight="1" x14ac:dyDescent="0.35">
      <c r="A158" s="108"/>
      <c r="C158" s="81" t="s">
        <v>153</v>
      </c>
      <c r="D158" s="58">
        <f>D154*H150</f>
        <v>663.32499999999993</v>
      </c>
      <c r="E158" s="3" t="str">
        <f>IF(D158&gt;=F158,"≥","&lt;")</f>
        <v>≥</v>
      </c>
      <c r="F158" s="58">
        <f>H149</f>
        <v>559.09090909090901</v>
      </c>
      <c r="G158" s="6" t="s">
        <v>20</v>
      </c>
      <c r="H158" s="7" t="str">
        <f>IF(D158&gt;=F158,"[ OK ]","[ NOT OK ]")</f>
        <v>[ OK ]</v>
      </c>
      <c r="I158" s="21"/>
    </row>
    <row r="159" spans="1:9" ht="18.75" customHeight="1" x14ac:dyDescent="0.35">
      <c r="A159" s="108"/>
      <c r="B159" s="21"/>
      <c r="C159" s="81"/>
      <c r="D159" s="87"/>
      <c r="E159" s="3"/>
      <c r="F159" s="87"/>
      <c r="G159" s="6"/>
      <c r="H159" s="7"/>
      <c r="I159" s="21"/>
    </row>
    <row r="160" spans="1:9" ht="18.75" customHeight="1" x14ac:dyDescent="0.35">
      <c r="A160" s="108"/>
      <c r="B160" s="21"/>
      <c r="C160" s="21"/>
      <c r="D160" s="21"/>
      <c r="E160" s="21"/>
      <c r="F160" s="21"/>
      <c r="G160" s="21"/>
      <c r="H160" s="21"/>
      <c r="I160" s="21"/>
    </row>
    <row r="161" spans="1:9" ht="18.75" customHeight="1" x14ac:dyDescent="0.35">
      <c r="A161" s="108"/>
      <c r="B161" s="21" t="s">
        <v>222</v>
      </c>
      <c r="C161" s="21"/>
      <c r="D161" s="21"/>
      <c r="E161" s="21"/>
      <c r="F161" s="21"/>
      <c r="G161" s="21"/>
      <c r="H161" s="21"/>
      <c r="I161" s="21"/>
    </row>
    <row r="162" spans="1:9" ht="18.75" customHeight="1" x14ac:dyDescent="0.35">
      <c r="A162" s="108"/>
      <c r="C162" s="21"/>
      <c r="D162" s="21"/>
      <c r="E162" s="2" t="s">
        <v>239</v>
      </c>
      <c r="F162" s="80">
        <f>H146</f>
        <v>1.4335664335664333E-2</v>
      </c>
      <c r="G162" s="79" t="s">
        <v>223</v>
      </c>
      <c r="H162" s="57">
        <f>'Process (1)'!H90</f>
        <v>236.53846153846149</v>
      </c>
      <c r="I162" s="5" t="s">
        <v>21</v>
      </c>
    </row>
    <row r="163" spans="1:9" ht="18.75" customHeight="1" x14ac:dyDescent="0.35">
      <c r="A163" s="108"/>
      <c r="B163" s="21" t="s">
        <v>149</v>
      </c>
      <c r="C163" s="21"/>
      <c r="D163" s="21"/>
      <c r="E163" s="21"/>
      <c r="F163" s="21"/>
      <c r="G163" s="2" t="s">
        <v>199</v>
      </c>
      <c r="H163" s="57">
        <f>'Process (1)'!H91</f>
        <v>132.66499999999999</v>
      </c>
      <c r="I163" s="5" t="s">
        <v>21</v>
      </c>
    </row>
    <row r="164" spans="1:9" ht="18.75" customHeight="1" x14ac:dyDescent="0.35">
      <c r="A164" s="108"/>
      <c r="B164" s="21" t="s">
        <v>198</v>
      </c>
      <c r="C164" s="21"/>
      <c r="D164" s="21"/>
      <c r="E164" s="21"/>
      <c r="F164" s="21"/>
      <c r="G164" s="2" t="s">
        <v>240</v>
      </c>
      <c r="H164" s="57">
        <f>'Process (1)'!H92</f>
        <v>1.7829756268681378</v>
      </c>
      <c r="I164" s="5"/>
    </row>
    <row r="165" spans="1:9" ht="18.75" customHeight="1" x14ac:dyDescent="0.35">
      <c r="A165" s="108"/>
      <c r="B165" s="21" t="s">
        <v>229</v>
      </c>
      <c r="C165" s="21"/>
      <c r="D165" s="21"/>
      <c r="E165" s="21"/>
      <c r="F165" s="21"/>
      <c r="G165" s="2" t="s">
        <v>148</v>
      </c>
      <c r="H165" s="57">
        <f>'Process (1)'!H93</f>
        <v>3</v>
      </c>
      <c r="I165" s="5"/>
    </row>
    <row r="166" spans="1:9" ht="18.75" customHeight="1" x14ac:dyDescent="0.35">
      <c r="A166" s="108"/>
      <c r="B166" s="1" t="s">
        <v>226</v>
      </c>
      <c r="D166" s="3" t="s">
        <v>230</v>
      </c>
      <c r="E166" s="60" t="s">
        <v>152</v>
      </c>
      <c r="F166" s="3" t="s">
        <v>241</v>
      </c>
      <c r="I166" s="5"/>
    </row>
    <row r="167" spans="1:9" ht="18.75" customHeight="1" x14ac:dyDescent="0.35">
      <c r="A167" s="108"/>
      <c r="C167" s="81" t="s">
        <v>153</v>
      </c>
      <c r="D167" s="58">
        <f>H165</f>
        <v>3</v>
      </c>
      <c r="E167" s="3" t="str">
        <f>IF(D167&gt;=F167,"≥","&lt;")</f>
        <v>≥</v>
      </c>
      <c r="F167" s="58">
        <f>H164</f>
        <v>1.7829756268681378</v>
      </c>
      <c r="G167" s="6" t="s">
        <v>20</v>
      </c>
      <c r="H167" s="7" t="str">
        <f>IF(D167&gt;=F167,"[ OK ]","[ NOT OK ]")</f>
        <v>[ OK ]</v>
      </c>
      <c r="I167" s="5"/>
    </row>
    <row r="168" spans="1:9" ht="18.75" customHeight="1" x14ac:dyDescent="0.35">
      <c r="A168" s="108"/>
      <c r="B168" s="21"/>
      <c r="C168" s="21"/>
      <c r="D168" s="21"/>
      <c r="E168" s="21"/>
      <c r="F168" s="21"/>
      <c r="G168" s="2"/>
      <c r="H168" s="74"/>
      <c r="I168" s="5"/>
    </row>
    <row r="169" spans="1:9" ht="18.75" customHeight="1" x14ac:dyDescent="0.35">
      <c r="A169" s="108"/>
      <c r="B169" s="21" t="s">
        <v>224</v>
      </c>
      <c r="C169" s="21"/>
      <c r="D169" s="21"/>
      <c r="E169" s="21"/>
      <c r="F169" s="21"/>
      <c r="G169" s="88">
        <f>IF(H167="[ OK ]",IF(D167&gt;=ROUNDUP(H164,0),D167),"")</f>
        <v>3</v>
      </c>
      <c r="H169" s="89" t="str">
        <f>IF(H154="[ OK ]","  D"&amp;Input!H115&amp;" - "&amp;H118,"")</f>
        <v xml:space="preserve">  D - 75</v>
      </c>
      <c r="I169" s="5"/>
    </row>
    <row r="170" spans="1:9" ht="18.75" customHeight="1" x14ac:dyDescent="0.35">
      <c r="A170" s="108"/>
      <c r="B170" s="1" t="s">
        <v>151</v>
      </c>
      <c r="D170" s="3" t="s">
        <v>242</v>
      </c>
      <c r="E170" s="60" t="s">
        <v>152</v>
      </c>
      <c r="F170" s="3" t="s">
        <v>243</v>
      </c>
      <c r="I170" s="21"/>
    </row>
    <row r="171" spans="1:9" ht="18.75" customHeight="1" x14ac:dyDescent="0.35">
      <c r="A171" s="108"/>
      <c r="C171" s="81" t="s">
        <v>153</v>
      </c>
      <c r="D171" s="58">
        <f>H163*G169</f>
        <v>397.995</v>
      </c>
      <c r="E171" s="3" t="str">
        <f>IF(D171&gt;=F171,"≥","&lt;")</f>
        <v>≥</v>
      </c>
      <c r="F171" s="58">
        <f>H162</f>
        <v>236.53846153846149</v>
      </c>
      <c r="G171" s="6" t="s">
        <v>20</v>
      </c>
      <c r="H171" s="7" t="str">
        <f>IF(D171&gt;=F171,"[ OK ]","[ NOT OK ]")</f>
        <v>[ OK ]</v>
      </c>
      <c r="I171" s="21"/>
    </row>
    <row r="172" spans="1:9" ht="18.75" customHeight="1" x14ac:dyDescent="0.35">
      <c r="A172" s="108"/>
      <c r="B172" s="21"/>
      <c r="I172" s="21"/>
    </row>
    <row r="173" spans="1:9" ht="18.75" customHeight="1" x14ac:dyDescent="0.35">
      <c r="A173" s="108"/>
      <c r="B173" s="21"/>
      <c r="C173" s="21"/>
      <c r="D173" s="21"/>
      <c r="E173" s="21"/>
      <c r="F173" s="21"/>
      <c r="G173" s="21"/>
      <c r="H173" s="21"/>
      <c r="I173" s="21"/>
    </row>
    <row r="174" spans="1:9" ht="18.75" customHeight="1" x14ac:dyDescent="0.35">
      <c r="A174" s="101"/>
      <c r="B174" s="92" t="s">
        <v>155</v>
      </c>
      <c r="C174" s="21"/>
      <c r="D174" s="21"/>
      <c r="E174" s="21"/>
      <c r="F174" s="21"/>
      <c r="G174" s="21"/>
      <c r="H174" s="21"/>
      <c r="I174" s="21"/>
    </row>
    <row r="175" spans="1:9" ht="18.75" customHeight="1" x14ac:dyDescent="0.35">
      <c r="A175" s="108"/>
      <c r="B175" s="21" t="s">
        <v>156</v>
      </c>
      <c r="C175" s="21"/>
      <c r="D175" s="21"/>
      <c r="E175" s="21"/>
      <c r="F175" s="21"/>
      <c r="G175" s="21"/>
      <c r="H175" s="21"/>
      <c r="I175" s="21"/>
    </row>
    <row r="176" spans="1:9" ht="18.75" customHeight="1" x14ac:dyDescent="0.35">
      <c r="A176" s="108"/>
      <c r="B176" s="109" t="s">
        <v>107</v>
      </c>
      <c r="C176" s="21"/>
      <c r="D176" s="21"/>
      <c r="E176" s="21"/>
      <c r="F176" s="21"/>
      <c r="G176" s="53" t="s">
        <v>83</v>
      </c>
      <c r="H176" s="57">
        <f>'Process (1)'!H104</f>
        <v>53.333333333333329</v>
      </c>
      <c r="I176" s="5" t="s">
        <v>4</v>
      </c>
    </row>
    <row r="177" spans="1:9" ht="18.75" customHeight="1" x14ac:dyDescent="0.35">
      <c r="A177" s="108"/>
      <c r="B177" s="109" t="s">
        <v>108</v>
      </c>
      <c r="C177" s="21"/>
      <c r="D177" s="21"/>
      <c r="E177" s="21"/>
      <c r="F177" s="21"/>
      <c r="G177" s="53"/>
      <c r="H177" s="53"/>
      <c r="I177" s="5"/>
    </row>
    <row r="178" spans="1:9" ht="18.75" customHeight="1" x14ac:dyDescent="0.35">
      <c r="A178" s="108"/>
      <c r="B178" s="94" t="s">
        <v>109</v>
      </c>
      <c r="C178" s="21"/>
      <c r="D178" s="21"/>
      <c r="E178" s="21"/>
      <c r="F178" s="21"/>
      <c r="G178" s="53" t="s">
        <v>89</v>
      </c>
      <c r="H178" s="57">
        <f>'Process (1)'!H106</f>
        <v>132</v>
      </c>
      <c r="I178" s="5" t="s">
        <v>4</v>
      </c>
    </row>
    <row r="179" spans="1:9" ht="18.75" customHeight="1" x14ac:dyDescent="0.35">
      <c r="A179" s="108"/>
      <c r="B179" s="94" t="s">
        <v>110</v>
      </c>
      <c r="C179" s="21"/>
      <c r="D179" s="21"/>
      <c r="E179" s="21"/>
      <c r="F179" s="21"/>
      <c r="G179" s="53" t="s">
        <v>114</v>
      </c>
      <c r="H179" s="57">
        <f>'Process (1)'!H107</f>
        <v>150</v>
      </c>
      <c r="I179" s="112" t="s">
        <v>4</v>
      </c>
    </row>
    <row r="180" spans="1:9" ht="18.75" customHeight="1" x14ac:dyDescent="0.35">
      <c r="A180" s="108"/>
      <c r="B180" s="110" t="s">
        <v>246</v>
      </c>
      <c r="C180" s="21"/>
      <c r="D180" s="21"/>
      <c r="E180" s="21"/>
      <c r="F180" s="21"/>
      <c r="G180" s="53" t="s">
        <v>114</v>
      </c>
      <c r="H180" s="57">
        <f>'Process (1)'!H108</f>
        <v>132</v>
      </c>
      <c r="I180" s="112" t="s">
        <v>4</v>
      </c>
    </row>
    <row r="181" spans="1:9" ht="18.75" customHeight="1" x14ac:dyDescent="0.35">
      <c r="A181" s="108"/>
      <c r="B181" s="21"/>
      <c r="C181" s="21"/>
      <c r="D181" s="21"/>
      <c r="E181" s="21"/>
      <c r="F181" s="21"/>
      <c r="G181" s="53"/>
      <c r="H181" s="74"/>
      <c r="I181" s="5"/>
    </row>
    <row r="182" spans="1:9" ht="18.75" customHeight="1" x14ac:dyDescent="0.35">
      <c r="A182" s="108"/>
      <c r="B182" s="21"/>
      <c r="C182" s="21"/>
      <c r="D182" s="21"/>
      <c r="E182" s="21"/>
      <c r="F182" s="21"/>
      <c r="G182" s="53"/>
      <c r="H182" s="74"/>
      <c r="I182" s="5"/>
    </row>
    <row r="183" spans="1:9" ht="18.75" customHeight="1" x14ac:dyDescent="0.35">
      <c r="A183" s="108"/>
      <c r="B183" s="21"/>
      <c r="C183" s="21"/>
      <c r="D183" s="21"/>
      <c r="E183" s="21"/>
      <c r="F183" s="21"/>
      <c r="G183" s="53"/>
      <c r="H183" s="74"/>
      <c r="I183" s="5"/>
    </row>
    <row r="184" spans="1:9" ht="18.649999999999999" customHeight="1" x14ac:dyDescent="0.35">
      <c r="A184" s="108"/>
      <c r="B184" s="93" t="s">
        <v>115</v>
      </c>
      <c r="C184" s="21"/>
      <c r="D184" s="21"/>
      <c r="E184" s="21"/>
      <c r="F184" s="21"/>
      <c r="G184" s="53"/>
      <c r="H184" s="53"/>
      <c r="I184" s="5"/>
    </row>
    <row r="185" spans="1:9" ht="18.75" customHeight="1" x14ac:dyDescent="0.35">
      <c r="A185" s="108"/>
      <c r="C185" s="3" t="s">
        <v>84</v>
      </c>
      <c r="D185" s="60" t="s">
        <v>79</v>
      </c>
      <c r="E185" s="62" t="s">
        <v>245</v>
      </c>
      <c r="F185" s="60" t="s">
        <v>79</v>
      </c>
      <c r="G185" s="62" t="s">
        <v>85</v>
      </c>
      <c r="H185" s="3"/>
      <c r="I185" s="21"/>
    </row>
    <row r="186" spans="1:9" ht="18.75" customHeight="1" x14ac:dyDescent="0.35">
      <c r="A186" s="108"/>
      <c r="B186" s="9"/>
      <c r="C186" s="58">
        <f>H176</f>
        <v>53.333333333333329</v>
      </c>
      <c r="D186" s="3" t="str">
        <f>IF(C186&gt;E186,"&gt;","≤")</f>
        <v>≤</v>
      </c>
      <c r="E186" s="57">
        <f>'Process (1)'!E112</f>
        <v>120</v>
      </c>
      <c r="F186" s="3" t="str">
        <f>IF(E186&gt;G186,"&gt;","≤")</f>
        <v>≤</v>
      </c>
      <c r="G186" s="58">
        <f>H180</f>
        <v>132</v>
      </c>
      <c r="H186" s="61" t="str">
        <f>IF(AND(C186&lt;=E186,E186&lt;=G186),"→   [ OK ]","→   [ NOT OK ]")</f>
        <v>→   [ OK ]</v>
      </c>
      <c r="I186" s="21"/>
    </row>
    <row r="187" spans="1:9" ht="18.75" customHeight="1" x14ac:dyDescent="0.35">
      <c r="A187" s="108"/>
      <c r="B187" s="9"/>
      <c r="C187" s="87"/>
      <c r="D187" s="3"/>
      <c r="E187" s="87"/>
      <c r="F187" s="3"/>
      <c r="G187" s="87"/>
      <c r="H187" s="61"/>
      <c r="I187" s="21"/>
    </row>
    <row r="188" spans="1:9" ht="18.75" customHeight="1" x14ac:dyDescent="0.35">
      <c r="A188" s="108"/>
      <c r="B188" s="21" t="s">
        <v>200</v>
      </c>
      <c r="C188" s="21"/>
      <c r="D188" s="21"/>
      <c r="E188" s="21"/>
      <c r="F188" s="21"/>
      <c r="G188" s="88">
        <f>G156</f>
        <v>5</v>
      </c>
      <c r="H188" s="89" t="str">
        <f>"  D"&amp;Input!H115&amp;" - "&amp;H179</f>
        <v xml:space="preserve">  D - 150</v>
      </c>
      <c r="I188" s="5"/>
    </row>
    <row r="189" spans="1:9" ht="18.75" customHeight="1" x14ac:dyDescent="0.35">
      <c r="A189" s="108"/>
      <c r="B189" s="21" t="s">
        <v>201</v>
      </c>
      <c r="C189" s="21"/>
      <c r="D189" s="21"/>
      <c r="E189" s="21"/>
      <c r="F189" s="21"/>
      <c r="G189" s="88">
        <f>G169</f>
        <v>3</v>
      </c>
      <c r="H189" s="89" t="str">
        <f>"  D"&amp;Input!H115&amp;" - "&amp;H179</f>
        <v xml:space="preserve">  D - 150</v>
      </c>
      <c r="I189" s="5"/>
    </row>
    <row r="190" spans="1:9" ht="18.75" customHeight="1" x14ac:dyDescent="0.35">
      <c r="A190" s="108"/>
      <c r="B190" s="21"/>
      <c r="C190" s="21"/>
      <c r="D190" s="21"/>
      <c r="E190" s="21"/>
      <c r="F190" s="21"/>
      <c r="G190" s="21"/>
      <c r="H190" s="21"/>
      <c r="I190" s="21"/>
    </row>
    <row r="191" spans="1:9" ht="18.75" customHeight="1" x14ac:dyDescent="0.35">
      <c r="A191" s="42" t="s">
        <v>44</v>
      </c>
      <c r="B191" s="36" t="s">
        <v>157</v>
      </c>
      <c r="C191" s="27"/>
      <c r="D191" s="27"/>
      <c r="E191" s="27"/>
      <c r="F191" s="27"/>
      <c r="G191" s="27"/>
      <c r="H191" s="27"/>
      <c r="I191" s="27"/>
    </row>
    <row r="192" spans="1:9" ht="18.75" customHeight="1" x14ac:dyDescent="0.35">
      <c r="A192" s="108"/>
      <c r="B192" s="1" t="s">
        <v>123</v>
      </c>
      <c r="C192" s="21"/>
      <c r="D192" s="21"/>
      <c r="E192" s="21"/>
      <c r="F192" s="21"/>
      <c r="G192" s="53" t="s">
        <v>214</v>
      </c>
      <c r="H192" s="107">
        <f>'Process (1)'!H118</f>
        <v>4000</v>
      </c>
      <c r="I192" s="5" t="s">
        <v>4</v>
      </c>
    </row>
    <row r="193" spans="1:9" ht="18.75" customHeight="1" x14ac:dyDescent="0.35">
      <c r="A193" s="108"/>
      <c r="B193" s="21" t="s">
        <v>210</v>
      </c>
      <c r="C193" s="21"/>
      <c r="D193" s="21"/>
      <c r="E193" s="21"/>
      <c r="F193" s="21"/>
      <c r="G193" s="2" t="s">
        <v>215</v>
      </c>
      <c r="H193" s="90">
        <f>'Process (1)'!H119</f>
        <v>1100000000</v>
      </c>
      <c r="I193" s="5" t="s">
        <v>73</v>
      </c>
    </row>
    <row r="194" spans="1:9" ht="18.75" customHeight="1" x14ac:dyDescent="0.35">
      <c r="A194" s="108"/>
      <c r="B194" s="21" t="s">
        <v>211</v>
      </c>
      <c r="C194" s="21"/>
      <c r="D194" s="21"/>
      <c r="E194" s="21"/>
      <c r="F194" s="21"/>
      <c r="G194" s="2" t="s">
        <v>216</v>
      </c>
      <c r="H194" s="90">
        <f>'Process (1)'!H120</f>
        <v>1100000000</v>
      </c>
      <c r="I194" s="5" t="s">
        <v>73</v>
      </c>
    </row>
    <row r="195" spans="1:9" ht="18.75" customHeight="1" x14ac:dyDescent="0.35">
      <c r="A195" s="108"/>
      <c r="B195" s="21" t="s">
        <v>213</v>
      </c>
      <c r="C195" s="21"/>
      <c r="D195" s="21"/>
      <c r="E195" s="21"/>
      <c r="F195" s="21"/>
      <c r="G195" s="53" t="s">
        <v>212</v>
      </c>
      <c r="H195" s="57">
        <f>'Process (1)'!H121</f>
        <v>0.5</v>
      </c>
      <c r="I195" s="5"/>
    </row>
    <row r="196" spans="1:9" ht="18.75" customHeight="1" x14ac:dyDescent="0.35">
      <c r="A196" s="108"/>
      <c r="B196" s="21" t="s">
        <v>158</v>
      </c>
      <c r="C196" s="21"/>
      <c r="D196" s="21"/>
      <c r="E196" s="21"/>
      <c r="F196" s="21"/>
      <c r="I196" s="21"/>
    </row>
    <row r="197" spans="1:9" ht="18.75" customHeight="1" x14ac:dyDescent="0.35">
      <c r="A197" s="108"/>
      <c r="B197" s="21"/>
      <c r="C197" s="21"/>
      <c r="D197" s="21"/>
      <c r="E197" s="21"/>
      <c r="F197" s="21"/>
      <c r="G197" s="53" t="s">
        <v>159</v>
      </c>
      <c r="H197" s="57">
        <f>'Process (1)'!H123</f>
        <v>275000</v>
      </c>
      <c r="I197" s="5" t="s">
        <v>72</v>
      </c>
    </row>
    <row r="198" spans="1:9" ht="18.75" customHeight="1" x14ac:dyDescent="0.35">
      <c r="A198" s="108"/>
      <c r="B198" s="21" t="s">
        <v>161</v>
      </c>
      <c r="C198" s="21"/>
      <c r="D198" s="21"/>
      <c r="E198" s="21"/>
      <c r="F198" s="21"/>
      <c r="G198" s="53" t="s">
        <v>174</v>
      </c>
      <c r="H198" s="57">
        <f>'Process (1)'!H124</f>
        <v>240000</v>
      </c>
      <c r="I198" s="5" t="s">
        <v>72</v>
      </c>
    </row>
    <row r="199" spans="1:9" ht="18.75" customHeight="1" x14ac:dyDescent="0.35">
      <c r="A199" s="108"/>
      <c r="B199" s="21" t="s">
        <v>162</v>
      </c>
      <c r="C199" s="21"/>
      <c r="D199" s="21"/>
      <c r="E199" s="21"/>
      <c r="F199" s="21"/>
      <c r="G199" s="53" t="s">
        <v>175</v>
      </c>
      <c r="H199" s="57">
        <f>'Process (1)'!H125</f>
        <v>275000</v>
      </c>
      <c r="I199" s="5" t="s">
        <v>72</v>
      </c>
    </row>
    <row r="200" spans="1:9" ht="18.75" customHeight="1" x14ac:dyDescent="0.35">
      <c r="A200" s="108"/>
      <c r="B200" s="21"/>
      <c r="C200" s="21"/>
      <c r="D200" s="21"/>
      <c r="E200" s="21"/>
      <c r="F200" s="21"/>
      <c r="G200" s="21"/>
      <c r="H200" s="21"/>
      <c r="I200" s="21"/>
    </row>
    <row r="201" spans="1:9" ht="18.75" customHeight="1" x14ac:dyDescent="0.35">
      <c r="A201" s="108"/>
      <c r="B201" s="21" t="s">
        <v>173</v>
      </c>
      <c r="C201" s="21"/>
      <c r="D201" s="21"/>
      <c r="E201" s="21"/>
      <c r="F201" s="21"/>
      <c r="G201" s="21"/>
      <c r="H201" s="21"/>
      <c r="I201" s="21"/>
    </row>
    <row r="202" spans="1:9" ht="18.75" customHeight="1" x14ac:dyDescent="0.35">
      <c r="A202" s="108"/>
      <c r="B202" s="21" t="s">
        <v>163</v>
      </c>
      <c r="C202" s="21"/>
      <c r="D202" s="21"/>
      <c r="E202" s="21"/>
      <c r="F202" s="21"/>
      <c r="G202" s="21"/>
      <c r="H202" s="21"/>
      <c r="I202" s="21"/>
    </row>
    <row r="203" spans="1:9" ht="18.75" customHeight="1" x14ac:dyDescent="0.35">
      <c r="A203" s="108"/>
      <c r="B203" s="94" t="s">
        <v>109</v>
      </c>
      <c r="C203" s="21"/>
      <c r="D203" s="3" t="s">
        <v>176</v>
      </c>
      <c r="E203" s="60" t="s">
        <v>152</v>
      </c>
      <c r="F203" s="3" t="s">
        <v>164</v>
      </c>
      <c r="I203" s="21"/>
    </row>
    <row r="204" spans="1:9" ht="18.75" customHeight="1" x14ac:dyDescent="0.35">
      <c r="A204" s="108"/>
      <c r="C204" s="21"/>
      <c r="D204" s="69">
        <f>'Process (1)'!D130</f>
        <v>120000</v>
      </c>
      <c r="E204" s="3" t="str">
        <f>IF(D204&gt;=F204,"≥","&lt;")</f>
        <v>&lt;</v>
      </c>
      <c r="F204" s="69">
        <f>'Process (1)'!F130</f>
        <v>275000</v>
      </c>
      <c r="G204" s="6" t="s">
        <v>20</v>
      </c>
      <c r="H204" s="7" t="str">
        <f>IF(D204&gt;=F204,"[ OK ]","[ NOT OK ]")</f>
        <v>[ NOT OK ]</v>
      </c>
      <c r="I204" s="21"/>
    </row>
    <row r="205" spans="1:9" ht="18.75" customHeight="1" x14ac:dyDescent="0.35">
      <c r="A205" s="108"/>
      <c r="C205" s="21"/>
      <c r="D205" s="21"/>
      <c r="E205" s="21"/>
      <c r="F205" s="21"/>
      <c r="G205" s="21"/>
      <c r="H205" s="21"/>
      <c r="I205" s="21"/>
    </row>
    <row r="206" spans="1:9" ht="18.75" customHeight="1" x14ac:dyDescent="0.35">
      <c r="A206" s="108"/>
      <c r="B206" s="94" t="s">
        <v>110</v>
      </c>
      <c r="C206" s="21"/>
      <c r="D206" s="3" t="s">
        <v>95</v>
      </c>
      <c r="E206" s="60" t="s">
        <v>23</v>
      </c>
      <c r="F206" s="3" t="s">
        <v>172</v>
      </c>
      <c r="I206" s="21"/>
    </row>
    <row r="207" spans="1:9" ht="18.75" customHeight="1" x14ac:dyDescent="0.35">
      <c r="A207" s="108"/>
      <c r="B207" s="21"/>
      <c r="C207" s="21"/>
      <c r="D207" s="69">
        <f>'Process (1)'!D133</f>
        <v>23000</v>
      </c>
      <c r="E207" s="3" t="str">
        <f>IF(D207&gt;=F207,"≥","&lt;")</f>
        <v>&lt;</v>
      </c>
      <c r="F207" s="69">
        <f>'Process (1)'!F133</f>
        <v>315000</v>
      </c>
      <c r="G207" s="6" t="s">
        <v>20</v>
      </c>
      <c r="H207" s="7" t="str">
        <f>IF(D207&gt;=F207,"[ OK ]","[ NOT OK ]")</f>
        <v>[ NOT OK ]</v>
      </c>
      <c r="I207" s="21"/>
    </row>
    <row r="208" spans="1:9" ht="18.75" customHeight="1" x14ac:dyDescent="0.35">
      <c r="A208" s="108"/>
      <c r="B208" s="21" t="s">
        <v>96</v>
      </c>
      <c r="C208" s="21" t="str">
        <f>IF(AND(H204="[ OK ]",H207="[ OK ]"),"diasumsikan Vc = 0","Vc ≠ 0")</f>
        <v>Vc ≠ 0</v>
      </c>
      <c r="D208" s="21"/>
      <c r="E208" s="21"/>
      <c r="F208" s="21"/>
      <c r="G208" s="21"/>
      <c r="H208" s="21"/>
      <c r="I208" s="21"/>
    </row>
    <row r="209" spans="1:9" ht="18.75" customHeight="1" x14ac:dyDescent="0.35">
      <c r="A209" s="108"/>
      <c r="B209" s="21" t="s">
        <v>203</v>
      </c>
      <c r="C209" s="21"/>
      <c r="D209" s="21"/>
      <c r="E209" s="21"/>
      <c r="F209" s="21"/>
      <c r="G209" s="53" t="s">
        <v>74</v>
      </c>
      <c r="H209" s="90">
        <f>'Process (1)'!H135</f>
        <v>326000000</v>
      </c>
      <c r="I209" s="5" t="s">
        <v>73</v>
      </c>
    </row>
    <row r="210" spans="1:9" ht="18.75" customHeight="1" x14ac:dyDescent="0.35">
      <c r="A210" s="108"/>
      <c r="B210" s="21" t="s">
        <v>204</v>
      </c>
      <c r="C210" s="21"/>
      <c r="D210" s="21"/>
      <c r="E210" s="21"/>
      <c r="F210" s="21"/>
      <c r="G210" s="53" t="s">
        <v>202</v>
      </c>
      <c r="H210" s="52">
        <f>'Process (1)'!H136</f>
        <v>23000</v>
      </c>
      <c r="I210" s="5" t="s">
        <v>72</v>
      </c>
    </row>
    <row r="211" spans="1:9" ht="18.75" customHeight="1" x14ac:dyDescent="0.35">
      <c r="A211" s="108"/>
      <c r="B211" s="21" t="s">
        <v>10</v>
      </c>
      <c r="C211" s="21"/>
      <c r="D211" s="21"/>
      <c r="E211" s="21"/>
      <c r="F211" s="21"/>
      <c r="G211" s="53" t="s">
        <v>207</v>
      </c>
      <c r="H211" s="52">
        <f>'Process (1)'!H137</f>
        <v>35</v>
      </c>
      <c r="I211" s="5" t="s">
        <v>0</v>
      </c>
    </row>
    <row r="212" spans="1:9" ht="18.75" customHeight="1" x14ac:dyDescent="0.35">
      <c r="A212" s="108"/>
      <c r="B212" s="21" t="s">
        <v>59</v>
      </c>
      <c r="C212" s="21"/>
      <c r="D212" s="21"/>
      <c r="E212" s="21"/>
      <c r="F212" s="21"/>
      <c r="G212" s="2" t="s">
        <v>205</v>
      </c>
      <c r="H212" s="52">
        <f>'Process (1)'!H138</f>
        <v>600</v>
      </c>
      <c r="I212" s="5" t="s">
        <v>4</v>
      </c>
    </row>
    <row r="213" spans="1:9" ht="18.75" customHeight="1" x14ac:dyDescent="0.35">
      <c r="A213" s="108"/>
      <c r="B213" s="21" t="s">
        <v>60</v>
      </c>
      <c r="C213" s="21"/>
      <c r="D213" s="21"/>
      <c r="E213" s="21"/>
      <c r="F213" s="21"/>
      <c r="G213" s="2" t="s">
        <v>206</v>
      </c>
      <c r="H213" s="52">
        <f>'Process (1)'!H139</f>
        <v>300</v>
      </c>
      <c r="I213" s="5" t="s">
        <v>4</v>
      </c>
    </row>
    <row r="214" spans="1:9" ht="18.75" customHeight="1" x14ac:dyDescent="0.35">
      <c r="A214" s="108"/>
      <c r="B214" s="1" t="s">
        <v>8</v>
      </c>
      <c r="C214" s="21"/>
      <c r="D214" s="21"/>
      <c r="E214" s="21"/>
      <c r="F214" s="21"/>
      <c r="G214" s="2" t="s">
        <v>9</v>
      </c>
      <c r="H214" s="52">
        <f>'Process (1)'!H140</f>
        <v>40</v>
      </c>
      <c r="I214" s="5" t="s">
        <v>4</v>
      </c>
    </row>
    <row r="215" spans="1:9" ht="18.75" customHeight="1" x14ac:dyDescent="0.35">
      <c r="A215" s="108"/>
      <c r="B215" s="109" t="s">
        <v>66</v>
      </c>
      <c r="C215" s="21"/>
      <c r="D215" s="21"/>
      <c r="E215" s="21"/>
      <c r="F215" s="21"/>
    </row>
    <row r="216" spans="1:9" ht="18.75" customHeight="1" x14ac:dyDescent="0.35">
      <c r="A216" s="108"/>
      <c r="B216" s="109"/>
      <c r="C216" s="21"/>
      <c r="D216" s="21"/>
      <c r="E216" s="21"/>
      <c r="F216" s="21"/>
      <c r="G216" s="53" t="s">
        <v>208</v>
      </c>
      <c r="H216" s="52">
        <f>'Process (1)'!H142</f>
        <v>536</v>
      </c>
      <c r="I216" s="5" t="s">
        <v>4</v>
      </c>
    </row>
    <row r="217" spans="1:9" ht="18.75" customHeight="1" x14ac:dyDescent="0.35">
      <c r="A217" s="108"/>
      <c r="B217" s="109"/>
      <c r="C217" s="21"/>
      <c r="D217" s="21"/>
      <c r="E217" s="21"/>
      <c r="F217" s="21"/>
      <c r="G217" s="53"/>
      <c r="H217" s="53"/>
      <c r="I217" s="5"/>
    </row>
    <row r="218" spans="1:9" ht="18.75" customHeight="1" x14ac:dyDescent="0.35">
      <c r="A218" s="108"/>
      <c r="B218" s="21" t="s">
        <v>25</v>
      </c>
      <c r="C218" s="21"/>
      <c r="D218" s="21"/>
      <c r="E218" s="21"/>
      <c r="F218" s="21"/>
      <c r="G218" s="2" t="s">
        <v>75</v>
      </c>
      <c r="H218" s="52">
        <f>'Process (1)'!H144</f>
        <v>180000</v>
      </c>
      <c r="I218" s="5" t="s">
        <v>21</v>
      </c>
    </row>
    <row r="219" spans="1:9" ht="18.75" customHeight="1" x14ac:dyDescent="0.35">
      <c r="A219" s="108"/>
      <c r="B219" s="21" t="s">
        <v>69</v>
      </c>
      <c r="C219" s="21"/>
      <c r="D219" s="21"/>
      <c r="E219" s="21"/>
      <c r="F219" s="21"/>
      <c r="G219" s="2" t="s">
        <v>209</v>
      </c>
      <c r="H219" s="52">
        <f>'Process (1)'!H145</f>
        <v>379.94</v>
      </c>
      <c r="I219" s="5" t="s">
        <v>21</v>
      </c>
    </row>
    <row r="220" spans="1:9" ht="18.75" customHeight="1" x14ac:dyDescent="0.35">
      <c r="A220" s="108"/>
      <c r="B220" s="21" t="s">
        <v>67</v>
      </c>
      <c r="C220" s="21"/>
      <c r="D220" s="21"/>
      <c r="E220" s="21"/>
      <c r="F220" s="21"/>
      <c r="G220" s="53" t="s">
        <v>68</v>
      </c>
      <c r="H220" s="52">
        <f>'Process (1)'!H146</f>
        <v>1.1814054726368159E-3</v>
      </c>
      <c r="I220" s="5"/>
    </row>
    <row r="221" spans="1:9" ht="18.75" customHeight="1" x14ac:dyDescent="0.35">
      <c r="A221" s="108"/>
      <c r="B221" s="21" t="s">
        <v>71</v>
      </c>
      <c r="C221" s="21"/>
      <c r="D221" s="21"/>
      <c r="E221" s="21"/>
      <c r="F221" s="21"/>
      <c r="G221" s="56" t="s">
        <v>70</v>
      </c>
      <c r="H221" s="52">
        <f>'Process (1)'!H147</f>
        <v>1</v>
      </c>
      <c r="I221" s="5"/>
    </row>
    <row r="222" spans="1:9" ht="18.75" customHeight="1" x14ac:dyDescent="0.35">
      <c r="A222" s="108"/>
      <c r="B222" s="21"/>
      <c r="C222" s="21"/>
      <c r="D222" s="21"/>
      <c r="E222" s="21"/>
      <c r="F222" s="21"/>
      <c r="G222" s="21"/>
      <c r="I222" s="5"/>
    </row>
    <row r="223" spans="1:9" ht="18.75" customHeight="1" x14ac:dyDescent="0.35">
      <c r="A223" s="108"/>
      <c r="B223" s="21" t="s">
        <v>57</v>
      </c>
      <c r="C223" s="21"/>
      <c r="D223" s="21"/>
      <c r="E223" s="21"/>
      <c r="F223" s="21"/>
      <c r="I223" s="5"/>
    </row>
    <row r="224" spans="1:9" ht="18.75" customHeight="1" x14ac:dyDescent="0.35">
      <c r="A224" s="108"/>
      <c r="B224" s="21"/>
      <c r="C224" s="21"/>
      <c r="D224" s="21"/>
      <c r="E224" s="21"/>
      <c r="F224" s="21"/>
      <c r="G224" s="53" t="s">
        <v>62</v>
      </c>
      <c r="H224" s="57">
        <f>'Process (1)'!H150</f>
        <v>326.39598136977202</v>
      </c>
      <c r="I224" s="5" t="s">
        <v>19</v>
      </c>
    </row>
    <row r="225" spans="1:9" ht="18.75" customHeight="1" x14ac:dyDescent="0.35">
      <c r="A225" s="108"/>
      <c r="B225" s="21"/>
      <c r="C225" s="21"/>
      <c r="D225" s="21"/>
      <c r="E225" s="21"/>
      <c r="F225" s="21"/>
      <c r="G225" s="53" t="s">
        <v>65</v>
      </c>
      <c r="H225" s="57">
        <f>'Process (1)'!H151</f>
        <v>307.35541344663187</v>
      </c>
      <c r="I225" s="5" t="s">
        <v>19</v>
      </c>
    </row>
    <row r="226" spans="1:9" ht="18.75" customHeight="1" x14ac:dyDescent="0.35">
      <c r="A226" s="108"/>
      <c r="B226" s="21"/>
      <c r="C226" s="21"/>
      <c r="D226" s="21"/>
      <c r="E226" s="21"/>
      <c r="F226" s="21"/>
      <c r="G226" s="53" t="s">
        <v>64</v>
      </c>
      <c r="H226" s="57">
        <f>'Process (1)'!H152</f>
        <v>561.88711269421367</v>
      </c>
      <c r="I226" s="5" t="s">
        <v>19</v>
      </c>
    </row>
    <row r="227" spans="1:9" ht="18.75" customHeight="1" x14ac:dyDescent="0.35">
      <c r="A227" s="108"/>
      <c r="B227" s="21"/>
      <c r="C227" s="21"/>
      <c r="D227" s="21"/>
      <c r="E227" s="21"/>
      <c r="F227" s="21"/>
      <c r="G227" s="53" t="s">
        <v>63</v>
      </c>
      <c r="H227" s="57">
        <f>MIN(H224:H226)</f>
        <v>307.35541344663187</v>
      </c>
      <c r="I227" s="5" t="s">
        <v>19</v>
      </c>
    </row>
    <row r="228" spans="1:9" ht="18.75" customHeight="1" x14ac:dyDescent="0.35">
      <c r="A228" s="108"/>
      <c r="C228" s="21"/>
      <c r="D228" s="21"/>
      <c r="E228" s="21"/>
      <c r="F228" s="21"/>
      <c r="G228" s="21"/>
      <c r="H228" s="21"/>
      <c r="I228" s="21"/>
    </row>
    <row r="229" spans="1:9" ht="18.75" customHeight="1" x14ac:dyDescent="0.35">
      <c r="A229" s="108"/>
      <c r="B229" s="21"/>
      <c r="C229" s="21"/>
      <c r="D229" s="21"/>
      <c r="E229" s="21"/>
      <c r="F229" s="21"/>
      <c r="G229" s="56" t="s">
        <v>77</v>
      </c>
      <c r="H229" s="57">
        <f>'Process (1)'!H155</f>
        <v>0.75</v>
      </c>
      <c r="I229" s="21"/>
    </row>
    <row r="230" spans="1:9" ht="18.75" customHeight="1" x14ac:dyDescent="0.35">
      <c r="A230" s="108"/>
      <c r="B230" s="21" t="s">
        <v>76</v>
      </c>
      <c r="C230" s="21"/>
      <c r="D230" s="21"/>
      <c r="E230" s="21"/>
      <c r="F230" s="21"/>
      <c r="G230" s="56"/>
      <c r="H230" s="74"/>
      <c r="I230" s="21"/>
    </row>
    <row r="231" spans="1:9" ht="18.75" customHeight="1" x14ac:dyDescent="0.35">
      <c r="A231" s="108"/>
      <c r="B231" s="93" t="s">
        <v>22</v>
      </c>
      <c r="D231" s="3" t="s">
        <v>80</v>
      </c>
      <c r="E231" s="60" t="s">
        <v>79</v>
      </c>
      <c r="F231" s="59" t="s">
        <v>78</v>
      </c>
      <c r="G231" s="5"/>
      <c r="H231" s="3"/>
      <c r="I231" s="21"/>
    </row>
    <row r="232" spans="1:9" ht="18.75" customHeight="1" x14ac:dyDescent="0.35">
      <c r="A232" s="108"/>
      <c r="C232" s="37" t="s">
        <v>166</v>
      </c>
      <c r="D232" s="58">
        <f>'Process (1)'!D158</f>
        <v>275</v>
      </c>
      <c r="E232" s="3" t="str">
        <f>IF(D232&gt;F232,"&gt;","≤")</f>
        <v>≤</v>
      </c>
      <c r="F232" s="58">
        <f>'Process (1)'!F158</f>
        <v>324.69581736809329</v>
      </c>
      <c r="G232" s="6" t="s">
        <v>20</v>
      </c>
      <c r="H232" s="7" t="str">
        <f>IF(D232&lt;=F232,"[ OK ]","[ NOT OK ]")</f>
        <v>[ OK ]</v>
      </c>
      <c r="I232" s="21"/>
    </row>
    <row r="233" spans="1:9" ht="18.75" customHeight="1" x14ac:dyDescent="0.35">
      <c r="A233" s="108"/>
      <c r="B233" s="21"/>
      <c r="C233" s="21"/>
      <c r="D233" s="21"/>
      <c r="E233" s="21"/>
      <c r="F233" s="21"/>
      <c r="G233" s="21"/>
      <c r="H233" s="21"/>
      <c r="I233" s="21"/>
    </row>
    <row r="234" spans="1:9" ht="18.75" customHeight="1" x14ac:dyDescent="0.35">
      <c r="A234" s="108"/>
      <c r="B234" s="21" t="s">
        <v>165</v>
      </c>
      <c r="C234" s="21"/>
      <c r="D234" s="21"/>
      <c r="E234" s="21"/>
      <c r="F234" s="21"/>
      <c r="G234" s="21"/>
      <c r="H234" s="21"/>
      <c r="I234" s="21"/>
    </row>
    <row r="235" spans="1:9" ht="18.75" customHeight="1" x14ac:dyDescent="0.35">
      <c r="A235" s="108"/>
      <c r="B235" s="21"/>
      <c r="C235" s="21"/>
      <c r="D235" s="3" t="s">
        <v>80</v>
      </c>
      <c r="E235" s="60" t="s">
        <v>24</v>
      </c>
      <c r="F235" s="3" t="s">
        <v>167</v>
      </c>
      <c r="I235" s="21"/>
    </row>
    <row r="236" spans="1:9" ht="18.75" customHeight="1" x14ac:dyDescent="0.35">
      <c r="A236" s="108"/>
      <c r="B236" s="21"/>
      <c r="C236" s="37" t="s">
        <v>166</v>
      </c>
      <c r="D236" s="58">
        <f>'Process (1)'!D162</f>
        <v>275</v>
      </c>
      <c r="E236" s="3" t="str">
        <f>IF(D236&gt;F236,"&gt;","≤")</f>
        <v>&gt;</v>
      </c>
      <c r="F236" s="58">
        <f>'Process (1)'!F162</f>
        <v>230.51656008497389</v>
      </c>
      <c r="G236" s="82" t="str">
        <f>IF(D236&gt;=F236,"→    [ perlu tul. Geser ]","→    [ tidak perlu tul. geser ]")</f>
        <v>→    [ perlu tul. Geser ]</v>
      </c>
      <c r="I236" s="21"/>
    </row>
    <row r="237" spans="1:9" ht="18.75" customHeight="1" x14ac:dyDescent="0.35">
      <c r="A237" s="108"/>
      <c r="B237" s="21"/>
      <c r="C237" s="21"/>
      <c r="D237" s="21"/>
      <c r="E237" s="21"/>
      <c r="F237" s="21"/>
      <c r="G237" s="21"/>
      <c r="H237" s="21"/>
      <c r="I237" s="21"/>
    </row>
    <row r="238" spans="1:9" ht="18.75" customHeight="1" x14ac:dyDescent="0.35">
      <c r="A238" s="108"/>
      <c r="B238" s="21" t="s">
        <v>168</v>
      </c>
      <c r="C238" s="21"/>
      <c r="D238" s="21"/>
      <c r="E238" s="21"/>
      <c r="F238" s="21"/>
      <c r="G238" s="2" t="s">
        <v>169</v>
      </c>
      <c r="H238" s="58">
        <f>'Process (1)'!H164</f>
        <v>19.75987913780477</v>
      </c>
      <c r="I238" s="5" t="s">
        <v>21</v>
      </c>
    </row>
    <row r="239" spans="1:9" ht="18.75" customHeight="1" x14ac:dyDescent="0.35">
      <c r="A239" s="108"/>
      <c r="B239" s="21" t="s">
        <v>196</v>
      </c>
      <c r="C239" s="21"/>
      <c r="D239" s="21"/>
      <c r="E239" s="21"/>
      <c r="F239" s="21"/>
      <c r="G239" s="2" t="s">
        <v>197</v>
      </c>
      <c r="H239" s="58">
        <f>'Process (1)'!H165</f>
        <v>663.32500000000005</v>
      </c>
      <c r="I239" s="5" t="s">
        <v>183</v>
      </c>
    </row>
    <row r="240" spans="1:9" ht="18.649999999999999" customHeight="1" x14ac:dyDescent="0.35">
      <c r="A240" s="108"/>
      <c r="B240" s="21"/>
      <c r="C240" s="21"/>
      <c r="D240" s="21"/>
      <c r="E240" s="21"/>
      <c r="F240" s="21"/>
      <c r="G240" s="21"/>
      <c r="H240" s="21"/>
      <c r="I240" s="21"/>
    </row>
    <row r="241" spans="1:9" ht="18.75" customHeight="1" x14ac:dyDescent="0.35">
      <c r="A241" s="108"/>
      <c r="B241" s="93" t="s">
        <v>22</v>
      </c>
      <c r="D241" s="3" t="s">
        <v>171</v>
      </c>
      <c r="E241" s="60" t="s">
        <v>24</v>
      </c>
      <c r="F241" s="3" t="s">
        <v>170</v>
      </c>
      <c r="G241" s="5"/>
      <c r="H241" s="3"/>
      <c r="I241" s="21"/>
    </row>
    <row r="242" spans="1:9" ht="18.75" customHeight="1" x14ac:dyDescent="0.35">
      <c r="A242" s="108"/>
      <c r="C242" s="37" t="s">
        <v>177</v>
      </c>
      <c r="D242" s="58">
        <f>H239</f>
        <v>663.32500000000005</v>
      </c>
      <c r="E242" s="3" t="str">
        <f>IF(D242&gt;F242,"&gt;","≤")</f>
        <v>&gt;</v>
      </c>
      <c r="F242" s="58">
        <f>H238</f>
        <v>19.75987913780477</v>
      </c>
      <c r="G242" s="6" t="s">
        <v>20</v>
      </c>
      <c r="H242" s="7" t="str">
        <f>IF(D242&gt;F242,"[ OK ]","[ NOT OK ]")</f>
        <v>[ OK ]</v>
      </c>
      <c r="I242" s="21"/>
    </row>
    <row r="243" spans="1:9" ht="18.75" customHeight="1" x14ac:dyDescent="0.35">
      <c r="A243" s="108"/>
      <c r="B243" s="21"/>
      <c r="C243" s="21"/>
      <c r="D243" s="21"/>
      <c r="E243" s="21"/>
      <c r="F243" s="21"/>
      <c r="G243" s="21"/>
      <c r="H243" s="21"/>
      <c r="I243" s="21"/>
    </row>
    <row r="244" spans="1:9" ht="18.75" customHeight="1" x14ac:dyDescent="0.35">
      <c r="A244" s="108"/>
      <c r="B244" s="21" t="s">
        <v>178</v>
      </c>
      <c r="C244" s="21"/>
      <c r="D244" s="21"/>
      <c r="E244" s="21"/>
      <c r="F244" s="21"/>
      <c r="G244" s="2" t="s">
        <v>179</v>
      </c>
      <c r="H244" s="58">
        <f>'Process (1)'!H170</f>
        <v>1991.0363200000002</v>
      </c>
      <c r="I244" s="5" t="s">
        <v>19</v>
      </c>
    </row>
    <row r="245" spans="1:9" ht="18.75" customHeight="1" x14ac:dyDescent="0.35">
      <c r="A245" s="108"/>
      <c r="B245" s="21" t="s">
        <v>180</v>
      </c>
      <c r="C245" s="21"/>
      <c r="D245" s="21"/>
      <c r="E245" s="21"/>
      <c r="F245" s="21"/>
      <c r="G245" s="2" t="s">
        <v>181</v>
      </c>
      <c r="H245" s="58">
        <f>'Process (1)'!H171</f>
        <v>2298.3917334466319</v>
      </c>
      <c r="I245" s="5" t="s">
        <v>19</v>
      </c>
    </row>
    <row r="246" spans="1:9" ht="18.75" customHeight="1" x14ac:dyDescent="0.35">
      <c r="A246" s="108"/>
      <c r="B246" s="93" t="s">
        <v>22</v>
      </c>
      <c r="D246" s="3" t="s">
        <v>80</v>
      </c>
      <c r="E246" s="60" t="s">
        <v>23</v>
      </c>
      <c r="F246" s="3" t="s">
        <v>182</v>
      </c>
      <c r="G246" s="5"/>
      <c r="H246" s="3"/>
      <c r="I246" s="21"/>
    </row>
    <row r="247" spans="1:9" ht="18.75" customHeight="1" x14ac:dyDescent="0.35">
      <c r="A247" s="108"/>
      <c r="C247" s="37" t="s">
        <v>177</v>
      </c>
      <c r="D247" s="58">
        <f>'Process (1)'!D173</f>
        <v>275</v>
      </c>
      <c r="E247" s="3" t="str">
        <f>IF(D247&lt;F247,"&lt;","≥")</f>
        <v>&lt;</v>
      </c>
      <c r="F247" s="58">
        <f>'Process (1)'!F173</f>
        <v>1723.793800084974</v>
      </c>
      <c r="G247" s="6" t="s">
        <v>20</v>
      </c>
      <c r="H247" s="7" t="str">
        <f>IF(D247&lt;F247,"[ OK ]","[ NOT OK ]")</f>
        <v>[ OK ]</v>
      </c>
      <c r="I247" s="21"/>
    </row>
    <row r="248" spans="1:9" ht="18.75" customHeight="1" x14ac:dyDescent="0.35">
      <c r="A248" s="108"/>
      <c r="B248" s="21"/>
      <c r="C248" s="21"/>
      <c r="D248" s="21"/>
      <c r="E248" s="21"/>
      <c r="F248" s="21"/>
      <c r="G248" s="21"/>
      <c r="H248" s="21"/>
      <c r="I248" s="21"/>
    </row>
  </sheetData>
  <mergeCells count="13">
    <mergeCell ref="B37:B39"/>
    <mergeCell ref="D37:D39"/>
    <mergeCell ref="C37:C38"/>
    <mergeCell ref="E37:E38"/>
    <mergeCell ref="B82:I82"/>
    <mergeCell ref="B80:I80"/>
    <mergeCell ref="B54:I55"/>
    <mergeCell ref="A1:I1"/>
    <mergeCell ref="A3:C6"/>
    <mergeCell ref="F3:I3"/>
    <mergeCell ref="F4:I4"/>
    <mergeCell ref="F5:I5"/>
    <mergeCell ref="F6:I6"/>
  </mergeCells>
  <hyperlinks>
    <hyperlink ref="F6" r:id="rId1" display="indrakrajsuweda@gmail.com" xr:uid="{998F2C3B-E907-40D5-98FD-FEC9EEE78402}"/>
  </hyperlinks>
  <pageMargins left="0.7" right="0.7" top="0.75" bottom="0.75" header="0.3" footer="0.3"/>
  <pageSetup orientation="portrait" r:id="rId2"/>
  <headerFooter>
    <oddHeader xml:space="preserve">&amp;L&amp;K05-019Versi 1.0.0&amp;C&amp;K05-019Page &amp;P&amp;R&amp;K05-019Release Date : April 2024
</oddHeader>
    <oddFooter xml:space="preserve">&amp;L&amp;K05-021Dapatkan program bantu spreadsheet ini hanya di https://www.inpetra.id/ </oddFooter>
  </headerFooter>
  <ignoredErrors>
    <ignoredError sqref="E186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About</vt:lpstr>
      <vt:lpstr>Input</vt:lpstr>
      <vt:lpstr>Process (1)</vt:lpstr>
      <vt:lpstr>Result 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Shafannisa Sulhi</cp:lastModifiedBy>
  <cp:lastPrinted>2024-04-07T07:40:25Z</cp:lastPrinted>
  <dcterms:created xsi:type="dcterms:W3CDTF">2021-07-28T03:15:49Z</dcterms:created>
  <dcterms:modified xsi:type="dcterms:W3CDTF">2024-08-14T05:40:15Z</dcterms:modified>
</cp:coreProperties>
</file>