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b751852d1dd4e2/Program Excel (New)/Spreadsheet Nisa/"/>
    </mc:Choice>
  </mc:AlternateContent>
  <xr:revisionPtr revIDLastSave="163" documentId="13_ncr:1_{C57C80BC-CE2E-4E0E-873E-03DF9B98691A}" xr6:coauthVersionLast="47" xr6:coauthVersionMax="47" xr10:uidLastSave="{B66C86AF-A74D-44E7-A4AA-3E639061784D}"/>
  <bookViews>
    <workbookView xWindow="-120" yWindow="-120" windowWidth="29040" windowHeight="15720" xr2:uid="{60F489BD-F391-4CED-AE83-3A2FBF9CB752}"/>
  </bookViews>
  <sheets>
    <sheet name="About" sheetId="5" r:id="rId1"/>
    <sheet name="Input" sheetId="1" r:id="rId2"/>
    <sheet name="Process" sheetId="2" r:id="rId3"/>
    <sheet name="Repor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7" i="4" l="1"/>
  <c r="D307" i="4"/>
  <c r="H304" i="4"/>
  <c r="H303" i="4"/>
  <c r="H302" i="4"/>
  <c r="H301" i="4"/>
  <c r="H299" i="4"/>
  <c r="H298" i="4"/>
  <c r="H297" i="4"/>
  <c r="H286" i="4"/>
  <c r="H285" i="4"/>
  <c r="H284" i="4"/>
  <c r="H282" i="4"/>
  <c r="H279" i="4"/>
  <c r="H278" i="4"/>
  <c r="H276" i="4"/>
  <c r="H274" i="4"/>
  <c r="H272" i="4"/>
  <c r="H270" i="4"/>
  <c r="H269" i="4"/>
  <c r="H268" i="4"/>
  <c r="H267" i="4"/>
  <c r="H266" i="4"/>
  <c r="H263" i="4"/>
  <c r="H262" i="4"/>
  <c r="H261" i="4"/>
  <c r="H260" i="4"/>
  <c r="G254" i="4"/>
  <c r="G253" i="4"/>
  <c r="F253" i="4"/>
  <c r="E253" i="4"/>
  <c r="D253" i="4"/>
  <c r="G252" i="4"/>
  <c r="F252" i="4"/>
  <c r="E252" i="4"/>
  <c r="D252" i="4"/>
  <c r="G251" i="4"/>
  <c r="F251" i="4"/>
  <c r="E251" i="4"/>
  <c r="D251" i="4"/>
  <c r="G250" i="4"/>
  <c r="F250" i="4"/>
  <c r="E250" i="4"/>
  <c r="D250" i="4"/>
  <c r="G249" i="4"/>
  <c r="F249" i="4"/>
  <c r="E249" i="4"/>
  <c r="D249" i="4"/>
  <c r="H242" i="4"/>
  <c r="H241" i="4"/>
  <c r="H240" i="4"/>
  <c r="H239" i="4"/>
  <c r="D235" i="4"/>
  <c r="F235" i="4"/>
  <c r="H232" i="4"/>
  <c r="H228" i="4"/>
  <c r="H226" i="4"/>
  <c r="H225" i="4"/>
  <c r="H224" i="4"/>
  <c r="H223" i="4"/>
  <c r="H219" i="4"/>
  <c r="H217" i="4"/>
  <c r="H216" i="4"/>
  <c r="H213" i="4"/>
  <c r="H211" i="4"/>
  <c r="H210" i="4"/>
  <c r="H209" i="4"/>
  <c r="H208" i="4"/>
  <c r="H206" i="4"/>
  <c r="H204" i="4"/>
  <c r="H203" i="4"/>
  <c r="H200" i="4"/>
  <c r="H198" i="4"/>
  <c r="H197" i="4"/>
  <c r="H196" i="4"/>
  <c r="H195" i="4"/>
  <c r="H193" i="4"/>
  <c r="H191" i="4"/>
  <c r="H190" i="4"/>
  <c r="H187" i="4"/>
  <c r="H185" i="4"/>
  <c r="H184" i="4"/>
  <c r="H183" i="4"/>
  <c r="H182" i="4"/>
  <c r="H180" i="4"/>
  <c r="H178" i="4"/>
  <c r="H177" i="4"/>
  <c r="H174" i="4"/>
  <c r="H173" i="4"/>
  <c r="D171" i="4"/>
  <c r="F171" i="4"/>
  <c r="H169" i="4"/>
  <c r="H167" i="4"/>
  <c r="H166" i="4"/>
  <c r="H165" i="4"/>
  <c r="H164" i="4"/>
  <c r="D161" i="4"/>
  <c r="F161" i="4"/>
  <c r="H158" i="4"/>
  <c r="H157" i="4"/>
  <c r="H153" i="4"/>
  <c r="H152" i="4"/>
  <c r="H151" i="4"/>
  <c r="H150" i="4"/>
  <c r="H149" i="4"/>
  <c r="H148" i="4"/>
  <c r="H145" i="4"/>
  <c r="H144" i="4"/>
  <c r="H143" i="4"/>
  <c r="H142" i="4"/>
  <c r="H141" i="4"/>
  <c r="H140" i="4"/>
  <c r="H139" i="4"/>
  <c r="H134" i="4"/>
  <c r="H133" i="4"/>
  <c r="H132" i="4"/>
  <c r="H130" i="4"/>
  <c r="H129" i="4"/>
  <c r="H128" i="4"/>
  <c r="H126" i="4"/>
  <c r="H125" i="4"/>
  <c r="H124" i="4"/>
  <c r="H123" i="4"/>
  <c r="H121" i="4"/>
  <c r="H119" i="4"/>
  <c r="H118" i="4"/>
  <c r="H114" i="4"/>
  <c r="H113" i="4"/>
  <c r="H111" i="4"/>
  <c r="H107" i="4"/>
  <c r="H103" i="4"/>
  <c r="D111" i="4"/>
  <c r="F111" i="4"/>
  <c r="F107" i="4"/>
  <c r="D107" i="4"/>
  <c r="D103" i="4"/>
  <c r="F103" i="4"/>
  <c r="H100" i="4"/>
  <c r="H99" i="4"/>
  <c r="H98" i="4"/>
  <c r="H97" i="4"/>
  <c r="H96" i="4"/>
  <c r="H95" i="4"/>
  <c r="H91" i="4"/>
  <c r="G91" i="4"/>
  <c r="F91" i="4"/>
  <c r="E91" i="4"/>
  <c r="D91" i="4"/>
  <c r="C91" i="4"/>
  <c r="H75" i="4"/>
  <c r="H74" i="4"/>
  <c r="H72" i="4"/>
  <c r="H71" i="4"/>
  <c r="H70" i="4"/>
  <c r="H69" i="4"/>
  <c r="H68" i="4"/>
  <c r="H67" i="4"/>
  <c r="G67" i="4"/>
  <c r="H65" i="4"/>
  <c r="H64" i="4"/>
  <c r="H63" i="4"/>
  <c r="H62" i="4"/>
  <c r="H61" i="4"/>
  <c r="H60" i="4"/>
  <c r="G60" i="4"/>
  <c r="H58" i="4"/>
  <c r="H57" i="4"/>
  <c r="H56" i="4"/>
  <c r="H55" i="4"/>
  <c r="H54" i="4"/>
  <c r="H52" i="4"/>
  <c r="G52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G49" i="1"/>
  <c r="G42" i="1"/>
  <c r="H24" i="2"/>
  <c r="H25" i="2" s="1"/>
  <c r="H23" i="2"/>
  <c r="H22" i="2"/>
  <c r="H21" i="2"/>
  <c r="H20" i="2"/>
  <c r="D35" i="2"/>
  <c r="D28" i="2"/>
  <c r="H184" i="2" a="1"/>
  <c r="H184" i="2" s="1"/>
  <c r="E107" i="4" l="1"/>
  <c r="H171" i="4"/>
  <c r="E111" i="4"/>
  <c r="E148" i="4"/>
  <c r="E171" i="4"/>
  <c r="E103" i="4"/>
  <c r="H37" i="2"/>
  <c r="H38" i="2" s="1"/>
  <c r="H161" i="4" l="1"/>
  <c r="H46" i="2"/>
  <c r="H48" i="2" s="1"/>
  <c r="H180" i="2"/>
  <c r="H181" i="2"/>
  <c r="H182" i="2"/>
  <c r="H183" i="2" s="1"/>
  <c r="H174" i="2"/>
  <c r="H176" i="2"/>
  <c r="H175" i="2"/>
  <c r="H177" i="2" s="1"/>
  <c r="H200" i="2" s="1"/>
  <c r="H159" i="2"/>
  <c r="H158" i="2"/>
  <c r="E161" i="4" l="1"/>
  <c r="H52" i="2"/>
  <c r="H51" i="2"/>
  <c r="H47" i="2"/>
  <c r="H185" i="2"/>
  <c r="H186" i="2" s="1"/>
  <c r="E307" i="4" l="1"/>
  <c r="H307" i="4"/>
  <c r="E235" i="4"/>
  <c r="H235" i="4"/>
  <c r="H53" i="2"/>
  <c r="H55" i="2" s="1"/>
  <c r="H57" i="2" s="1"/>
  <c r="D209" i="2" l="1"/>
  <c r="H156" i="2" l="1"/>
  <c r="F170" i="2" s="1"/>
  <c r="H157" i="2" l="1"/>
  <c r="D170" i="2" s="1"/>
  <c r="E170" i="2" s="1"/>
  <c r="G170" i="2" s="1"/>
  <c r="F167" i="2"/>
  <c r="F168" i="2"/>
  <c r="F169" i="2"/>
  <c r="F166" i="2"/>
  <c r="D168" i="2" l="1"/>
  <c r="E168" i="2" s="1"/>
  <c r="G168" i="2" s="1"/>
  <c r="D167" i="2"/>
  <c r="E167" i="2" s="1"/>
  <c r="G167" i="2" s="1"/>
  <c r="D166" i="2"/>
  <c r="E166" i="2" s="1"/>
  <c r="G166" i="2" s="1"/>
  <c r="D169" i="2"/>
  <c r="E169" i="2" l="1"/>
  <c r="G169" i="2" s="1"/>
  <c r="G171" i="2" s="1"/>
  <c r="H199" i="2" s="1"/>
  <c r="H136" i="2"/>
  <c r="H110" i="2"/>
  <c r="H123" i="2"/>
  <c r="H97" i="2"/>
  <c r="H74" i="2"/>
  <c r="H67" i="2"/>
  <c r="H43" i="2"/>
  <c r="H86" i="2"/>
  <c r="F35" i="2"/>
  <c r="F28" i="2"/>
  <c r="F32" i="2"/>
  <c r="H87" i="2" l="1"/>
  <c r="E35" i="2"/>
  <c r="H35" i="2"/>
  <c r="H16" i="2"/>
  <c r="G16" i="2"/>
  <c r="H44" i="2" s="1"/>
  <c r="D152" i="2" s="1"/>
  <c r="D16" i="2"/>
  <c r="F16" i="2" s="1"/>
  <c r="C16" i="2"/>
  <c r="E16" i="2" s="1"/>
  <c r="H63" i="2"/>
  <c r="H64" i="2"/>
  <c r="H66" i="2"/>
  <c r="H62" i="2"/>
  <c r="H85" i="2"/>
  <c r="H94" i="2" s="1"/>
  <c r="H73" i="2"/>
  <c r="E28" i="2"/>
  <c r="H111" i="2" l="1"/>
  <c r="H124" i="2"/>
  <c r="H137" i="2"/>
  <c r="H98" i="2"/>
  <c r="H28" i="2"/>
  <c r="D81" i="2" l="1"/>
  <c r="D32" i="2" l="1"/>
  <c r="H32" i="2" s="1"/>
  <c r="H187" i="2"/>
  <c r="H188" i="2" s="1"/>
  <c r="H65" i="2"/>
  <c r="H68" i="2" s="1"/>
  <c r="H89" i="2"/>
  <c r="D91" i="2" l="1"/>
  <c r="F91" i="2"/>
  <c r="E91" i="2" s="1"/>
  <c r="H69" i="2"/>
  <c r="E69" i="2"/>
  <c r="H194" i="2"/>
  <c r="H192" i="2"/>
  <c r="H93" i="2"/>
  <c r="E32" i="2"/>
  <c r="H195" i="2" l="1"/>
  <c r="H196" i="2" s="1"/>
  <c r="H201" i="2" s="1"/>
  <c r="H203" i="2" s="1"/>
  <c r="H205" i="2" s="1"/>
  <c r="F209" i="2" s="1"/>
  <c r="H91" i="2"/>
  <c r="H100" i="2"/>
  <c r="H126" i="2"/>
  <c r="H113" i="2"/>
  <c r="H139" i="2"/>
  <c r="H70" i="2"/>
  <c r="H71" i="2" s="1"/>
  <c r="H77" i="2" s="1"/>
  <c r="H78" i="2" s="1"/>
  <c r="F81" i="2" s="1"/>
  <c r="E81" i="2" l="1"/>
  <c r="H81" i="2"/>
  <c r="E209" i="2"/>
  <c r="H209" i="2"/>
  <c r="H142" i="2"/>
  <c r="H141" i="2"/>
  <c r="H143" i="2"/>
  <c r="H130" i="2"/>
  <c r="H129" i="2"/>
  <c r="H128" i="2"/>
  <c r="H116" i="2"/>
  <c r="H115" i="2"/>
  <c r="H117" i="2"/>
  <c r="H102" i="2"/>
  <c r="H103" i="2"/>
  <c r="H104" i="2"/>
  <c r="H131" i="2" l="1"/>
  <c r="H133" i="2" s="1"/>
  <c r="H105" i="2"/>
  <c r="H107" i="2" s="1"/>
  <c r="H144" i="2"/>
  <c r="H146" i="2" s="1"/>
  <c r="H118" i="2"/>
  <c r="H120" i="2" s="1"/>
  <c r="H149" i="2" l="1"/>
  <c r="F152" i="2" s="1"/>
  <c r="H152" i="2" s="1"/>
  <c r="E152" i="2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<sst xmlns="http://schemas.openxmlformats.org/spreadsheetml/2006/main" count="1061" uniqueCount="326">
  <si>
    <t>Input Data Material</t>
  </si>
  <si>
    <t>Tegangan leleh struktur baja,</t>
  </si>
  <si>
    <t>Tegangan putus struktur baja,</t>
  </si>
  <si>
    <t>Profil :</t>
  </si>
  <si>
    <t>r =</t>
  </si>
  <si>
    <t>mm</t>
  </si>
  <si>
    <t>Input Data Dimensi Struktur Balok, Kolom, dan Pelat</t>
  </si>
  <si>
    <t>Data dimensi dan posisi baut</t>
  </si>
  <si>
    <t>BJ 37</t>
  </si>
  <si>
    <t xml:space="preserve">MPa </t>
  </si>
  <si>
    <t>MPa</t>
  </si>
  <si>
    <t>Diameter baut pakai,</t>
  </si>
  <si>
    <t>kN.m</t>
  </si>
  <si>
    <t>kN</t>
  </si>
  <si>
    <t>Tebal pelat ujung,</t>
  </si>
  <si>
    <t>Lebar pelat ujung,</t>
  </si>
  <si>
    <t>g</t>
  </si>
  <si>
    <t>(mm)</t>
  </si>
  <si>
    <t>g =</t>
  </si>
  <si>
    <r>
      <t>mm</t>
    </r>
    <r>
      <rPr>
        <vertAlign val="superscript"/>
        <sz val="11"/>
        <color theme="1"/>
        <rFont val="Calibri"/>
        <family val="2"/>
        <scheme val="minor"/>
      </rPr>
      <t>3</t>
    </r>
  </si>
  <si>
    <t>Jarak bersih antara sayap-sayap,</t>
  </si>
  <si>
    <t>Luas badan penampang,</t>
  </si>
  <si>
    <t>Perbandingan jarak bersih antar sayap dengan tebal badan,</t>
  </si>
  <si>
    <t>Koefisien tekuk geser pelat badan,</t>
  </si>
  <si>
    <r>
      <t>k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=</t>
    </r>
  </si>
  <si>
    <t>Koefisien kekuatan geser badan,</t>
  </si>
  <si>
    <t>Kondisi 1 :</t>
  </si>
  <si>
    <r>
      <t>C</t>
    </r>
    <r>
      <rPr>
        <vertAlign val="subscript"/>
        <sz val="11"/>
        <color theme="1"/>
        <rFont val="Calibri"/>
        <family val="2"/>
        <scheme val="minor"/>
      </rPr>
      <t>v1</t>
    </r>
    <r>
      <rPr>
        <sz val="11"/>
        <color theme="1"/>
        <rFont val="Calibri"/>
        <family val="2"/>
        <charset val="1"/>
        <scheme val="minor"/>
      </rPr>
      <t xml:space="preserve"> =</t>
    </r>
  </si>
  <si>
    <t>Kondisi 2 :</t>
  </si>
  <si>
    <t>Koefisien kekuatan geser badan pakai,</t>
  </si>
  <si>
    <t>Kekuatan geser nominal,</t>
  </si>
  <si>
    <t>→</t>
  </si>
  <si>
    <t>Modulus elastisitas baja,</t>
  </si>
  <si>
    <t>E =</t>
  </si>
  <si>
    <t>Kekuatan tarik nominal baut,</t>
  </si>
  <si>
    <t>≥</t>
  </si>
  <si>
    <t>Mutu struktur baja untuk balok,</t>
  </si>
  <si>
    <t>Mutu struktur baja untuk kolom,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</si>
  <si>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</si>
  <si>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A.</t>
  </si>
  <si>
    <t>B.</t>
  </si>
  <si>
    <r>
      <t>h</t>
    </r>
    <r>
      <rPr>
        <vertAlign val="subscript"/>
        <sz val="11"/>
        <color theme="1"/>
        <rFont val="Calibri"/>
        <family val="2"/>
        <scheme val="minor"/>
      </rPr>
      <t>bt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</si>
  <si>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bf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</si>
  <si>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  <scheme val="minor"/>
      </rPr>
      <t>bw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</si>
  <si>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  <scheme val="minor"/>
      </rPr>
      <t>bf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</si>
  <si>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ct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</si>
  <si>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cf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</si>
  <si>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  <scheme val="minor"/>
      </rPr>
      <t>cw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</si>
  <si>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  <scheme val="minor"/>
      </rPr>
      <t>cf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</si>
  <si>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</si>
  <si>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</si>
  <si>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d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</t>
    </r>
  </si>
  <si>
    <t>NO.</t>
  </si>
  <si>
    <t>EXPLANATORY</t>
  </si>
  <si>
    <t>FORMULA</t>
  </si>
  <si>
    <t>VALUE</t>
  </si>
  <si>
    <t>UNIT</t>
  </si>
  <si>
    <t>INPUT DATA PERENCANAAN</t>
  </si>
  <si>
    <t>A.1.</t>
  </si>
  <si>
    <t>A.2.</t>
  </si>
  <si>
    <t>B.1.</t>
  </si>
  <si>
    <t>B.2.</t>
  </si>
  <si>
    <t xml:space="preserve">REPORT OUTPUT EXCEL SPREADSHEET </t>
  </si>
  <si>
    <t>• Nama Program</t>
  </si>
  <si>
    <t xml:space="preserve">• Versi </t>
  </si>
  <si>
    <t>• Penyusun</t>
  </si>
  <si>
    <t>• email</t>
  </si>
  <si>
    <t>C.</t>
  </si>
  <si>
    <t>C.1.</t>
  </si>
  <si>
    <t>C.2.</t>
  </si>
  <si>
    <t>Judul Program</t>
  </si>
  <si>
    <t>:</t>
  </si>
  <si>
    <t>Versi Program</t>
  </si>
  <si>
    <t>Update ke 0</t>
  </si>
  <si>
    <t>Penyusun</t>
  </si>
  <si>
    <t>Email</t>
  </si>
  <si>
    <t>Selalu cek versi terbaru dan juga program - program lainnya hanya di :</t>
  </si>
  <si>
    <t xml:space="preserve">"Terima kasih sudah membeli program ini sebagai bentuk dukungan kepada salah satu visi Inpetra ID </t>
  </si>
  <si>
    <t>mengembangkan program bantu yang berkualitas dan sesuai dengan kebutuhan kondisi di Indonesia"</t>
  </si>
  <si>
    <t>info@inpetra.id</t>
  </si>
  <si>
    <t>Mutu baut,</t>
  </si>
  <si>
    <t>A325</t>
  </si>
  <si>
    <r>
      <t>F</t>
    </r>
    <r>
      <rPr>
        <vertAlign val="subscript"/>
        <sz val="11"/>
        <color theme="1"/>
        <rFont val="Calibri"/>
        <family val="2"/>
        <scheme val="minor"/>
      </rPr>
      <t>nt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</si>
  <si>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nv</t>
    </r>
    <r>
      <rPr>
        <sz val="11"/>
        <color theme="1"/>
        <rFont val="Calibri"/>
        <family val="2"/>
        <charset val="1"/>
        <scheme val="minor"/>
      </rPr>
      <t xml:space="preserve"> =</t>
    </r>
  </si>
  <si>
    <t>Shafannisa Sabila Sulhi</t>
  </si>
  <si>
    <t>Mutu struktur baja untuk pelat sambungan,</t>
  </si>
  <si>
    <t>Tegangan leleh,</t>
  </si>
  <si>
    <t>Tegangan putus,</t>
  </si>
  <si>
    <t>Mpa</t>
  </si>
  <si>
    <r>
      <t>d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=</t>
    </r>
  </si>
  <si>
    <t>Syarat :</t>
  </si>
  <si>
    <t>≤</t>
  </si>
  <si>
    <r>
      <t>p</t>
    </r>
    <r>
      <rPr>
        <vertAlign val="subscript"/>
        <sz val="11"/>
        <color theme="1"/>
        <rFont val="Calibri"/>
        <family val="2"/>
      </rPr>
      <t>f</t>
    </r>
  </si>
  <si>
    <t>(dalam satuan mm)</t>
  </si>
  <si>
    <r>
      <t>M</t>
    </r>
    <r>
      <rPr>
        <vertAlign val="subscript"/>
        <sz val="11"/>
        <color theme="1"/>
        <rFont val="Calibri"/>
        <family val="2"/>
        <scheme val="minor"/>
      </rPr>
      <t>u</t>
    </r>
  </si>
  <si>
    <r>
      <t>ϕM</t>
    </r>
    <r>
      <rPr>
        <vertAlign val="subscript"/>
        <sz val="11"/>
        <color theme="1"/>
        <rFont val="Calibri"/>
        <family val="2"/>
      </rPr>
      <t>np</t>
    </r>
  </si>
  <si>
    <r>
      <t>p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</si>
  <si>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</si>
  <si>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=</t>
    </r>
  </si>
  <si>
    <t>Tebal pelat digunakan,</t>
  </si>
  <si>
    <r>
      <rPr>
        <sz val="11"/>
        <color theme="1"/>
        <rFont val="Calibri"/>
        <family val="2"/>
      </rPr>
      <t>ɣ</t>
    </r>
    <r>
      <rPr>
        <vertAlign val="subscript"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 xml:space="preserve"> =</t>
    </r>
  </si>
  <si>
    <r>
      <t xml:space="preserve">Faktor peningkatan kapasitas sambungan untuk sambungan rigid </t>
    </r>
    <r>
      <rPr>
        <i/>
        <sz val="11"/>
        <color theme="1"/>
        <rFont val="Calibri"/>
        <family val="2"/>
        <scheme val="minor"/>
      </rPr>
      <t>flush-end-plate</t>
    </r>
    <r>
      <rPr>
        <sz val="11"/>
        <color theme="1"/>
        <rFont val="Calibri"/>
        <family val="2"/>
        <charset val="1"/>
        <scheme val="minor"/>
      </rPr>
      <t>,</t>
    </r>
  </si>
  <si>
    <t>Tegangan leleh dari material pelat ujung,</t>
  </si>
  <si>
    <t>Kapasitas Sambungan Berdasarkan Kekuatan Pelat Ujung</t>
  </si>
  <si>
    <t>Kapasitas Sambungan Berdasarkan Kekuatan Baut Tarik</t>
  </si>
  <si>
    <t>Momen sambungan saat pelat ujung mencapai kondisi inelastis,</t>
  </si>
  <si>
    <r>
      <t>M</t>
    </r>
    <r>
      <rPr>
        <vertAlign val="subscript"/>
        <sz val="11"/>
        <color theme="1"/>
        <rFont val="Calibri"/>
        <family val="2"/>
        <scheme val="minor"/>
      </rPr>
      <t>pl</t>
    </r>
    <r>
      <rPr>
        <sz val="11"/>
        <color theme="1"/>
        <rFont val="Calibri"/>
        <family val="2"/>
        <scheme val="minor"/>
      </rPr>
      <t xml:space="preserve"> = F</t>
    </r>
    <r>
      <rPr>
        <vertAlign val="subscript"/>
        <sz val="11"/>
        <color theme="1"/>
        <rFont val="Calibri"/>
        <family val="2"/>
        <scheme val="minor"/>
      </rPr>
      <t>py</t>
    </r>
    <r>
      <rPr>
        <sz val="11"/>
        <color theme="1"/>
        <rFont val="Calibri"/>
        <family val="2"/>
        <scheme val="minor"/>
      </rPr>
      <t xml:space="preserve"> * t</t>
    </r>
    <r>
      <rPr>
        <vertAlign val="subscript"/>
        <sz val="11"/>
        <color theme="1"/>
        <rFont val="Calibri"/>
        <family val="2"/>
        <scheme val="minor"/>
      </rPr>
      <t>p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* Y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</t>
    </r>
  </si>
  <si>
    <t>Faktor ketahanan lentur terhadap leleh,</t>
  </si>
  <si>
    <r>
      <t>ϕ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</t>
    </r>
  </si>
  <si>
    <t>Kontrol momen perlu terhadap kapasitas sambungan nominal,</t>
  </si>
  <si>
    <t>Tegangan leleh struktur balok,</t>
  </si>
  <si>
    <r>
      <t>s = 1/2 * √( b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charset val="1"/>
        <scheme val="minor"/>
      </rPr>
      <t xml:space="preserve"> * g ) =</t>
    </r>
  </si>
  <si>
    <r>
      <t>h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</si>
  <si>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</rPr>
      <t>py</t>
    </r>
    <r>
      <rPr>
        <sz val="11"/>
        <color theme="1"/>
        <rFont val="Calibri"/>
        <family val="2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</si>
  <si>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 xml:space="preserve">py </t>
    </r>
    <r>
      <rPr>
        <sz val="11"/>
        <color theme="1"/>
        <rFont val="Calibri"/>
        <family val="2"/>
        <charset val="1"/>
        <scheme val="minor"/>
      </rPr>
      <t>=</t>
    </r>
  </si>
  <si>
    <r>
      <t>F</t>
    </r>
    <r>
      <rPr>
        <vertAlign val="subscript"/>
        <sz val="11"/>
        <color theme="1"/>
        <rFont val="Calibri"/>
        <family val="2"/>
        <scheme val="minor"/>
      </rPr>
      <t>pu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</si>
  <si>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by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</si>
  <si>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bu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</si>
  <si>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</rPr>
      <t>by</t>
    </r>
    <r>
      <rPr>
        <sz val="11"/>
        <color theme="1"/>
        <rFont val="Calibri"/>
        <family val="2"/>
      </rPr>
      <t xml:space="preserve"> = </t>
    </r>
  </si>
  <si>
    <r>
      <t>F</t>
    </r>
    <r>
      <rPr>
        <vertAlign val="subscript"/>
        <sz val="11"/>
        <color theme="1"/>
        <rFont val="Calibri"/>
        <family val="2"/>
      </rPr>
      <t>nt</t>
    </r>
    <r>
      <rPr>
        <sz val="11"/>
        <color theme="1"/>
        <rFont val="Calibri"/>
        <family val="2"/>
      </rPr>
      <t xml:space="preserve"> =</t>
    </r>
  </si>
  <si>
    <t>Kekuatan tarik nominal,</t>
  </si>
  <si>
    <t>ϕ =</t>
  </si>
  <si>
    <t>Faktor keruntuhan fraktur baut,</t>
  </si>
  <si>
    <t>Arah sejajar sumbu X :</t>
  </si>
  <si>
    <r>
      <t>I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charset val="1"/>
        <scheme val="minor"/>
      </rPr>
      <t xml:space="preserve"> = 1/12 * t</t>
    </r>
    <r>
      <rPr>
        <vertAlign val="subscript"/>
        <sz val="11"/>
        <color theme="1"/>
        <rFont val="Calibri"/>
        <family val="2"/>
        <scheme val="minor"/>
      </rPr>
      <t xml:space="preserve">w </t>
    </r>
    <r>
      <rPr>
        <sz val="11"/>
        <color theme="1"/>
        <rFont val="Calibri"/>
        <family val="2"/>
        <charset val="1"/>
        <scheme val="minor"/>
      </rPr>
      <t>* (h</t>
    </r>
    <r>
      <rPr>
        <vertAlign val="subscript"/>
        <sz val="11"/>
        <color theme="1"/>
        <rFont val="Calibri"/>
        <family val="2"/>
        <scheme val="minor"/>
      </rPr>
      <t xml:space="preserve">t </t>
    </r>
    <r>
      <rPr>
        <sz val="11"/>
        <color theme="1"/>
        <rFont val="Calibri"/>
        <family val="2"/>
        <charset val="1"/>
        <scheme val="minor"/>
      </rPr>
      <t>- 2*t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charset val="1"/>
        <scheme val="minor"/>
      </rPr>
      <t>)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charset val="1"/>
        <scheme val="minor"/>
      </rPr>
      <t xml:space="preserve"> + 2 * 1/12 * b</t>
    </r>
    <r>
      <rPr>
        <vertAlign val="subscript"/>
        <sz val="11"/>
        <color theme="1"/>
        <rFont val="Calibri"/>
        <family val="2"/>
        <scheme val="minor"/>
      </rPr>
      <t xml:space="preserve">f </t>
    </r>
    <r>
      <rPr>
        <sz val="11"/>
        <color theme="1"/>
        <rFont val="Calibri"/>
        <family val="2"/>
        <charset val="1"/>
        <scheme val="minor"/>
      </rPr>
      <t>* t</t>
    </r>
    <r>
      <rPr>
        <vertAlign val="subscript"/>
        <sz val="11"/>
        <color theme="1"/>
        <rFont val="Calibri"/>
        <family val="2"/>
        <scheme val="minor"/>
      </rPr>
      <t>f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charset val="1"/>
        <scheme val="minor"/>
      </rPr>
      <t xml:space="preserve"> + 2 * bf * t</t>
    </r>
    <r>
      <rPr>
        <vertAlign val="subscript"/>
        <sz val="11"/>
        <color theme="1"/>
        <rFont val="Calibri"/>
        <family val="2"/>
        <scheme val="minor"/>
      </rPr>
      <t xml:space="preserve">f </t>
    </r>
    <r>
      <rPr>
        <sz val="11"/>
        <color theme="1"/>
        <rFont val="Calibri"/>
        <family val="2"/>
        <charset val="1"/>
        <scheme val="minor"/>
      </rPr>
      <t>* (0,5*h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- 0,5*t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charset val="1"/>
        <scheme val="minor"/>
      </rPr>
      <t>)</t>
    </r>
    <r>
      <rPr>
        <vertAlign val="superscript"/>
        <sz val="11"/>
        <color theme="1"/>
        <rFont val="Calibri"/>
        <family val="2"/>
        <scheme val="minor"/>
      </rPr>
      <t>2</t>
    </r>
  </si>
  <si>
    <t>Arah sejajar sumbu Y :</t>
  </si>
  <si>
    <r>
      <t>I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charset val="1"/>
        <scheme val="minor"/>
      </rPr>
      <t xml:space="preserve"> = 1/12</t>
    </r>
    <r>
      <rPr>
        <vertAlign val="sub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charset val="1"/>
        <scheme val="minor"/>
      </rPr>
      <t>* (h</t>
    </r>
    <r>
      <rPr>
        <vertAlign val="subscript"/>
        <sz val="11"/>
        <color theme="1"/>
        <rFont val="Calibri"/>
        <family val="2"/>
        <scheme val="minor"/>
      </rPr>
      <t xml:space="preserve">t </t>
    </r>
    <r>
      <rPr>
        <sz val="11"/>
        <color theme="1"/>
        <rFont val="Calibri"/>
        <family val="2"/>
        <charset val="1"/>
        <scheme val="minor"/>
      </rPr>
      <t>- 2*t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charset val="1"/>
        <scheme val="minor"/>
      </rPr>
      <t>) * t</t>
    </r>
    <r>
      <rPr>
        <vertAlign val="subscript"/>
        <sz val="11"/>
        <color theme="1"/>
        <rFont val="Calibri"/>
        <family val="2"/>
        <scheme val="minor"/>
      </rPr>
      <t>w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charset val="1"/>
        <scheme val="minor"/>
      </rPr>
      <t xml:space="preserve"> + 2 * 1/12 * t</t>
    </r>
    <r>
      <rPr>
        <vertAlign val="subscript"/>
        <sz val="11"/>
        <color theme="1"/>
        <rFont val="Calibri"/>
        <family val="2"/>
        <scheme val="minor"/>
      </rPr>
      <t xml:space="preserve">f </t>
    </r>
    <r>
      <rPr>
        <sz val="11"/>
        <color theme="1"/>
        <rFont val="Calibri"/>
        <family val="2"/>
        <charset val="1"/>
        <scheme val="minor"/>
      </rPr>
      <t>* b</t>
    </r>
    <r>
      <rPr>
        <vertAlign val="subscript"/>
        <sz val="11"/>
        <color theme="1"/>
        <rFont val="Calibri"/>
        <family val="2"/>
        <scheme val="minor"/>
      </rPr>
      <t>f</t>
    </r>
    <r>
      <rPr>
        <vertAlign val="superscript"/>
        <sz val="11"/>
        <color theme="1"/>
        <rFont val="Calibri"/>
        <family val="2"/>
        <scheme val="minor"/>
      </rPr>
      <t>3</t>
    </r>
  </si>
  <si>
    <t>Modulus penampang elastis,</t>
  </si>
  <si>
    <r>
      <t>S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charset val="1"/>
        <scheme val="minor"/>
      </rPr>
      <t xml:space="preserve"> = I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charset val="1"/>
        <scheme val="minor"/>
      </rPr>
      <t xml:space="preserve"> / (0,5 * h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>)</t>
    </r>
  </si>
  <si>
    <r>
      <t>S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charset val="1"/>
        <scheme val="minor"/>
      </rPr>
      <t xml:space="preserve"> = I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charset val="1"/>
        <scheme val="minor"/>
      </rPr>
      <t xml:space="preserve"> / (0,5 * b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charset val="1"/>
        <scheme val="minor"/>
      </rPr>
      <t>)</t>
    </r>
  </si>
  <si>
    <t>Modulus penampang plastis,</t>
  </si>
  <si>
    <r>
      <t>Z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charset val="1"/>
        <scheme val="minor"/>
      </rPr>
      <t xml:space="preserve"> = b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charset val="1"/>
        <scheme val="minor"/>
      </rPr>
      <t xml:space="preserve"> * t</t>
    </r>
    <r>
      <rPr>
        <vertAlign val="subscript"/>
        <sz val="11"/>
        <color theme="1"/>
        <rFont val="Calibri"/>
        <family val="2"/>
        <scheme val="minor"/>
      </rPr>
      <t xml:space="preserve">f * </t>
    </r>
    <r>
      <rPr>
        <sz val="11"/>
        <color theme="1"/>
        <rFont val="Calibri"/>
        <family val="2"/>
        <charset val="1"/>
        <scheme val="minor"/>
      </rPr>
      <t>(h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- t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charset val="1"/>
        <scheme val="minor"/>
      </rPr>
      <t>) + 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charset val="1"/>
        <scheme val="minor"/>
      </rPr>
      <t xml:space="preserve"> * (0,5 * h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- t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charset val="1"/>
        <scheme val="minor"/>
      </rPr>
      <t>)</t>
    </r>
    <r>
      <rPr>
        <vertAlign val="superscript"/>
        <sz val="11"/>
        <color theme="1"/>
        <rFont val="Calibri"/>
        <family val="2"/>
        <scheme val="minor"/>
      </rPr>
      <t>2</t>
    </r>
  </si>
  <si>
    <r>
      <t>Z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charset val="1"/>
        <scheme val="minor"/>
      </rPr>
      <t xml:space="preserve"> = 0,5 * t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charset val="1"/>
        <scheme val="minor"/>
      </rPr>
      <t xml:space="preserve"> * b</t>
    </r>
    <r>
      <rPr>
        <vertAlign val="subscript"/>
        <sz val="11"/>
        <color theme="1"/>
        <rFont val="Calibri"/>
        <family val="2"/>
        <scheme val="minor"/>
      </rPr>
      <t>f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+ 0,25 * (h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- 2*t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charset val="1"/>
        <scheme val="minor"/>
      </rPr>
      <t>) * t</t>
    </r>
    <r>
      <rPr>
        <vertAlign val="subscript"/>
        <sz val="11"/>
        <color theme="1"/>
        <rFont val="Calibri"/>
        <family val="2"/>
        <scheme val="minor"/>
      </rPr>
      <t>w</t>
    </r>
    <r>
      <rPr>
        <vertAlign val="superscript"/>
        <sz val="11"/>
        <color theme="1"/>
        <rFont val="Calibri"/>
        <family val="2"/>
        <scheme val="minor"/>
      </rPr>
      <t>2</t>
    </r>
  </si>
  <si>
    <t>Momen Inersia</t>
  </si>
  <si>
    <t>Mod. Penampang Elastis</t>
  </si>
  <si>
    <t>Mod. Penampang Plastis</t>
  </si>
  <si>
    <r>
      <t>I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</si>
  <si>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I</t>
    </r>
    <r>
      <rPr>
        <b/>
        <vertAlign val="subscript"/>
        <sz val="11"/>
        <color theme="1"/>
        <rFont val="Calibri"/>
        <family val="2"/>
        <scheme val="minor"/>
      </rPr>
      <t>Y</t>
    </r>
  </si>
  <si>
    <r>
      <t>S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</si>
  <si>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S</t>
    </r>
    <r>
      <rPr>
        <b/>
        <vertAlign val="subscript"/>
        <sz val="11"/>
        <color theme="1"/>
        <rFont val="Calibri"/>
        <family val="2"/>
        <scheme val="minor"/>
      </rPr>
      <t>Y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</si>
  <si>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</si>
  <si>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Y</t>
    </r>
  </si>
  <si>
    <t>Value</t>
  </si>
  <si>
    <t>Satuan</t>
  </si>
  <si>
    <r>
      <t>mm</t>
    </r>
    <r>
      <rPr>
        <vertAlign val="superscript"/>
        <sz val="11"/>
        <color theme="1"/>
        <rFont val="Calibri"/>
        <family val="2"/>
        <scheme val="minor"/>
      </rPr>
      <t>4</t>
    </r>
  </si>
  <si>
    <t>Sifat - sifat material penampang balok WF</t>
  </si>
  <si>
    <t>Data dimensi dari penampang profil balok WF,</t>
  </si>
  <si>
    <t>Momen inersia profil balok baja,</t>
  </si>
  <si>
    <t>ANALISA SIFAT PROFIL WF DAN DIMENSI SAMBUNGAN</t>
  </si>
  <si>
    <t>Momen perlu untuk sambungan sekuat profil balok,</t>
  </si>
  <si>
    <t>Konfigurasi pelat ujung dan baut,</t>
  </si>
  <si>
    <r>
      <t>3 * d</t>
    </r>
    <r>
      <rPr>
        <vertAlign val="subscript"/>
        <sz val="11"/>
        <color theme="1"/>
        <rFont val="Calibri"/>
        <family val="2"/>
      </rPr>
      <t>b</t>
    </r>
  </si>
  <si>
    <r>
      <t>1,25 * d</t>
    </r>
    <r>
      <rPr>
        <vertAlign val="subscript"/>
        <sz val="11"/>
        <color theme="1"/>
        <rFont val="Calibri"/>
        <family val="2"/>
      </rPr>
      <t>b</t>
    </r>
  </si>
  <si>
    <t>Spasi minimum antara lubang baut diukur dari as ke as,</t>
  </si>
  <si>
    <t>Jarak minimum dari as baut ke tepi pelat,</t>
  </si>
  <si>
    <t>Jarak horizontal,</t>
  </si>
  <si>
    <t>Jarak vertikal,</t>
  </si>
  <si>
    <r>
      <t>p</t>
    </r>
    <r>
      <rPr>
        <vertAlign val="subscript"/>
        <sz val="11"/>
        <color theme="1"/>
        <rFont val="Calibri"/>
        <family val="2"/>
      </rPr>
      <t>b</t>
    </r>
  </si>
  <si>
    <r>
      <t>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</si>
  <si>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X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charset val="1"/>
        <scheme val="minor"/>
      </rPr>
      <t xml:space="preserve"> = 2/g * [ h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charset val="1"/>
        <scheme val="minor"/>
      </rPr>
      <t xml:space="preserve"> * (p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charset val="1"/>
        <scheme val="minor"/>
      </rPr>
      <t xml:space="preserve"> + 2,25*p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>) + 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charset val="1"/>
        <scheme val="minor"/>
      </rPr>
      <t xml:space="preserve"> * (p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charset val="1"/>
        <scheme val="minor"/>
      </rPr>
      <t xml:space="preserve"> + 0,75*p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>)] + g/2 =</t>
    </r>
  </si>
  <si>
    <r>
      <t>Y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charset val="1"/>
        <scheme val="minor"/>
      </rPr>
      <t xml:space="preserve"> = b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charset val="1"/>
        <scheme val="minor"/>
      </rPr>
      <t>/2 * [ h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charset val="1"/>
        <scheme val="minor"/>
      </rPr>
      <t xml:space="preserve"> * (1/p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charset val="1"/>
        <scheme val="minor"/>
      </rPr>
      <t>) + 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* (1/p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charset val="1"/>
        <scheme val="minor"/>
      </rPr>
      <t>) ] + X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charset val="1"/>
        <scheme val="minor"/>
      </rPr>
      <t xml:space="preserve"> =</t>
    </r>
  </si>
  <si>
    <t>Kapasitas sambungan berdasarkan kuat pelat ujung,</t>
  </si>
  <si>
    <r>
      <t>ϕ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M</t>
    </r>
    <r>
      <rPr>
        <vertAlign val="subscript"/>
        <sz val="11"/>
        <color theme="1"/>
        <rFont val="Calibri"/>
        <family val="2"/>
        <scheme val="minor"/>
      </rPr>
      <t>np</t>
    </r>
    <r>
      <rPr>
        <sz val="11"/>
        <color theme="1"/>
        <rFont val="Calibri"/>
        <family val="2"/>
        <charset val="1"/>
        <scheme val="minor"/>
      </rPr>
      <t xml:space="preserve"> = ϕ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* M</t>
    </r>
    <r>
      <rPr>
        <vertAlign val="subscript"/>
        <sz val="11"/>
        <color theme="1"/>
        <rFont val="Calibri"/>
        <family val="2"/>
        <scheme val="minor"/>
      </rPr>
      <t>pl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</si>
  <si>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</rPr>
      <t xml:space="preserve"> = ϕ * 1/4 * π * d</t>
    </r>
    <r>
      <rPr>
        <vertAlign val="subscript"/>
        <sz val="11"/>
        <color theme="1"/>
        <rFont val="Calibri"/>
        <family val="2"/>
      </rPr>
      <t>b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* F</t>
    </r>
    <r>
      <rPr>
        <vertAlign val="subscript"/>
        <sz val="11"/>
        <color theme="1"/>
        <rFont val="Calibri"/>
        <family val="2"/>
      </rPr>
      <t>nt</t>
    </r>
    <r>
      <rPr>
        <sz val="11"/>
        <color theme="1"/>
        <rFont val="Calibri"/>
        <family val="2"/>
      </rPr>
      <t xml:space="preserve"> =</t>
    </r>
  </si>
  <si>
    <r>
      <rPr>
        <sz val="11"/>
        <color theme="1"/>
        <rFont val="Calibri"/>
        <family val="2"/>
      </rPr>
      <t>α = 1/δ * ( 4T * b' / (p * F</t>
    </r>
    <r>
      <rPr>
        <vertAlign val="subscript"/>
        <sz val="11"/>
        <color theme="1"/>
        <rFont val="Calibri"/>
        <family val="2"/>
      </rPr>
      <t>py</t>
    </r>
    <r>
      <rPr>
        <sz val="11"/>
        <color theme="1"/>
        <rFont val="Calibri"/>
        <family val="2"/>
      </rPr>
      <t xml:space="preserve"> * t</t>
    </r>
    <r>
      <rPr>
        <vertAlign val="subscript"/>
        <sz val="11"/>
        <color theme="1"/>
        <rFont val="Calibri"/>
        <family val="2"/>
      </rPr>
      <t>p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 -1 ) =</t>
    </r>
  </si>
  <si>
    <t>Kapasitas tarik baut baris pertama,</t>
  </si>
  <si>
    <t>T =</t>
  </si>
  <si>
    <t>Kapasitas tarik baut berdasarkan kuat tarik baut,</t>
  </si>
  <si>
    <t>Tinjau baut baris pertama</t>
  </si>
  <si>
    <t>Tinjau baut baris kedua</t>
  </si>
  <si>
    <t>a =</t>
  </si>
  <si>
    <t>b =</t>
  </si>
  <si>
    <r>
      <t>T = (1+</t>
    </r>
    <r>
      <rPr>
        <sz val="11"/>
        <color theme="1"/>
        <rFont val="Calibri"/>
        <family val="2"/>
      </rPr>
      <t>δ) / 4b' * (p * F</t>
    </r>
    <r>
      <rPr>
        <vertAlign val="subscript"/>
        <sz val="11"/>
        <color theme="1"/>
        <rFont val="Calibri"/>
        <family val="2"/>
      </rPr>
      <t>py</t>
    </r>
    <r>
      <rPr>
        <sz val="11"/>
        <color theme="1"/>
        <rFont val="Calibri"/>
        <family val="2"/>
      </rPr>
      <t xml:space="preserve"> * t</t>
    </r>
    <r>
      <rPr>
        <vertAlign val="subscript"/>
        <sz val="11"/>
        <color theme="1"/>
        <rFont val="Calibri"/>
        <family val="2"/>
      </rPr>
      <t>p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 =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</si>
  <si>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= ( p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+ p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)/2 =</t>
    </r>
  </si>
  <si>
    <r>
      <t>T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charset val="1"/>
        <scheme val="minor"/>
      </rPr>
      <t xml:space="preserve"> = 2 * T =</t>
    </r>
  </si>
  <si>
    <r>
      <t>T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= 2 * T =</t>
    </r>
  </si>
  <si>
    <t>Tinjau baut baris ketiga</t>
  </si>
  <si>
    <r>
      <t>p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charset val="1"/>
        <scheme val="minor"/>
      </rPr>
      <t xml:space="preserve"> = ( p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+ p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)/2 =</t>
    </r>
  </si>
  <si>
    <r>
      <t>T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charset val="1"/>
        <scheme val="minor"/>
      </rPr>
      <t xml:space="preserve"> = 2 * T =</t>
    </r>
  </si>
  <si>
    <t>Tinjau baut baris keempat</t>
  </si>
  <si>
    <r>
      <t>T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charset val="1"/>
        <scheme val="minor"/>
      </rPr>
      <t xml:space="preserve"> = 2 * T =</t>
    </r>
  </si>
  <si>
    <t>Kapasitas sambungan berdasarkan baut tarik,</t>
  </si>
  <si>
    <r>
      <t>ϕ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M</t>
    </r>
    <r>
      <rPr>
        <vertAlign val="subscript"/>
        <sz val="11"/>
        <color theme="1"/>
        <rFont val="Calibri"/>
        <family val="2"/>
      </rPr>
      <t>np</t>
    </r>
    <r>
      <rPr>
        <sz val="11"/>
        <color theme="1"/>
        <rFont val="Calibri"/>
        <family val="2"/>
      </rPr>
      <t xml:space="preserve"> = ϕ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M</t>
    </r>
    <r>
      <rPr>
        <vertAlign val="subscript"/>
        <sz val="11"/>
        <color theme="1"/>
        <rFont val="Calibri"/>
        <family val="2"/>
      </rPr>
      <t>pl</t>
    </r>
    <r>
      <rPr>
        <sz val="11"/>
        <color theme="1"/>
        <rFont val="Calibri"/>
        <family val="2"/>
      </rPr>
      <t xml:space="preserve"> = ϕ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* Σ(T</t>
    </r>
    <r>
      <rPr>
        <vertAlign val="subscript"/>
        <sz val="11"/>
        <color theme="1"/>
        <rFont val="Calibri"/>
        <family val="2"/>
      </rPr>
      <t>i</t>
    </r>
    <r>
      <rPr>
        <sz val="11"/>
        <color theme="1"/>
        <rFont val="Calibri"/>
        <family val="2"/>
      </rPr>
      <t xml:space="preserve"> * h</t>
    </r>
    <r>
      <rPr>
        <vertAlign val="subscript"/>
        <sz val="11"/>
        <color theme="1"/>
        <rFont val="Calibri"/>
        <family val="2"/>
      </rPr>
      <t>i</t>
    </r>
    <r>
      <rPr>
        <sz val="11"/>
        <color theme="1"/>
        <rFont val="Calibri"/>
        <family val="2"/>
      </rPr>
      <t xml:space="preserve"> ) =</t>
    </r>
  </si>
  <si>
    <r>
      <t>b' = b - d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/2 =</t>
    </r>
  </si>
  <si>
    <t>Kontrol dimensi a'</t>
  </si>
  <si>
    <r>
      <t>1,25*b + d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>/2</t>
    </r>
  </si>
  <si>
    <r>
      <t>a' = a + d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/2 =</t>
    </r>
  </si>
  <si>
    <t>Kondisi 3 :</t>
  </si>
  <si>
    <r>
      <t>K</t>
    </r>
    <r>
      <rPr>
        <sz val="11"/>
        <color theme="1"/>
        <rFont val="Calibri"/>
        <family val="2"/>
      </rPr>
      <t>apasitas tarik baut,</t>
    </r>
  </si>
  <si>
    <r>
      <t>T</t>
    </r>
    <r>
      <rPr>
        <sz val="11"/>
        <color theme="1"/>
        <rFont val="Calibri"/>
        <family val="2"/>
      </rPr>
      <t xml:space="preserve"> = P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=</t>
    </r>
  </si>
  <si>
    <r>
      <t>T = P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* a' / (a' + b') + (p * F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* t</t>
    </r>
    <r>
      <rPr>
        <vertAlign val="subscript"/>
        <sz val="11"/>
        <color theme="1"/>
        <rFont val="Calibri"/>
        <family val="2"/>
        <scheme val="minor"/>
      </rPr>
      <t>p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)/(4*(a'+b')) =</t>
    </r>
  </si>
  <si>
    <r>
      <t>α = 1/δ * ( 4P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* b' / (p * F</t>
    </r>
    <r>
      <rPr>
        <vertAlign val="subscript"/>
        <sz val="11"/>
        <color theme="1"/>
        <rFont val="Calibri"/>
        <family val="2"/>
      </rPr>
      <t>py</t>
    </r>
    <r>
      <rPr>
        <sz val="11"/>
        <color theme="1"/>
        <rFont val="Calibri"/>
        <family val="2"/>
      </rPr>
      <t xml:space="preserve"> * t</t>
    </r>
    <r>
      <rPr>
        <vertAlign val="subscript"/>
        <sz val="11"/>
        <color theme="1"/>
        <rFont val="Calibri"/>
        <family val="2"/>
      </rPr>
      <t>p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 -1 ) =</t>
    </r>
  </si>
  <si>
    <r>
      <t>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charset val="1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charset val="1"/>
        <scheme val="minor"/>
      </rPr>
      <t xml:space="preserve"> + p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/2 =</t>
    </r>
  </si>
  <si>
    <t>Diameter lubang baut,</t>
  </si>
  <si>
    <r>
      <t>d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 d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+ 2 =</t>
    </r>
  </si>
  <si>
    <r>
      <t>δ = 1 - d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charset val="1"/>
        <scheme val="minor"/>
      </rPr>
      <t>/p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charset val="1"/>
        <scheme val="minor"/>
      </rPr>
      <t xml:space="preserve"> =</t>
    </r>
  </si>
  <si>
    <t>a'</t>
  </si>
  <si>
    <t>α ≤ 0</t>
  </si>
  <si>
    <t>Rasio momen pelat pada potongan baut terhadap momen pelat potongan tepi pelat badan,</t>
  </si>
  <si>
    <r>
      <t>δ = 1 - d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charset val="1"/>
        <scheme val="minor"/>
      </rPr>
      <t>/p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=</t>
    </r>
  </si>
  <si>
    <t>α &gt; 1</t>
  </si>
  <si>
    <t>0 &lt; α ≤ 1</t>
  </si>
  <si>
    <r>
      <t>δ = 1 - d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charset val="1"/>
        <scheme val="minor"/>
      </rPr>
      <t>/p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</si>
  <si>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charset val="1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charset val="1"/>
        <scheme val="minor"/>
      </rPr>
      <t xml:space="preserve"> + p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/2 =</t>
    </r>
  </si>
  <si>
    <r>
      <t>δ = 1 - d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charset val="1"/>
        <scheme val="minor"/>
      </rPr>
      <t>/p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charset val="1"/>
        <scheme val="minor"/>
      </rPr>
      <t xml:space="preserve"> =</t>
    </r>
  </si>
  <si>
    <t>Jika pf &gt; s, maka pf = s,</t>
  </si>
  <si>
    <t>Kapasitas tarik baut baris keempat,</t>
  </si>
  <si>
    <t>Kapasitas tarik baut baris ketiga,</t>
  </si>
  <si>
    <t>Kapasitas tarik baut baris kedua,</t>
  </si>
  <si>
    <r>
      <t xml:space="preserve">ANALISA KEKUATAN TARIK SAMBUNGAN </t>
    </r>
    <r>
      <rPr>
        <b/>
        <i/>
        <sz val="11"/>
        <color theme="1"/>
        <rFont val="Calibri"/>
        <family val="2"/>
        <scheme val="minor"/>
      </rPr>
      <t>END-PLATE</t>
    </r>
  </si>
  <si>
    <t>D.</t>
  </si>
  <si>
    <t>D.1.</t>
  </si>
  <si>
    <r>
      <t xml:space="preserve">ANALISA KEKUATAN GESER SAMBUNGAN </t>
    </r>
    <r>
      <rPr>
        <b/>
        <i/>
        <sz val="11"/>
        <color theme="1"/>
        <rFont val="Calibri"/>
        <family val="2"/>
        <scheme val="minor"/>
      </rPr>
      <t>END-PLATE</t>
    </r>
  </si>
  <si>
    <t>D.2.</t>
  </si>
  <si>
    <t>Kuat Geser Baut</t>
  </si>
  <si>
    <t>D.3.</t>
  </si>
  <si>
    <t>Kuat Geser Blok</t>
  </si>
  <si>
    <t>Diameter baut,</t>
  </si>
  <si>
    <t>Tebal pelat,</t>
  </si>
  <si>
    <r>
      <t>t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=</t>
    </r>
  </si>
  <si>
    <t>Kuat tumpu pelat,</t>
  </si>
  <si>
    <t>Batas maksimum kuat tumpu pelat,</t>
  </si>
  <si>
    <t>Jumlah baut,</t>
  </si>
  <si>
    <r>
      <t>n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=</t>
    </r>
  </si>
  <si>
    <t>bh</t>
  </si>
  <si>
    <t>Kuat nominal baut total per satu bidang geser,</t>
  </si>
  <si>
    <r>
      <t>R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 n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*  F</t>
    </r>
    <r>
      <rPr>
        <vertAlign val="subscript"/>
        <sz val="11"/>
        <color theme="1"/>
        <rFont val="Calibri"/>
        <family val="2"/>
      </rPr>
      <t>nv</t>
    </r>
    <r>
      <rPr>
        <sz val="11"/>
        <color theme="1"/>
        <rFont val="Calibri"/>
        <family val="2"/>
      </rPr>
      <t xml:space="preserve"> * A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=</t>
    </r>
  </si>
  <si>
    <t>Rekapitulasi Kuat Batas Baut terhadap Kegagalan Geser</t>
  </si>
  <si>
    <r>
      <t>R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</t>
    </r>
  </si>
  <si>
    <t>Kuat geser baut,</t>
  </si>
  <si>
    <t>Kuat geser blok,</t>
  </si>
  <si>
    <t>Kuat batas baut yang berpengaruh,</t>
  </si>
  <si>
    <t>Kuat batas baut rencana,</t>
  </si>
  <si>
    <r>
      <t>ϕR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 ϕ * R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</t>
    </r>
  </si>
  <si>
    <t>Gaya geser akibat kombinasi beban terfaktor,</t>
  </si>
  <si>
    <t>Kontrol gaya geser perlu terhadap kekuatan batas nominal,</t>
  </si>
  <si>
    <t>D.4.</t>
  </si>
  <si>
    <r>
      <t>F</t>
    </r>
    <r>
      <rPr>
        <vertAlign val="subscript"/>
        <sz val="11"/>
        <color theme="1"/>
        <rFont val="Calibri"/>
        <family val="2"/>
      </rPr>
      <t xml:space="preserve">pu </t>
    </r>
    <r>
      <rPr>
        <sz val="11"/>
        <color theme="1"/>
        <rFont val="Calibri"/>
        <family val="2"/>
      </rPr>
      <t>=</t>
    </r>
  </si>
  <si>
    <t>(kN)</t>
  </si>
  <si>
    <t>Baut baris ke -</t>
  </si>
  <si>
    <r>
      <t>l</t>
    </r>
    <r>
      <rPr>
        <b/>
        <vertAlign val="subscript"/>
        <sz val="11"/>
        <color theme="0"/>
        <rFont val="Calibri"/>
        <family val="2"/>
        <scheme val="minor"/>
      </rPr>
      <t>c</t>
    </r>
  </si>
  <si>
    <r>
      <t>R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 1,2 * l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* t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* F</t>
    </r>
    <r>
      <rPr>
        <vertAlign val="subscript"/>
        <sz val="11"/>
        <color theme="1"/>
        <rFont val="Calibri"/>
        <family val="2"/>
      </rPr>
      <t>pu</t>
    </r>
  </si>
  <si>
    <r>
      <t>R</t>
    </r>
    <r>
      <rPr>
        <vertAlign val="subscript"/>
        <sz val="11"/>
        <color theme="1"/>
        <rFont val="Calibri"/>
        <family val="2"/>
        <scheme val="minor"/>
      </rPr>
      <t>n maks</t>
    </r>
    <r>
      <rPr>
        <sz val="11"/>
        <color theme="1"/>
        <rFont val="Calibri"/>
        <family val="2"/>
        <charset val="1"/>
        <scheme val="minor"/>
      </rPr>
      <t xml:space="preserve"> = 2,4 * d * t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charset val="1"/>
        <scheme val="minor"/>
      </rPr>
      <t xml:space="preserve"> * F</t>
    </r>
    <r>
      <rPr>
        <vertAlign val="subscript"/>
        <sz val="11"/>
        <color theme="1"/>
        <rFont val="Calibri"/>
        <family val="2"/>
        <scheme val="minor"/>
      </rPr>
      <t>pu</t>
    </r>
  </si>
  <si>
    <r>
      <t>R</t>
    </r>
    <r>
      <rPr>
        <b/>
        <vertAlign val="subscript"/>
        <sz val="11"/>
        <color theme="0"/>
        <rFont val="Calibri"/>
        <family val="2"/>
        <scheme val="minor"/>
      </rPr>
      <t>n</t>
    </r>
  </si>
  <si>
    <r>
      <t>R</t>
    </r>
    <r>
      <rPr>
        <b/>
        <vertAlign val="subscript"/>
        <sz val="11"/>
        <color theme="0"/>
        <rFont val="Calibri"/>
        <family val="2"/>
        <scheme val="minor"/>
      </rPr>
      <t>n maks</t>
    </r>
  </si>
  <si>
    <r>
      <t>R</t>
    </r>
    <r>
      <rPr>
        <b/>
        <vertAlign val="subscript"/>
        <sz val="11"/>
        <color theme="0"/>
        <rFont val="Calibri"/>
        <family val="2"/>
        <scheme val="minor"/>
      </rPr>
      <t>n</t>
    </r>
    <r>
      <rPr>
        <b/>
        <sz val="11"/>
        <color theme="0"/>
        <rFont val="Calibri"/>
        <family val="2"/>
        <scheme val="minor"/>
      </rPr>
      <t xml:space="preserve"> digunakan</t>
    </r>
  </si>
  <si>
    <t>Kuat geser nominal baut,</t>
  </si>
  <si>
    <t>Kuat tumpu pelat total,</t>
  </si>
  <si>
    <t>Luas netto (dengan lubang) garis batas blok searah gaya geser,</t>
  </si>
  <si>
    <t>Luas utuh (tanpa lubang) garis batas blok searah gaya geser,</t>
  </si>
  <si>
    <t>Luas netto (dengan lubang) garis batas blok tegak lurus gaya tarik,</t>
  </si>
  <si>
    <t>Faktor untuk tegangan tarik merata,</t>
  </si>
  <si>
    <r>
      <t>U</t>
    </r>
    <r>
      <rPr>
        <vertAlign val="subscript"/>
        <sz val="11"/>
        <color theme="1"/>
        <rFont val="Calibri"/>
        <family val="2"/>
        <scheme val="minor"/>
      </rPr>
      <t>bs</t>
    </r>
    <r>
      <rPr>
        <sz val="11"/>
        <color theme="1"/>
        <rFont val="Calibri"/>
        <family val="2"/>
        <charset val="1"/>
        <scheme val="minor"/>
      </rPr>
      <t xml:space="preserve"> =</t>
    </r>
  </si>
  <si>
    <t>Data dimensi dari penampang profil kolom WF,</t>
  </si>
  <si>
    <t>t =</t>
  </si>
  <si>
    <r>
      <t>p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charset val="1"/>
        <scheme val="minor"/>
      </rPr>
      <t xml:space="preserve"> =</t>
    </r>
  </si>
  <si>
    <t>Luas utuh (tanpa lubang) garis batas blok tegak lurus gaya tarik,</t>
  </si>
  <si>
    <r>
      <t>mm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</si>
  <si>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gv</t>
    </r>
    <r>
      <rPr>
        <sz val="11"/>
        <color theme="1"/>
        <rFont val="Calibri"/>
        <family val="2"/>
        <charset val="1"/>
        <scheme val="minor"/>
      </rPr>
      <t xml:space="preserve"> = ( p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charset val="1"/>
        <scheme val="minor"/>
      </rPr>
      <t xml:space="preserve"> + 3*p</t>
    </r>
    <r>
      <rPr>
        <vertAlign val="subscript"/>
        <sz val="11"/>
        <color theme="1"/>
        <rFont val="Calibri"/>
        <family val="2"/>
        <scheme val="minor"/>
      </rPr>
      <t xml:space="preserve">b </t>
    </r>
    <r>
      <rPr>
        <sz val="11"/>
        <color theme="1"/>
        <rFont val="Calibri"/>
        <family val="2"/>
        <scheme val="minor"/>
      </rPr>
      <t>+ p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) *t </t>
    </r>
    <r>
      <rPr>
        <vertAlign val="sub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charset val="1"/>
        <scheme val="minor"/>
      </rPr>
      <t>=</t>
    </r>
  </si>
  <si>
    <r>
      <t>A</t>
    </r>
    <r>
      <rPr>
        <vertAlign val="subscript"/>
        <sz val="11"/>
        <color theme="1"/>
        <rFont val="Calibri"/>
        <family val="2"/>
        <scheme val="minor"/>
      </rPr>
      <t>nv</t>
    </r>
    <r>
      <rPr>
        <sz val="11"/>
        <color theme="1"/>
        <rFont val="Calibri"/>
        <family val="2"/>
        <charset val="1"/>
        <scheme val="minor"/>
      </rPr>
      <t xml:space="preserve"> = (A</t>
    </r>
    <r>
      <rPr>
        <vertAlign val="subscript"/>
        <sz val="11"/>
        <color theme="1"/>
        <rFont val="Calibri"/>
        <family val="2"/>
        <scheme val="minor"/>
      </rPr>
      <t>gv</t>
    </r>
    <r>
      <rPr>
        <sz val="11"/>
        <color theme="1"/>
        <rFont val="Calibri"/>
        <family val="2"/>
        <charset val="1"/>
        <scheme val="minor"/>
      </rPr>
      <t xml:space="preserve"> - (d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charset val="1"/>
        <scheme val="minor"/>
      </rPr>
      <t>*4.5)*t ) =</t>
    </r>
  </si>
  <si>
    <r>
      <t>A</t>
    </r>
    <r>
      <rPr>
        <vertAlign val="subscript"/>
        <sz val="11"/>
        <color theme="1"/>
        <rFont val="Calibri"/>
        <family val="2"/>
        <scheme val="minor"/>
      </rPr>
      <t>gt</t>
    </r>
    <r>
      <rPr>
        <sz val="11"/>
        <color theme="1"/>
        <rFont val="Calibri"/>
        <family val="2"/>
        <charset val="1"/>
        <scheme val="minor"/>
      </rPr>
      <t xml:space="preserve"> = ((b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charset val="1"/>
        <scheme val="minor"/>
      </rPr>
      <t xml:space="preserve"> - g)/2) * t =</t>
    </r>
  </si>
  <si>
    <r>
      <t>A</t>
    </r>
    <r>
      <rPr>
        <vertAlign val="subscript"/>
        <sz val="11"/>
        <color theme="1"/>
        <rFont val="Calibri"/>
        <family val="2"/>
        <scheme val="minor"/>
      </rPr>
      <t>nt</t>
    </r>
    <r>
      <rPr>
        <sz val="11"/>
        <color theme="1"/>
        <rFont val="Calibri"/>
        <family val="2"/>
        <charset val="1"/>
        <scheme val="minor"/>
      </rPr>
      <t xml:space="preserve"> = Agt - 0.5*d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charset val="1"/>
        <scheme val="minor"/>
      </rPr>
      <t>*t =</t>
    </r>
  </si>
  <si>
    <t>Kuat nominal sambungan terhadap keruntuhan geser blok,</t>
  </si>
  <si>
    <r>
      <t>F</t>
    </r>
    <r>
      <rPr>
        <vertAlign val="subscript"/>
        <sz val="11"/>
        <color theme="1"/>
        <rFont val="Calibri"/>
        <family val="2"/>
      </rPr>
      <t>u</t>
    </r>
    <r>
      <rPr>
        <sz val="11"/>
        <color theme="1"/>
        <rFont val="Calibri"/>
        <family val="2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</si>
  <si>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ky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</si>
  <si>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ku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</si>
  <si>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=</t>
    </r>
  </si>
  <si>
    <t>Nilai minimum antara tegangan leleh pelat ujung dan pelat sayap kolom,</t>
  </si>
  <si>
    <t>Nilai minimum antara tegangan putus pelat ujung dan pelat sayap kolom,</t>
  </si>
  <si>
    <t>Tebal pelat yang berpengaruh pada kegagalan blok geser,</t>
  </si>
  <si>
    <r>
      <t>R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 0,6 *  F</t>
    </r>
    <r>
      <rPr>
        <vertAlign val="subscript"/>
        <sz val="11"/>
        <color theme="1"/>
        <rFont val="Calibri"/>
        <family val="2"/>
      </rPr>
      <t>u</t>
    </r>
    <r>
      <rPr>
        <sz val="11"/>
        <color theme="1"/>
        <rFont val="Calibri"/>
        <family val="2"/>
      </rPr>
      <t xml:space="preserve"> * A</t>
    </r>
    <r>
      <rPr>
        <vertAlign val="subscript"/>
        <sz val="11"/>
        <color theme="1"/>
        <rFont val="Calibri"/>
        <family val="2"/>
      </rPr>
      <t>nv</t>
    </r>
    <r>
      <rPr>
        <sz val="11"/>
        <color theme="1"/>
        <rFont val="Calibri"/>
        <family val="2"/>
      </rPr>
      <t xml:space="preserve"> + U</t>
    </r>
    <r>
      <rPr>
        <vertAlign val="subscript"/>
        <sz val="11"/>
        <color theme="1"/>
        <rFont val="Calibri"/>
        <family val="2"/>
      </rPr>
      <t>bs</t>
    </r>
    <r>
      <rPr>
        <sz val="11"/>
        <color theme="1"/>
        <rFont val="Calibri"/>
        <family val="2"/>
      </rPr>
      <t xml:space="preserve"> * F</t>
    </r>
    <r>
      <rPr>
        <vertAlign val="subscript"/>
        <sz val="11"/>
        <color theme="1"/>
        <rFont val="Calibri"/>
        <family val="2"/>
      </rPr>
      <t>u</t>
    </r>
    <r>
      <rPr>
        <sz val="11"/>
        <color theme="1"/>
        <rFont val="Calibri"/>
        <family val="2"/>
      </rPr>
      <t xml:space="preserve"> * A</t>
    </r>
    <r>
      <rPr>
        <vertAlign val="subscript"/>
        <sz val="11"/>
        <color theme="1"/>
        <rFont val="Calibri"/>
        <family val="2"/>
      </rPr>
      <t>nt</t>
    </r>
    <r>
      <rPr>
        <sz val="11"/>
        <color theme="1"/>
        <rFont val="Calibri"/>
        <family val="2"/>
      </rPr>
      <t xml:space="preserve"> =</t>
    </r>
  </si>
  <si>
    <r>
      <t>R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 0,6 * 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* A</t>
    </r>
    <r>
      <rPr>
        <vertAlign val="subscript"/>
        <sz val="11"/>
        <color theme="1"/>
        <rFont val="Calibri"/>
        <family val="2"/>
      </rPr>
      <t>gv</t>
    </r>
    <r>
      <rPr>
        <sz val="11"/>
        <color theme="1"/>
        <rFont val="Calibri"/>
        <family val="2"/>
      </rPr>
      <t xml:space="preserve"> + U</t>
    </r>
    <r>
      <rPr>
        <vertAlign val="subscript"/>
        <sz val="11"/>
        <color theme="1"/>
        <rFont val="Calibri"/>
        <family val="2"/>
      </rPr>
      <t>bs</t>
    </r>
    <r>
      <rPr>
        <sz val="11"/>
        <color theme="1"/>
        <rFont val="Calibri"/>
        <family val="2"/>
      </rPr>
      <t xml:space="preserve"> * F</t>
    </r>
    <r>
      <rPr>
        <vertAlign val="subscript"/>
        <sz val="11"/>
        <color theme="1"/>
        <rFont val="Calibri"/>
        <family val="2"/>
      </rPr>
      <t>u</t>
    </r>
    <r>
      <rPr>
        <sz val="11"/>
        <color theme="1"/>
        <rFont val="Calibri"/>
        <family val="2"/>
      </rPr>
      <t xml:space="preserve"> * A</t>
    </r>
    <r>
      <rPr>
        <vertAlign val="subscript"/>
        <sz val="11"/>
        <color theme="1"/>
        <rFont val="Calibri"/>
        <family val="2"/>
      </rPr>
      <t>nt</t>
    </r>
    <r>
      <rPr>
        <sz val="11"/>
        <color theme="1"/>
        <rFont val="Calibri"/>
        <family val="2"/>
      </rPr>
      <t xml:space="preserve"> =</t>
    </r>
  </si>
  <si>
    <t>Batas maks kuat nominal terhadap keruntuhan geser blok,</t>
  </si>
  <si>
    <r>
      <t>digunakan,    R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</t>
    </r>
  </si>
  <si>
    <t>Kuat nominal sambungan terhadap keruntuhan geser blok total,</t>
  </si>
  <si>
    <r>
      <t>V</t>
    </r>
    <r>
      <rPr>
        <vertAlign val="subscript"/>
        <sz val="11"/>
        <color theme="1"/>
        <rFont val="Calibri"/>
        <family val="2"/>
      </rPr>
      <t>u</t>
    </r>
    <r>
      <rPr>
        <sz val="11"/>
        <color theme="1"/>
        <rFont val="Calibri"/>
        <family val="2"/>
      </rPr>
      <t xml:space="preserve"> =</t>
    </r>
  </si>
  <si>
    <t>ANALISA KUAT PROFIL BALOK</t>
  </si>
  <si>
    <t>Nilai faktor ketahanan untuk kuat geser,</t>
  </si>
  <si>
    <r>
      <rPr>
        <i/>
        <sz val="11"/>
        <color theme="1"/>
        <rFont val="Calibri"/>
        <family val="2"/>
        <scheme val="minor"/>
      </rPr>
      <t>φ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</si>
  <si>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charset val="1"/>
        <scheme val="minor"/>
      </rPr>
      <t xml:space="preserve"> = h</t>
    </r>
    <r>
      <rPr>
        <vertAlign val="subscript"/>
        <sz val="11"/>
        <color theme="1"/>
        <rFont val="Calibri"/>
        <family val="2"/>
        <scheme val="minor"/>
      </rPr>
      <t>bt</t>
    </r>
    <r>
      <rPr>
        <sz val="11"/>
        <color theme="1"/>
        <rFont val="Calibri"/>
        <family val="2"/>
        <charset val="1"/>
        <scheme val="minor"/>
      </rPr>
      <t xml:space="preserve"> - t</t>
    </r>
    <r>
      <rPr>
        <vertAlign val="subscript"/>
        <sz val="11"/>
        <color theme="1"/>
        <rFont val="Calibri"/>
        <family val="2"/>
        <scheme val="minor"/>
      </rPr>
      <t>bf</t>
    </r>
    <r>
      <rPr>
        <sz val="11"/>
        <color theme="1"/>
        <rFont val="Calibri"/>
        <family val="2"/>
        <charset val="1"/>
        <scheme val="minor"/>
      </rPr>
      <t xml:space="preserve"> = </t>
    </r>
  </si>
  <si>
    <r>
      <t>A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charset val="1"/>
        <scheme val="minor"/>
      </rPr>
      <t xml:space="preserve"> = h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charset val="1"/>
        <scheme val="minor"/>
      </rPr>
      <t xml:space="preserve"> * t</t>
    </r>
    <r>
      <rPr>
        <vertAlign val="subscript"/>
        <sz val="11"/>
        <color theme="1"/>
        <rFont val="Calibri"/>
        <family val="2"/>
        <scheme val="minor"/>
      </rPr>
      <t>bw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</si>
  <si>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charset val="1"/>
        <scheme val="minor"/>
      </rPr>
      <t>/t</t>
    </r>
    <r>
      <rPr>
        <vertAlign val="subscript"/>
        <sz val="11"/>
        <color theme="1"/>
        <rFont val="Calibri"/>
        <family val="2"/>
        <scheme val="minor"/>
      </rPr>
      <t>bw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</si>
  <si>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charset val="1"/>
        <scheme val="minor"/>
      </rPr>
      <t>/t</t>
    </r>
    <r>
      <rPr>
        <vertAlign val="subscript"/>
        <sz val="11"/>
        <color theme="1"/>
        <rFont val="Calibri"/>
        <family val="2"/>
        <scheme val="minor"/>
      </rPr>
      <t>bw</t>
    </r>
    <r>
      <rPr>
        <sz val="11"/>
        <color theme="1"/>
        <rFont val="Calibri"/>
        <family val="2"/>
        <charset val="1"/>
        <scheme val="minor"/>
      </rPr>
      <t xml:space="preserve"> </t>
    </r>
    <r>
      <rPr>
        <sz val="11"/>
        <color theme="1"/>
        <rFont val="Calibri"/>
        <family val="2"/>
      </rPr>
      <t>&gt; 2,24 * √(E/F</t>
    </r>
    <r>
      <rPr>
        <vertAlign val="subscript"/>
        <sz val="11"/>
        <color theme="1"/>
        <rFont val="Calibri"/>
        <family val="2"/>
      </rPr>
      <t>by</t>
    </r>
    <r>
      <rPr>
        <sz val="11"/>
        <color theme="1"/>
        <rFont val="Calibri"/>
        <family val="2"/>
      </rPr>
      <t>)</t>
    </r>
  </si>
  <si>
    <r>
      <t>h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charset val="1"/>
        <scheme val="minor"/>
      </rPr>
      <t>/t</t>
    </r>
    <r>
      <rPr>
        <vertAlign val="subscript"/>
        <sz val="11"/>
        <color theme="1"/>
        <rFont val="Calibri"/>
        <family val="2"/>
        <scheme val="minor"/>
      </rPr>
      <t>bw</t>
    </r>
    <r>
      <rPr>
        <sz val="11"/>
        <color theme="1"/>
        <rFont val="Calibri"/>
        <family val="2"/>
        <charset val="1"/>
        <scheme val="minor"/>
      </rPr>
      <t xml:space="preserve"> </t>
    </r>
    <r>
      <rPr>
        <sz val="11"/>
        <color theme="1"/>
        <rFont val="Calibri"/>
        <family val="2"/>
      </rPr>
      <t>≤ 2,24 * √(E/F</t>
    </r>
    <r>
      <rPr>
        <vertAlign val="subscript"/>
        <sz val="11"/>
        <color theme="1"/>
        <rFont val="Calibri"/>
        <family val="2"/>
      </rPr>
      <t>by</t>
    </r>
    <r>
      <rPr>
        <sz val="11"/>
        <color theme="1"/>
        <rFont val="Calibri"/>
        <family val="2"/>
      </rPr>
      <t>)</t>
    </r>
  </si>
  <si>
    <r>
      <t>C</t>
    </r>
    <r>
      <rPr>
        <vertAlign val="subscript"/>
        <sz val="11"/>
        <color theme="1"/>
        <rFont val="Calibri"/>
        <family val="2"/>
        <scheme val="minor"/>
      </rPr>
      <t>v1</t>
    </r>
    <r>
      <rPr>
        <sz val="11"/>
        <color theme="1"/>
        <rFont val="Calibri"/>
        <family val="2"/>
        <charset val="1"/>
        <scheme val="minor"/>
      </rPr>
      <t xml:space="preserve"> = 1,1 / (h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charset val="1"/>
        <scheme val="minor"/>
      </rPr>
      <t>/t</t>
    </r>
    <r>
      <rPr>
        <vertAlign val="subscript"/>
        <sz val="11"/>
        <color theme="1"/>
        <rFont val="Calibri"/>
        <family val="2"/>
        <scheme val="minor"/>
      </rPr>
      <t>bw</t>
    </r>
    <r>
      <rPr>
        <sz val="11"/>
        <color theme="1"/>
        <rFont val="Calibri"/>
        <family val="2"/>
        <charset val="1"/>
        <scheme val="minor"/>
      </rPr>
      <t xml:space="preserve">) * </t>
    </r>
    <r>
      <rPr>
        <sz val="11"/>
        <color theme="1"/>
        <rFont val="Calibri"/>
        <family val="2"/>
      </rPr>
      <t>√(k</t>
    </r>
    <r>
      <rPr>
        <vertAlign val="subscript"/>
        <sz val="11"/>
        <color theme="1"/>
        <rFont val="Calibri"/>
        <family val="2"/>
      </rPr>
      <t>v</t>
    </r>
    <r>
      <rPr>
        <sz val="11"/>
        <color theme="1"/>
        <rFont val="Calibri"/>
        <family val="2"/>
      </rPr>
      <t xml:space="preserve"> * E / F</t>
    </r>
    <r>
      <rPr>
        <vertAlign val="subscript"/>
        <sz val="11"/>
        <color theme="1"/>
        <rFont val="Calibri"/>
        <family val="2"/>
      </rPr>
      <t>by</t>
    </r>
    <r>
      <rPr>
        <sz val="11"/>
        <color theme="1"/>
        <rFont val="Calibri"/>
        <family val="2"/>
      </rPr>
      <t>) =</t>
    </r>
  </si>
  <si>
    <t>Kekuatan geser nominal balok,</t>
  </si>
  <si>
    <r>
      <t>V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charset val="1"/>
        <scheme val="minor"/>
      </rPr>
      <t xml:space="preserve"> = φ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* V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charset val="1"/>
        <scheme val="minor"/>
      </rPr>
      <t xml:space="preserve"> =</t>
    </r>
  </si>
  <si>
    <t>Gaya geser perlu untuk sambungan sekuat profil,</t>
  </si>
  <si>
    <r>
      <t>M</t>
    </r>
    <r>
      <rPr>
        <vertAlign val="subscript"/>
        <sz val="11"/>
        <color theme="1"/>
        <rFont val="Calibri"/>
        <family val="2"/>
      </rPr>
      <t>u</t>
    </r>
    <r>
      <rPr>
        <sz val="11"/>
        <color theme="1"/>
        <rFont val="Calibri"/>
        <family val="2"/>
      </rPr>
      <t xml:space="preserve"> = ϕ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* M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 ϕ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* F</t>
    </r>
    <r>
      <rPr>
        <vertAlign val="subscript"/>
        <sz val="11"/>
        <color theme="1"/>
        <rFont val="Calibri"/>
        <family val="2"/>
      </rPr>
      <t>by</t>
    </r>
    <r>
      <rPr>
        <sz val="11"/>
        <color theme="1"/>
        <rFont val="Calibri"/>
        <family val="2"/>
      </rPr>
      <t xml:space="preserve"> * Z</t>
    </r>
    <r>
      <rPr>
        <vertAlign val="subscript"/>
        <sz val="11"/>
        <color theme="1"/>
        <rFont val="Calibri"/>
        <family val="2"/>
      </rPr>
      <t>x</t>
    </r>
    <r>
      <rPr>
        <sz val="11"/>
        <color theme="1"/>
        <rFont val="Calibri"/>
        <family val="2"/>
      </rPr>
      <t xml:space="preserve"> =</t>
    </r>
  </si>
  <si>
    <r>
      <t>R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charset val="1"/>
        <scheme val="minor"/>
      </rPr>
      <t xml:space="preserve"> = 2 * </t>
    </r>
    <r>
      <rPr>
        <sz val="11"/>
        <color theme="1"/>
        <rFont val="Calibri"/>
        <family val="2"/>
      </rPr>
      <t>Σ</t>
    </r>
    <r>
      <rPr>
        <sz val="11"/>
        <color theme="1"/>
        <rFont val="Calibri"/>
        <family val="2"/>
        <charset val="1"/>
      </rPr>
      <t>R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  <charset val="1"/>
      </rPr>
      <t xml:space="preserve"> =</t>
    </r>
  </si>
  <si>
    <t>Luas penampang baut,</t>
  </si>
  <si>
    <r>
      <t>A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= 1/4 * π * d</t>
    </r>
    <r>
      <rPr>
        <vertAlign val="subscript"/>
        <sz val="11"/>
        <color theme="1"/>
        <rFont val="Calibri"/>
        <family val="2"/>
      </rPr>
      <t>b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</si>
  <si>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t>Momen perlu dan geser perlu untuk perencanaan sambungan sekuat profil</t>
  </si>
  <si>
    <r>
      <t xml:space="preserve">Analisa rencana dimensi dan konfigurasi sambungan </t>
    </r>
    <r>
      <rPr>
        <b/>
        <i/>
        <sz val="11"/>
        <color theme="1"/>
        <rFont val="Calibri"/>
        <family val="2"/>
        <scheme val="minor"/>
      </rPr>
      <t>end-plate</t>
    </r>
  </si>
  <si>
    <r>
      <t>V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charset val="1"/>
        <scheme val="minor"/>
      </rPr>
      <t xml:space="preserve"> = 0,6 * F</t>
    </r>
    <r>
      <rPr>
        <vertAlign val="subscript"/>
        <sz val="11"/>
        <color theme="1"/>
        <rFont val="Calibri"/>
        <family val="2"/>
        <scheme val="minor"/>
      </rPr>
      <t>by</t>
    </r>
    <r>
      <rPr>
        <sz val="11"/>
        <color theme="1"/>
        <rFont val="Calibri"/>
        <family val="2"/>
        <charset val="1"/>
        <scheme val="minor"/>
      </rPr>
      <t xml:space="preserve"> * A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charset val="1"/>
        <scheme val="minor"/>
      </rPr>
      <t xml:space="preserve"> * C</t>
    </r>
    <r>
      <rPr>
        <vertAlign val="subscript"/>
        <sz val="11"/>
        <color theme="1"/>
        <rFont val="Calibri"/>
        <family val="2"/>
        <scheme val="minor"/>
      </rPr>
      <t>v1</t>
    </r>
    <r>
      <rPr>
        <sz val="11"/>
        <color theme="1"/>
        <rFont val="Calibri"/>
        <family val="2"/>
        <charset val="1"/>
        <scheme val="minor"/>
      </rPr>
      <t xml:space="preserve"> =</t>
    </r>
  </si>
  <si>
    <t>Balok tersambung pada sumbu kolom,</t>
  </si>
  <si>
    <t>KOLOM SUMBU KUAT</t>
  </si>
  <si>
    <t>Kuat Tumpu Baut terhadap Geser</t>
  </si>
  <si>
    <t>Jarak dari as baut ke tepi pelat,</t>
  </si>
  <si>
    <t>Jarak vertikal antar baut diukur dari as ke as,</t>
  </si>
  <si>
    <t>Jarak vertikal antar baut diukur dari as ke as baut pada extended pelat,</t>
  </si>
  <si>
    <t>Jarak horizontal antar baut diukur dari as ke as,</t>
  </si>
  <si>
    <t>Jarak baut baris 1 ke resultan gaya tekan,</t>
  </si>
  <si>
    <t>Jarak baut baris 2 ke resultan gaya tekan,</t>
  </si>
  <si>
    <t>Jarak baut baris 3 ke resultan gaya tekan,</t>
  </si>
  <si>
    <t>Jarak horizontal dari as baut ke tepi pelat,</t>
  </si>
  <si>
    <t>Jarak dari as baut ke permukaan badan profil balok,</t>
  </si>
  <si>
    <t>Jarak baut baris 4 ke resultan gaya tekan,</t>
  </si>
  <si>
    <t>Lebar tributari analogi profil tee baut baris pertama,</t>
  </si>
  <si>
    <t>Rasio untuk parameter potongan pelat,</t>
  </si>
  <si>
    <t>Lebar tributari analogi profil tee baut baris ketiga,</t>
  </si>
  <si>
    <t>Lebar tributari analogi profil tee baut baris kedua,</t>
  </si>
  <si>
    <t>Lebar tributari analogi profil tee baut baris keempat,</t>
  </si>
  <si>
    <t>Tegangan putus pelat,</t>
  </si>
  <si>
    <r>
      <t>h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charset val="1"/>
        <scheme val="minor"/>
      </rPr>
      <t xml:space="preserve"> = 3 * p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+ p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charset val="1"/>
        <scheme val="minor"/>
      </rPr>
      <t xml:space="preserve"> + p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</si>
  <si>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= 2 * p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+ p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charset val="1"/>
        <scheme val="minor"/>
      </rPr>
      <t xml:space="preserve"> + p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</si>
  <si>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charset val="1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+ p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charset val="1"/>
        <scheme val="minor"/>
      </rPr>
      <t xml:space="preserve"> + p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</si>
  <si>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charset val="1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charset val="1"/>
        <scheme val="minor"/>
      </rPr>
      <t xml:space="preserve"> + p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</si>
  <si>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V</t>
    </r>
    <r>
      <rPr>
        <i/>
        <vertAlign val="subscript"/>
        <sz val="11"/>
        <color theme="1"/>
        <rFont val="Calibri"/>
        <family val="2"/>
        <scheme val="minor"/>
      </rPr>
      <t>u</t>
    </r>
  </si>
  <si>
    <r>
      <t>ϕR</t>
    </r>
    <r>
      <rPr>
        <i/>
        <vertAlign val="subscript"/>
        <sz val="11"/>
        <color theme="1"/>
        <rFont val="Calibri"/>
        <family val="2"/>
      </rPr>
      <t>n</t>
    </r>
  </si>
  <si>
    <t>Desain dan Analisa Sambungan Balok Kolom Struktur Baja Sambungan Tipe Lokal End Plate 8 Baut Tarik</t>
  </si>
  <si>
    <t>info@inpetra.com</t>
  </si>
  <si>
    <t>1.0.0</t>
  </si>
  <si>
    <t>Desain Sambungan Balok Kolom Struktur Baja Sambungan Tipe Lokal End Plate</t>
  </si>
  <si>
    <t>April 2024</t>
  </si>
  <si>
    <r>
      <t>R</t>
    </r>
    <r>
      <rPr>
        <vertAlign val="subscript"/>
        <sz val="10"/>
        <color theme="1"/>
        <rFont val="Calibri"/>
        <family val="2"/>
        <scheme val="minor"/>
      </rPr>
      <t>n</t>
    </r>
    <r>
      <rPr>
        <sz val="10"/>
        <color theme="1"/>
        <rFont val="Calibri"/>
        <family val="2"/>
        <scheme val="minor"/>
      </rPr>
      <t xml:space="preserve"> = 2 * </t>
    </r>
    <r>
      <rPr>
        <sz val="10"/>
        <color theme="1"/>
        <rFont val="Calibri"/>
        <family val="2"/>
      </rPr>
      <t>ΣR</t>
    </r>
    <r>
      <rPr>
        <vertAlign val="subscript"/>
        <sz val="10"/>
        <color theme="1"/>
        <rFont val="Calibri"/>
        <family val="2"/>
      </rPr>
      <t>n</t>
    </r>
    <r>
      <rPr>
        <sz val="10"/>
        <color theme="1"/>
        <rFont val="Calibri"/>
        <family val="2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</si>
</sst>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.E+00"/>
  </numFmts>
  <fonts count="4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1"/>
    </font>
    <font>
      <vertAlign val="superscript"/>
      <sz val="11"/>
      <color theme="1"/>
      <name val="Calibri"/>
      <family val="2"/>
    </font>
    <font>
      <i/>
      <sz val="11"/>
      <color theme="1"/>
      <name val="Calibri"/>
      <family val="2"/>
    </font>
    <font>
      <sz val="10"/>
      <name val="Arial"/>
      <family val="2"/>
    </font>
    <font>
      <b/>
      <sz val="12"/>
      <color theme="0"/>
      <name val="Calibri Light"/>
      <family val="2"/>
      <scheme val="major"/>
    </font>
    <font>
      <b/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charset val="1"/>
      <scheme val="minor"/>
    </font>
    <font>
      <u/>
      <sz val="12"/>
      <color theme="0"/>
      <name val="Calibri"/>
      <family val="2"/>
      <charset val="1"/>
      <scheme val="minor"/>
    </font>
    <font>
      <sz val="12"/>
      <color theme="0"/>
      <name val="Calibri Light"/>
      <family val="2"/>
      <scheme val="major"/>
    </font>
    <font>
      <b/>
      <sz val="11"/>
      <name val="Calibri"/>
      <family val="2"/>
      <scheme val="minor"/>
    </font>
    <font>
      <sz val="8"/>
      <name val="Calibri"/>
      <family val="2"/>
      <charset val="1"/>
      <scheme val="minor"/>
    </font>
    <font>
      <b/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vertAlign val="subscript"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/>
      <diagonal/>
    </border>
  </borders>
  <cellStyleXfs count="3">
    <xf numFmtId="0" fontId="0" fillId="0" borderId="0"/>
    <xf numFmtId="0" fontId="20" fillId="0" borderId="0"/>
    <xf numFmtId="0" fontId="23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indent="2"/>
    </xf>
    <xf numFmtId="164" fontId="0" fillId="0" borderId="1" xfId="0" applyNumberForma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164" fontId="0" fillId="0" borderId="0" xfId="0" applyNumberFormat="1" applyAlignment="1">
      <alignment horizontal="center" vertical="center"/>
    </xf>
    <xf numFmtId="0" fontId="21" fillId="4" borderId="0" xfId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 inden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9" fillId="0" borderId="0" xfId="0" applyFont="1" applyAlignment="1">
      <alignment vertical="center"/>
    </xf>
    <xf numFmtId="2" fontId="0" fillId="7" borderId="1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5" fillId="8" borderId="0" xfId="0" applyFont="1" applyFill="1" applyAlignment="1">
      <alignment vertical="center"/>
    </xf>
    <xf numFmtId="0" fontId="26" fillId="8" borderId="0" xfId="0" applyFont="1" applyFill="1" applyAlignment="1">
      <alignment horizontal="center" vertical="center"/>
    </xf>
    <xf numFmtId="0" fontId="26" fillId="8" borderId="0" xfId="0" applyFont="1" applyFill="1" applyAlignment="1">
      <alignment vertical="center"/>
    </xf>
    <xf numFmtId="0" fontId="26" fillId="8" borderId="0" xfId="0" quotePrefix="1" applyFont="1" applyFill="1" applyAlignment="1">
      <alignment vertical="center"/>
    </xf>
    <xf numFmtId="0" fontId="27" fillId="8" borderId="0" xfId="2" quotePrefix="1" applyFont="1" applyFill="1" applyAlignment="1">
      <alignment vertical="center"/>
    </xf>
    <xf numFmtId="0" fontId="21" fillId="8" borderId="0" xfId="0" applyFont="1" applyFill="1" applyAlignment="1">
      <alignment vertical="center"/>
    </xf>
    <xf numFmtId="0" fontId="28" fillId="8" borderId="0" xfId="0" applyFont="1" applyFill="1" applyAlignment="1">
      <alignment vertical="center"/>
    </xf>
    <xf numFmtId="0" fontId="21" fillId="8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0" fillId="9" borderId="0" xfId="0" applyFill="1" applyAlignment="1">
      <alignment horizontal="right" vertical="center"/>
    </xf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horizontal="left" vertical="center" indent="1"/>
    </xf>
    <xf numFmtId="0" fontId="8" fillId="0" borderId="0" xfId="0" applyFont="1" applyAlignment="1">
      <alignment horizontal="right" vertical="center"/>
    </xf>
    <xf numFmtId="164" fontId="0" fillId="0" borderId="9" xfId="0" applyNumberForma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5" borderId="0" xfId="0" applyFon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/>
    </xf>
    <xf numFmtId="0" fontId="9" fillId="6" borderId="9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2" fontId="0" fillId="0" borderId="9" xfId="0" applyNumberFormat="1" applyBorder="1" applyAlignment="1">
      <alignment horizontal="center" vertical="center"/>
    </xf>
    <xf numFmtId="0" fontId="0" fillId="7" borderId="9" xfId="0" applyFill="1" applyBorder="1" applyAlignment="1">
      <alignment horizontal="left" vertical="center" indent="2"/>
    </xf>
    <xf numFmtId="0" fontId="0" fillId="0" borderId="10" xfId="0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0" fontId="8" fillId="0" borderId="9" xfId="0" applyFont="1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/>
    </xf>
    <xf numFmtId="0" fontId="0" fillId="0" borderId="1" xfId="0" quotePrefix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9" fillId="9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2" fontId="32" fillId="3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6" fillId="0" borderId="9" xfId="0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>
      <alignment horizontal="center" vertical="center"/>
    </xf>
    <xf numFmtId="0" fontId="37" fillId="3" borderId="9" xfId="0" applyFont="1" applyFill="1" applyBorder="1" applyAlignment="1" applyProtection="1">
      <alignment horizontal="center" vertical="center"/>
      <protection locked="0"/>
    </xf>
    <xf numFmtId="2" fontId="0" fillId="0" borderId="12" xfId="0" applyNumberFormat="1" applyBorder="1" applyAlignment="1">
      <alignment horizontal="center" vertical="center"/>
    </xf>
    <xf numFmtId="0" fontId="38" fillId="0" borderId="1" xfId="0" quotePrefix="1" applyFont="1" applyBorder="1" applyAlignment="1">
      <alignment horizontal="right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20" fontId="0" fillId="0" borderId="6" xfId="0" quotePrefix="1" applyNumberFormat="1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23" fillId="0" borderId="6" xfId="2" applyBorder="1" applyAlignment="1">
      <alignment horizontal="left" vertical="center" inden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64C43393-9A7B-4ED3-9190-81B9EBB54A0A}"/>
  </cellStyles>
  <dxfs count="0"/>
  <tableStyles count="0" defaultTableStyle="TableStyleMedium2" defaultPivotStyle="PivotStyleLight16"/>
  <colors>
    <mruColors>
      <color rgb="FFFF66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petra.id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18</xdr:row>
      <xdr:rowOff>171450</xdr:rowOff>
    </xdr:from>
    <xdr:to>
      <xdr:col>5</xdr:col>
      <xdr:colOff>552450</xdr:colOff>
      <xdr:row>20</xdr:row>
      <xdr:rowOff>28575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0EB059-0201-4730-8C65-FCC6ECA59BB7}"/>
            </a:ext>
          </a:extLst>
        </xdr:cNvPr>
        <xdr:cNvSpPr/>
      </xdr:nvSpPr>
      <xdr:spPr>
        <a:xfrm>
          <a:off x="1724025" y="4114800"/>
          <a:ext cx="1638300" cy="3333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Web</a:t>
          </a:r>
          <a:r>
            <a:rPr lang="en-US" sz="1100" b="1" baseline="0"/>
            <a:t> : Inpetra.ID</a:t>
          </a:r>
          <a:endParaRPr lang="en-US" sz="1100" b="1"/>
        </a:p>
      </xdr:txBody>
    </xdr:sp>
    <xdr:clientData/>
  </xdr:twoCellAnchor>
  <xdr:twoCellAnchor editAs="oneCell">
    <xdr:from>
      <xdr:col>3</xdr:col>
      <xdr:colOff>219075</xdr:colOff>
      <xdr:row>11</xdr:row>
      <xdr:rowOff>142875</xdr:rowOff>
    </xdr:from>
    <xdr:to>
      <xdr:col>5</xdr:col>
      <xdr:colOff>485775</xdr:colOff>
      <xdr:row>18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1963DC-EDD3-416C-824F-22E8B9C10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457450"/>
          <a:ext cx="1485900" cy="1485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18</xdr:row>
      <xdr:rowOff>66261</xdr:rowOff>
    </xdr:from>
    <xdr:to>
      <xdr:col>7</xdr:col>
      <xdr:colOff>424010</xdr:colOff>
      <xdr:row>32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8758EF-20C1-C58B-0688-7431995F4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4352511"/>
          <a:ext cx="5310335" cy="32674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0</xdr:colOff>
      <xdr:row>3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1DB7D8E-8D65-4FE0-B1CA-E9F3DBBFDC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0"/>
          <a:ext cx="1800225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36</xdr:row>
      <xdr:rowOff>113886</xdr:rowOff>
    </xdr:from>
    <xdr:to>
      <xdr:col>8</xdr:col>
      <xdr:colOff>185885</xdr:colOff>
      <xdr:row>50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736A96-792B-401D-8A41-A90A10740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9162636"/>
          <a:ext cx="5310335" cy="32674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drakrajsuwed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drakrajsuwe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5ED1-4928-4B2B-BC66-1DF27F4806C0}">
  <sheetPr>
    <tabColor theme="8"/>
  </sheetPr>
  <dimension ref="B2:J24"/>
  <sheetViews>
    <sheetView tabSelected="1" workbookViewId="0"/>
  </sheetViews>
  <sheetFormatPr defaultColWidth="9.140625" defaultRowHeight="18.75" customHeight="1" x14ac:dyDescent="0.25"/>
  <cols>
    <col min="1" max="1" width="4.28515625" style="31" customWidth="1"/>
    <col min="2" max="2" width="16.7109375" style="31" customWidth="1"/>
    <col min="3" max="3" width="2.85546875" style="30" customWidth="1"/>
    <col min="4" max="16384" width="9.140625" style="31"/>
  </cols>
  <sheetData>
    <row r="2" spans="2:10" ht="15.75" x14ac:dyDescent="0.25">
      <c r="B2" s="29" t="s">
        <v>70</v>
      </c>
      <c r="C2" s="30" t="s">
        <v>71</v>
      </c>
      <c r="D2" s="31" t="s">
        <v>323</v>
      </c>
    </row>
    <row r="3" spans="2:10" ht="15.75" x14ac:dyDescent="0.25">
      <c r="B3" s="29" t="s">
        <v>72</v>
      </c>
      <c r="C3" s="30" t="s">
        <v>71</v>
      </c>
    </row>
    <row r="4" spans="2:10" ht="15.75" x14ac:dyDescent="0.25">
      <c r="B4" s="29" t="s">
        <v>73</v>
      </c>
      <c r="C4" s="30" t="s">
        <v>71</v>
      </c>
      <c r="D4" s="32" t="s">
        <v>324</v>
      </c>
    </row>
    <row r="5" spans="2:10" ht="15.75" x14ac:dyDescent="0.25">
      <c r="B5" s="29"/>
    </row>
    <row r="6" spans="2:10" ht="15.75" x14ac:dyDescent="0.25">
      <c r="B6" s="29" t="s">
        <v>74</v>
      </c>
      <c r="C6" s="30" t="s">
        <v>71</v>
      </c>
      <c r="D6" s="31" t="s">
        <v>84</v>
      </c>
    </row>
    <row r="7" spans="2:10" ht="15.75" x14ac:dyDescent="0.25">
      <c r="B7" s="29" t="s">
        <v>75</v>
      </c>
      <c r="C7" s="30" t="s">
        <v>71</v>
      </c>
      <c r="D7" s="33" t="s">
        <v>79</v>
      </c>
    </row>
    <row r="8" spans="2:10" ht="15.75" x14ac:dyDescent="0.25">
      <c r="C8" s="31"/>
      <c r="J8" s="34"/>
    </row>
    <row r="10" spans="2:10" ht="15.75" x14ac:dyDescent="0.25">
      <c r="B10" s="35" t="s">
        <v>76</v>
      </c>
      <c r="C10" s="36"/>
      <c r="D10" s="36"/>
      <c r="E10" s="36"/>
      <c r="F10" s="36"/>
      <c r="G10" s="36"/>
      <c r="H10" s="36"/>
      <c r="I10" s="36"/>
    </row>
    <row r="12" spans="2:10" ht="15.75" x14ac:dyDescent="0.25"/>
    <row r="23" spans="2:2" ht="15.75" x14ac:dyDescent="0.25">
      <c r="B23" s="31" t="s">
        <v>77</v>
      </c>
    </row>
    <row r="24" spans="2:2" ht="15.75" x14ac:dyDescent="0.25">
      <c r="B24" s="31" t="s">
        <v>78</v>
      </c>
    </row>
  </sheetData>
  <hyperlinks>
    <hyperlink ref="D7" r:id="rId1" display="indrakrajsuweda@gmail.com" xr:uid="{CE2C82F7-1E6A-4919-A850-73018C97EA6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9F15-47A5-425A-B15E-81A9DEFDCCA4}">
  <sheetPr>
    <tabColor theme="5"/>
  </sheetPr>
  <dimension ref="A1:I57"/>
  <sheetViews>
    <sheetView showGridLines="0" zoomScaleNormal="100" workbookViewId="0"/>
  </sheetViews>
  <sheetFormatPr defaultColWidth="8.85546875" defaultRowHeight="18.75" customHeight="1" x14ac:dyDescent="0.25"/>
  <cols>
    <col min="1" max="1" width="6.7109375" style="17" customWidth="1"/>
    <col min="2" max="6" width="13.5703125" style="1" customWidth="1"/>
    <col min="7" max="7" width="13.5703125" style="4" customWidth="1"/>
    <col min="8" max="8" width="13.5703125" style="3" customWidth="1"/>
    <col min="9" max="9" width="13.5703125" style="5" customWidth="1"/>
    <col min="10" max="16384" width="8.85546875" style="1"/>
  </cols>
  <sheetData>
    <row r="1" spans="1:9" ht="18.75" customHeight="1" x14ac:dyDescent="0.25">
      <c r="A1" s="16" t="s">
        <v>52</v>
      </c>
      <c r="B1" s="88" t="s">
        <v>53</v>
      </c>
      <c r="C1" s="88"/>
      <c r="D1" s="88"/>
      <c r="E1" s="88"/>
      <c r="F1" s="88"/>
      <c r="G1" s="16" t="s">
        <v>54</v>
      </c>
      <c r="H1" s="16" t="s">
        <v>55</v>
      </c>
      <c r="I1" s="16" t="s">
        <v>56</v>
      </c>
    </row>
    <row r="2" spans="1:9" ht="18.75" customHeight="1" x14ac:dyDescent="0.25">
      <c r="A2" s="73" t="s">
        <v>39</v>
      </c>
      <c r="B2" s="39" t="s">
        <v>57</v>
      </c>
      <c r="C2" s="39"/>
      <c r="D2" s="39"/>
      <c r="E2" s="39"/>
      <c r="F2" s="39"/>
      <c r="G2" s="39"/>
      <c r="H2" s="39"/>
      <c r="I2" s="39"/>
    </row>
    <row r="3" spans="1:9" ht="18.75" customHeight="1" x14ac:dyDescent="0.25">
      <c r="A3" s="18" t="s">
        <v>58</v>
      </c>
      <c r="B3" s="19" t="s">
        <v>0</v>
      </c>
      <c r="C3" s="20"/>
      <c r="D3" s="20"/>
      <c r="E3" s="20"/>
      <c r="F3" s="20"/>
      <c r="G3" s="21"/>
      <c r="H3" s="22"/>
      <c r="I3" s="23"/>
    </row>
    <row r="4" spans="1:9" ht="18.75" customHeight="1" x14ac:dyDescent="0.25">
      <c r="B4" s="1" t="s">
        <v>36</v>
      </c>
      <c r="H4" s="75" t="s">
        <v>8</v>
      </c>
    </row>
    <row r="5" spans="1:9" ht="18.75" customHeight="1" x14ac:dyDescent="0.25">
      <c r="B5" s="6" t="s">
        <v>1</v>
      </c>
      <c r="G5" s="4" t="s">
        <v>116</v>
      </c>
      <c r="H5" s="75">
        <v>240</v>
      </c>
      <c r="I5" s="5" t="s">
        <v>9</v>
      </c>
    </row>
    <row r="6" spans="1:9" ht="18.75" customHeight="1" x14ac:dyDescent="0.25">
      <c r="B6" s="6" t="s">
        <v>2</v>
      </c>
      <c r="G6" s="4" t="s">
        <v>117</v>
      </c>
      <c r="H6" s="75">
        <v>370</v>
      </c>
      <c r="I6" s="5" t="s">
        <v>9</v>
      </c>
    </row>
    <row r="7" spans="1:9" ht="18.75" customHeight="1" x14ac:dyDescent="0.25">
      <c r="B7" s="1" t="s">
        <v>37</v>
      </c>
      <c r="H7" s="75" t="s">
        <v>8</v>
      </c>
    </row>
    <row r="8" spans="1:9" ht="18.75" customHeight="1" x14ac:dyDescent="0.25">
      <c r="B8" s="6" t="s">
        <v>1</v>
      </c>
      <c r="G8" s="4" t="s">
        <v>264</v>
      </c>
      <c r="H8" s="75">
        <v>240</v>
      </c>
      <c r="I8" s="5" t="s">
        <v>9</v>
      </c>
    </row>
    <row r="9" spans="1:9" ht="18.75" customHeight="1" x14ac:dyDescent="0.25">
      <c r="B9" s="6" t="s">
        <v>2</v>
      </c>
      <c r="G9" s="4" t="s">
        <v>265</v>
      </c>
      <c r="H9" s="75">
        <v>370</v>
      </c>
      <c r="I9" s="5" t="s">
        <v>9</v>
      </c>
    </row>
    <row r="10" spans="1:9" ht="18.75" customHeight="1" x14ac:dyDescent="0.25">
      <c r="B10" s="1" t="s">
        <v>85</v>
      </c>
      <c r="H10" s="75" t="s">
        <v>8</v>
      </c>
    </row>
    <row r="11" spans="1:9" ht="18.75" customHeight="1" x14ac:dyDescent="0.25">
      <c r="B11" s="6" t="s">
        <v>86</v>
      </c>
      <c r="G11" s="4" t="s">
        <v>114</v>
      </c>
      <c r="H11" s="75">
        <v>250</v>
      </c>
      <c r="I11" s="5" t="s">
        <v>9</v>
      </c>
    </row>
    <row r="12" spans="1:9" ht="18.75" customHeight="1" x14ac:dyDescent="0.25">
      <c r="B12" s="6" t="s">
        <v>87</v>
      </c>
      <c r="G12" s="4" t="s">
        <v>115</v>
      </c>
      <c r="H12" s="75">
        <v>370</v>
      </c>
      <c r="I12" s="5" t="s">
        <v>9</v>
      </c>
    </row>
    <row r="13" spans="1:9" ht="18.75" customHeight="1" x14ac:dyDescent="0.25">
      <c r="B13" s="2" t="s">
        <v>32</v>
      </c>
      <c r="G13" s="4" t="s">
        <v>33</v>
      </c>
      <c r="H13" s="75">
        <v>200000</v>
      </c>
      <c r="I13" s="5" t="s">
        <v>9</v>
      </c>
    </row>
    <row r="14" spans="1:9" ht="18.75" customHeight="1" x14ac:dyDescent="0.25">
      <c r="B14" s="1" t="s">
        <v>80</v>
      </c>
      <c r="H14" s="75" t="s">
        <v>81</v>
      </c>
    </row>
    <row r="15" spans="1:9" ht="18.75" customHeight="1" x14ac:dyDescent="0.25">
      <c r="B15" s="6" t="s">
        <v>120</v>
      </c>
      <c r="G15" s="4" t="s">
        <v>82</v>
      </c>
      <c r="H15" s="75">
        <v>620</v>
      </c>
      <c r="I15" s="5" t="s">
        <v>9</v>
      </c>
    </row>
    <row r="16" spans="1:9" ht="18.75" customHeight="1" x14ac:dyDescent="0.25">
      <c r="B16" s="6" t="s">
        <v>30</v>
      </c>
      <c r="G16" s="4" t="s">
        <v>83</v>
      </c>
      <c r="H16" s="75">
        <v>372</v>
      </c>
      <c r="I16" s="5" t="s">
        <v>9</v>
      </c>
    </row>
    <row r="18" spans="1:9" ht="18.75" customHeight="1" x14ac:dyDescent="0.25">
      <c r="A18" s="18" t="s">
        <v>59</v>
      </c>
      <c r="B18" s="19" t="s">
        <v>6</v>
      </c>
      <c r="C18" s="20"/>
      <c r="D18" s="20"/>
      <c r="E18" s="20"/>
      <c r="F18" s="20"/>
      <c r="G18" s="21"/>
      <c r="H18" s="22"/>
      <c r="I18" s="23"/>
    </row>
    <row r="19" spans="1:9" s="14" customFormat="1" ht="18.75" customHeight="1" x14ac:dyDescent="0.25">
      <c r="A19" s="24"/>
      <c r="G19" s="13"/>
      <c r="H19" s="24"/>
      <c r="I19" s="25"/>
    </row>
    <row r="20" spans="1:9" s="14" customFormat="1" ht="18.75" customHeight="1" x14ac:dyDescent="0.25">
      <c r="A20" s="24"/>
      <c r="G20" s="13"/>
      <c r="H20" s="24"/>
      <c r="I20" s="25"/>
    </row>
    <row r="21" spans="1:9" s="14" customFormat="1" ht="18.75" customHeight="1" x14ac:dyDescent="0.25">
      <c r="A21" s="24"/>
      <c r="G21" s="13"/>
      <c r="H21" s="24"/>
      <c r="I21" s="25"/>
    </row>
    <row r="22" spans="1:9" s="14" customFormat="1" ht="18.75" customHeight="1" x14ac:dyDescent="0.25">
      <c r="A22" s="24"/>
      <c r="G22" s="13"/>
      <c r="H22" s="24"/>
      <c r="I22" s="25"/>
    </row>
    <row r="23" spans="1:9" s="14" customFormat="1" ht="18.75" customHeight="1" x14ac:dyDescent="0.25">
      <c r="A23" s="24"/>
      <c r="G23" s="13"/>
      <c r="H23" s="24"/>
      <c r="I23" s="25"/>
    </row>
    <row r="24" spans="1:9" s="14" customFormat="1" ht="18.75" customHeight="1" x14ac:dyDescent="0.25">
      <c r="A24" s="24"/>
      <c r="G24" s="13"/>
      <c r="H24" s="24"/>
      <c r="I24" s="25"/>
    </row>
    <row r="25" spans="1:9" s="14" customFormat="1" ht="18.75" customHeight="1" x14ac:dyDescent="0.25">
      <c r="A25" s="24"/>
      <c r="G25" s="13"/>
      <c r="H25" s="24"/>
      <c r="I25" s="25"/>
    </row>
    <row r="26" spans="1:9" s="14" customFormat="1" ht="18.75" customHeight="1" x14ac:dyDescent="0.25">
      <c r="A26" s="24"/>
      <c r="G26" s="13"/>
      <c r="H26" s="24"/>
      <c r="I26" s="25"/>
    </row>
    <row r="27" spans="1:9" s="14" customFormat="1" ht="18.75" customHeight="1" x14ac:dyDescent="0.25">
      <c r="A27" s="24"/>
      <c r="G27" s="13"/>
      <c r="H27" s="24"/>
      <c r="I27" s="25"/>
    </row>
    <row r="28" spans="1:9" s="14" customFormat="1" ht="18.75" customHeight="1" x14ac:dyDescent="0.25">
      <c r="A28" s="24"/>
    </row>
    <row r="29" spans="1:9" s="14" customFormat="1" ht="18.75" customHeight="1" x14ac:dyDescent="0.25">
      <c r="A29" s="24"/>
      <c r="G29" s="74"/>
    </row>
    <row r="30" spans="1:9" s="14" customFormat="1" ht="18.75" customHeight="1" x14ac:dyDescent="0.25">
      <c r="A30" s="24"/>
    </row>
    <row r="31" spans="1:9" s="14" customFormat="1" ht="18.75" customHeight="1" x14ac:dyDescent="0.25">
      <c r="A31" s="24"/>
    </row>
    <row r="32" spans="1:9" s="14" customFormat="1" ht="18.75" customHeight="1" x14ac:dyDescent="0.25">
      <c r="A32" s="24"/>
    </row>
    <row r="33" spans="1:9" s="14" customFormat="1" ht="18.75" customHeight="1" x14ac:dyDescent="0.25">
      <c r="A33" s="24"/>
    </row>
    <row r="34" spans="1:9" s="14" customFormat="1" ht="18.75" customHeight="1" x14ac:dyDescent="0.25">
      <c r="A34" s="24"/>
      <c r="B34" s="72" t="s">
        <v>295</v>
      </c>
      <c r="G34" s="89" t="s">
        <v>296</v>
      </c>
      <c r="H34" s="90"/>
      <c r="I34" s="25"/>
    </row>
    <row r="35" spans="1:9" s="14" customFormat="1" ht="18.75" customHeight="1" x14ac:dyDescent="0.25">
      <c r="A35" s="24"/>
      <c r="B35" s="57" t="s">
        <v>150</v>
      </c>
      <c r="G35" s="13"/>
      <c r="H35" s="24"/>
      <c r="I35" s="25"/>
    </row>
    <row r="36" spans="1:9" s="14" customFormat="1" ht="18.75" customHeight="1" x14ac:dyDescent="0.25">
      <c r="A36" s="24"/>
      <c r="B36" s="1" t="s">
        <v>298</v>
      </c>
      <c r="G36" s="4" t="s">
        <v>96</v>
      </c>
      <c r="H36" s="76">
        <v>50</v>
      </c>
      <c r="I36" s="5" t="s">
        <v>5</v>
      </c>
    </row>
    <row r="37" spans="1:9" s="14" customFormat="1" ht="18.75" customHeight="1" x14ac:dyDescent="0.25">
      <c r="A37" s="24"/>
      <c r="B37" s="72" t="s">
        <v>299</v>
      </c>
      <c r="G37" s="4" t="s">
        <v>97</v>
      </c>
      <c r="H37" s="76">
        <v>75</v>
      </c>
      <c r="I37" s="5" t="s">
        <v>5</v>
      </c>
    </row>
    <row r="38" spans="1:9" s="14" customFormat="1" ht="18.75" customHeight="1" x14ac:dyDescent="0.25">
      <c r="A38" s="24"/>
      <c r="B38" s="72" t="s">
        <v>300</v>
      </c>
      <c r="G38" s="4" t="s">
        <v>255</v>
      </c>
      <c r="H38" s="76">
        <v>175</v>
      </c>
      <c r="I38" s="5" t="s">
        <v>5</v>
      </c>
    </row>
    <row r="39" spans="1:9" s="14" customFormat="1" ht="18.75" customHeight="1" x14ac:dyDescent="0.25">
      <c r="A39" s="24"/>
      <c r="B39" s="72" t="s">
        <v>15</v>
      </c>
      <c r="G39" s="4" t="s">
        <v>50</v>
      </c>
      <c r="H39" s="76">
        <v>200</v>
      </c>
      <c r="I39" s="5" t="s">
        <v>5</v>
      </c>
    </row>
    <row r="40" spans="1:9" s="14" customFormat="1" ht="18.75" customHeight="1" x14ac:dyDescent="0.25">
      <c r="A40" s="24"/>
      <c r="B40" s="72" t="s">
        <v>301</v>
      </c>
      <c r="G40" s="4" t="s">
        <v>18</v>
      </c>
      <c r="H40" s="76">
        <v>95</v>
      </c>
      <c r="I40" s="5" t="s">
        <v>5</v>
      </c>
    </row>
    <row r="42" spans="1:9" ht="18.75" customHeight="1" x14ac:dyDescent="0.25">
      <c r="B42" s="1" t="s">
        <v>146</v>
      </c>
      <c r="F42" s="1" t="s">
        <v>3</v>
      </c>
      <c r="G42" s="86" t="str">
        <f>H43&amp;" x "&amp;H44&amp;" x "&amp;H45&amp;" x "&amp;H46</f>
        <v>400 x 200 x 8 x 13</v>
      </c>
      <c r="H42" s="87"/>
    </row>
    <row r="43" spans="1:9" ht="18.75" customHeight="1" x14ac:dyDescent="0.25">
      <c r="G43" s="4" t="s">
        <v>41</v>
      </c>
      <c r="H43" s="75">
        <v>400</v>
      </c>
      <c r="I43" s="5" t="s">
        <v>5</v>
      </c>
    </row>
    <row r="44" spans="1:9" ht="18.75" customHeight="1" x14ac:dyDescent="0.25">
      <c r="G44" s="4" t="s">
        <v>42</v>
      </c>
      <c r="H44" s="75">
        <v>200</v>
      </c>
      <c r="I44" s="5" t="s">
        <v>5</v>
      </c>
    </row>
    <row r="45" spans="1:9" ht="18.75" customHeight="1" x14ac:dyDescent="0.25">
      <c r="G45" s="4" t="s">
        <v>43</v>
      </c>
      <c r="H45" s="83">
        <v>8</v>
      </c>
      <c r="I45" s="5" t="s">
        <v>5</v>
      </c>
    </row>
    <row r="46" spans="1:9" ht="18.75" customHeight="1" x14ac:dyDescent="0.25">
      <c r="G46" s="4" t="s">
        <v>44</v>
      </c>
      <c r="H46" s="83">
        <v>13</v>
      </c>
      <c r="I46" s="5" t="s">
        <v>5</v>
      </c>
    </row>
    <row r="47" spans="1:9" ht="18.75" customHeight="1" x14ac:dyDescent="0.25">
      <c r="G47" s="4" t="s">
        <v>4</v>
      </c>
      <c r="H47" s="83">
        <v>16</v>
      </c>
      <c r="I47" s="5" t="s">
        <v>5</v>
      </c>
    </row>
    <row r="48" spans="1:9" ht="18.75" customHeight="1" x14ac:dyDescent="0.25">
      <c r="H48" s="4"/>
    </row>
    <row r="49" spans="2:9" ht="18.75" customHeight="1" x14ac:dyDescent="0.25">
      <c r="B49" s="1" t="s">
        <v>253</v>
      </c>
      <c r="F49" s="1" t="s">
        <v>3</v>
      </c>
      <c r="G49" s="86" t="str">
        <f>H50&amp;" x "&amp;H51&amp;" x "&amp;H52&amp;" x "&amp;H53</f>
        <v>400 x 400 x 8 x 13</v>
      </c>
      <c r="H49" s="87"/>
    </row>
    <row r="50" spans="2:9" ht="18.75" customHeight="1" x14ac:dyDescent="0.25">
      <c r="G50" s="4" t="s">
        <v>45</v>
      </c>
      <c r="H50" s="75">
        <v>400</v>
      </c>
      <c r="I50" s="5" t="s">
        <v>5</v>
      </c>
    </row>
    <row r="51" spans="2:9" ht="18.75" customHeight="1" x14ac:dyDescent="0.25">
      <c r="G51" s="4" t="s">
        <v>46</v>
      </c>
      <c r="H51" s="75">
        <v>400</v>
      </c>
      <c r="I51" s="5" t="s">
        <v>5</v>
      </c>
    </row>
    <row r="52" spans="2:9" ht="18.75" customHeight="1" x14ac:dyDescent="0.25">
      <c r="G52" s="4" t="s">
        <v>47</v>
      </c>
      <c r="H52" s="83">
        <v>8</v>
      </c>
      <c r="I52" s="5" t="s">
        <v>5</v>
      </c>
    </row>
    <row r="53" spans="2:9" ht="18.75" customHeight="1" x14ac:dyDescent="0.25">
      <c r="G53" s="4" t="s">
        <v>48</v>
      </c>
      <c r="H53" s="83">
        <v>13</v>
      </c>
      <c r="I53" s="5" t="s">
        <v>5</v>
      </c>
    </row>
    <row r="54" spans="2:9" ht="18.75" customHeight="1" x14ac:dyDescent="0.25">
      <c r="G54" s="4" t="s">
        <v>4</v>
      </c>
      <c r="H54" s="83">
        <v>16</v>
      </c>
      <c r="I54" s="5" t="s">
        <v>5</v>
      </c>
    </row>
    <row r="55" spans="2:9" ht="18.75" customHeight="1" x14ac:dyDescent="0.25">
      <c r="B55" s="1" t="s">
        <v>7</v>
      </c>
    </row>
    <row r="56" spans="2:9" ht="18.75" customHeight="1" x14ac:dyDescent="0.25">
      <c r="B56" s="1" t="s">
        <v>11</v>
      </c>
      <c r="G56" s="4" t="s">
        <v>51</v>
      </c>
      <c r="H56" s="75">
        <v>19</v>
      </c>
      <c r="I56" s="5" t="s">
        <v>5</v>
      </c>
    </row>
    <row r="57" spans="2:9" ht="18.75" customHeight="1" x14ac:dyDescent="0.25">
      <c r="B57" s="1" t="s">
        <v>14</v>
      </c>
      <c r="G57" s="4" t="s">
        <v>49</v>
      </c>
      <c r="H57" s="75">
        <v>25</v>
      </c>
      <c r="I57" s="5" t="s">
        <v>5</v>
      </c>
    </row>
  </sheetData>
  <mergeCells count="4">
    <mergeCell ref="G42:H42"/>
    <mergeCell ref="B1:F1"/>
    <mergeCell ref="G49:H49"/>
    <mergeCell ref="G34:H34"/>
  </mergeCells>
  <dataValidations count="1">
    <dataValidation type="list" allowBlank="1" showInputMessage="1" showErrorMessage="1" sqref="G34:H34" xr:uid="{E25AB266-4CC1-4280-8982-B7613C363CD6}">
      <formula1>"KOLOM SUMBU KUAT,KOLOM SUMBU LEMAH"</formula1>
    </dataValidation>
  </dataValidations>
  <pageMargins left="0.7" right="0.7" top="0.75" bottom="0.75" header="0.3" footer="0.3"/>
  <pageSetup orientation="portrait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FA90-CF65-4917-BB7A-40674C4C7677}">
  <sheetPr>
    <tabColor theme="9"/>
  </sheetPr>
  <dimension ref="A1:K209"/>
  <sheetViews>
    <sheetView showGridLines="0" zoomScaleNormal="100" workbookViewId="0"/>
  </sheetViews>
  <sheetFormatPr defaultColWidth="8.85546875" defaultRowHeight="18.75" customHeight="1" x14ac:dyDescent="0.25"/>
  <cols>
    <col min="1" max="1" width="6.7109375" style="17" customWidth="1"/>
    <col min="2" max="6" width="12.85546875" style="1" customWidth="1"/>
    <col min="7" max="7" width="12.85546875" style="4" customWidth="1"/>
    <col min="8" max="8" width="12.85546875" style="3" customWidth="1"/>
    <col min="9" max="9" width="12.85546875" style="5" customWidth="1"/>
    <col min="10" max="16384" width="8.85546875" style="1"/>
  </cols>
  <sheetData>
    <row r="1" spans="1:11" ht="18.75" customHeight="1" x14ac:dyDescent="0.25">
      <c r="A1" s="16" t="s">
        <v>52</v>
      </c>
      <c r="B1" s="88" t="s">
        <v>53</v>
      </c>
      <c r="C1" s="88"/>
      <c r="D1" s="88"/>
      <c r="E1" s="88"/>
      <c r="F1" s="88"/>
      <c r="G1" s="16" t="s">
        <v>54</v>
      </c>
      <c r="H1" s="16" t="s">
        <v>55</v>
      </c>
      <c r="I1" s="16" t="s">
        <v>56</v>
      </c>
    </row>
    <row r="2" spans="1:11" ht="18.75" customHeight="1" x14ac:dyDescent="0.25">
      <c r="A2" s="38" t="s">
        <v>40</v>
      </c>
      <c r="B2" s="39" t="s">
        <v>148</v>
      </c>
      <c r="C2" s="40"/>
      <c r="D2" s="40"/>
      <c r="E2" s="40"/>
      <c r="F2" s="40"/>
      <c r="G2" s="41"/>
      <c r="H2" s="42"/>
      <c r="I2" s="43"/>
    </row>
    <row r="3" spans="1:11" ht="18.75" customHeight="1" x14ac:dyDescent="0.25">
      <c r="A3" s="49" t="s">
        <v>60</v>
      </c>
      <c r="B3" s="19" t="s">
        <v>145</v>
      </c>
      <c r="C3" s="20"/>
      <c r="D3" s="20"/>
      <c r="E3" s="20"/>
      <c r="F3" s="20"/>
      <c r="G3" s="21"/>
      <c r="H3" s="50"/>
      <c r="I3" s="23"/>
    </row>
    <row r="4" spans="1:11" ht="18.75" customHeight="1" x14ac:dyDescent="0.25">
      <c r="A4" s="7"/>
      <c r="B4" s="1" t="s">
        <v>147</v>
      </c>
    </row>
    <row r="5" spans="1:11" ht="18.75" customHeight="1" x14ac:dyDescent="0.25">
      <c r="A5" s="7"/>
      <c r="B5" s="6" t="s">
        <v>123</v>
      </c>
      <c r="G5" s="1"/>
      <c r="H5" s="4" t="s">
        <v>124</v>
      </c>
      <c r="K5" s="51"/>
    </row>
    <row r="6" spans="1:11" ht="18.75" customHeight="1" x14ac:dyDescent="0.25">
      <c r="A6" s="7"/>
      <c r="B6" s="6" t="s">
        <v>125</v>
      </c>
      <c r="H6" s="4" t="s">
        <v>126</v>
      </c>
    </row>
    <row r="7" spans="1:11" ht="18.75" customHeight="1" x14ac:dyDescent="0.25">
      <c r="A7" s="7"/>
      <c r="B7" s="1" t="s">
        <v>127</v>
      </c>
    </row>
    <row r="8" spans="1:11" ht="18.75" customHeight="1" x14ac:dyDescent="0.25">
      <c r="A8" s="7"/>
      <c r="B8" s="6" t="s">
        <v>123</v>
      </c>
      <c r="H8" s="4" t="s">
        <v>128</v>
      </c>
      <c r="K8" s="51"/>
    </row>
    <row r="9" spans="1:11" ht="18.75" customHeight="1" x14ac:dyDescent="0.25">
      <c r="A9" s="7"/>
      <c r="B9" s="6" t="s">
        <v>125</v>
      </c>
      <c r="H9" s="4" t="s">
        <v>129</v>
      </c>
    </row>
    <row r="10" spans="1:11" ht="18.75" customHeight="1" x14ac:dyDescent="0.25">
      <c r="A10" s="7"/>
      <c r="B10" s="1" t="s">
        <v>130</v>
      </c>
    </row>
    <row r="11" spans="1:11" ht="18.75" customHeight="1" x14ac:dyDescent="0.25">
      <c r="A11" s="7"/>
      <c r="B11" s="6" t="s">
        <v>123</v>
      </c>
      <c r="H11" s="4" t="s">
        <v>131</v>
      </c>
    </row>
    <row r="12" spans="1:11" ht="18.75" customHeight="1" x14ac:dyDescent="0.35">
      <c r="A12" s="7"/>
      <c r="B12" s="6" t="s">
        <v>125</v>
      </c>
      <c r="G12" s="1"/>
      <c r="H12" s="52" t="s">
        <v>132</v>
      </c>
    </row>
    <row r="13" spans="1:11" ht="18.75" customHeight="1" x14ac:dyDescent="0.25">
      <c r="A13" s="7"/>
    </row>
    <row r="14" spans="1:11" ht="18.75" customHeight="1" x14ac:dyDescent="0.25">
      <c r="A14" s="7"/>
      <c r="B14" s="91"/>
      <c r="C14" s="91" t="s">
        <v>133</v>
      </c>
      <c r="D14" s="91"/>
      <c r="E14" s="91" t="s">
        <v>134</v>
      </c>
      <c r="F14" s="91"/>
      <c r="G14" s="91" t="s">
        <v>135</v>
      </c>
      <c r="H14" s="91"/>
    </row>
    <row r="15" spans="1:11" ht="18.75" customHeight="1" x14ac:dyDescent="0.25">
      <c r="A15" s="7"/>
      <c r="B15" s="91"/>
      <c r="C15" s="53" t="s">
        <v>136</v>
      </c>
      <c r="D15" s="53" t="s">
        <v>137</v>
      </c>
      <c r="E15" s="53" t="s">
        <v>138</v>
      </c>
      <c r="F15" s="53" t="s">
        <v>139</v>
      </c>
      <c r="G15" s="53" t="s">
        <v>140</v>
      </c>
      <c r="H15" s="53" t="s">
        <v>141</v>
      </c>
      <c r="I15" s="1"/>
    </row>
    <row r="16" spans="1:11" ht="18.75" customHeight="1" x14ac:dyDescent="0.25">
      <c r="A16" s="7"/>
      <c r="B16" s="54" t="s">
        <v>142</v>
      </c>
      <c r="C16" s="55">
        <f>1/12*Input!H45*(Input!H43-2*Input!H46)^3+2*1/12*Input!H44*Input!H46^3+2*Input!H44*Input!H46*(0.5*Input!H43-0.5*Input!H46)^2</f>
        <v>229648682.66666666</v>
      </c>
      <c r="D16" s="55">
        <f>1/12*(Input!H43-2*Input!H46)*Input!H45^3+2*1/12*Input!H46*Input!H44^3</f>
        <v>17349290.666666664</v>
      </c>
      <c r="E16" s="55">
        <f>C16/(0.5*Input!H43)</f>
        <v>1148243.4133333333</v>
      </c>
      <c r="F16" s="55">
        <f>D16/(0.5*Input!H44)</f>
        <v>173492.90666666665</v>
      </c>
      <c r="G16" s="55">
        <f>Input!H44*Input!H46*(Input!H43-Input!H46)+Input!H45*(0.5*Input!H43-Input!H46)^2</f>
        <v>1285952</v>
      </c>
      <c r="H16" s="55">
        <f>0.5*Input!H46*Input!H44^2+0.25*(Input!H43-2*Input!H46)*Input!H45^2</f>
        <v>265984</v>
      </c>
    </row>
    <row r="17" spans="1:9" ht="18.75" customHeight="1" x14ac:dyDescent="0.25">
      <c r="A17" s="7"/>
      <c r="B17" s="54" t="s">
        <v>143</v>
      </c>
      <c r="C17" s="56" t="s">
        <v>144</v>
      </c>
      <c r="D17" s="56" t="s">
        <v>144</v>
      </c>
      <c r="E17" s="56" t="s">
        <v>19</v>
      </c>
      <c r="F17" s="56" t="s">
        <v>19</v>
      </c>
      <c r="G17" s="56" t="s">
        <v>19</v>
      </c>
      <c r="H17" s="56" t="s">
        <v>19</v>
      </c>
    </row>
    <row r="18" spans="1:9" ht="18.75" customHeight="1" x14ac:dyDescent="0.25">
      <c r="A18" s="7"/>
    </row>
    <row r="19" spans="1:9" ht="18.75" customHeight="1" x14ac:dyDescent="0.25">
      <c r="A19" s="49" t="s">
        <v>61</v>
      </c>
      <c r="B19" s="19" t="s">
        <v>293</v>
      </c>
      <c r="C19" s="20"/>
      <c r="D19" s="20"/>
      <c r="E19" s="20"/>
      <c r="F19" s="20"/>
      <c r="G19" s="21"/>
      <c r="H19" s="50"/>
      <c r="I19" s="23"/>
    </row>
    <row r="20" spans="1:9" s="14" customFormat="1" ht="18.75" customHeight="1" x14ac:dyDescent="0.25">
      <c r="A20" s="24"/>
      <c r="B20" s="72" t="s">
        <v>302</v>
      </c>
      <c r="G20" s="4" t="s">
        <v>314</v>
      </c>
      <c r="H20" s="12">
        <f>3*Input!H37+Input!H38+Input!H36</f>
        <v>450</v>
      </c>
      <c r="I20" s="5" t="s">
        <v>5</v>
      </c>
    </row>
    <row r="21" spans="1:9" s="14" customFormat="1" ht="18.75" customHeight="1" x14ac:dyDescent="0.25">
      <c r="A21" s="24"/>
      <c r="B21" s="72" t="s">
        <v>303</v>
      </c>
      <c r="G21" s="4" t="s">
        <v>315</v>
      </c>
      <c r="H21" s="12">
        <f>2*Input!H37+Input!H38+Input!H36</f>
        <v>375</v>
      </c>
      <c r="I21" s="5" t="s">
        <v>5</v>
      </c>
    </row>
    <row r="22" spans="1:9" s="14" customFormat="1" ht="18.75" customHeight="1" x14ac:dyDescent="0.25">
      <c r="A22" s="24"/>
      <c r="B22" s="72" t="s">
        <v>304</v>
      </c>
      <c r="G22" s="4" t="s">
        <v>316</v>
      </c>
      <c r="H22" s="12">
        <f>Input!H37+Input!H38+Input!H36</f>
        <v>300</v>
      </c>
      <c r="I22" s="5" t="s">
        <v>5</v>
      </c>
    </row>
    <row r="23" spans="1:9" s="14" customFormat="1" ht="18.75" customHeight="1" x14ac:dyDescent="0.25">
      <c r="A23" s="24"/>
      <c r="B23" s="72" t="s">
        <v>304</v>
      </c>
      <c r="G23" s="4" t="s">
        <v>317</v>
      </c>
      <c r="H23" s="12">
        <f>Input!H38+Input!H36</f>
        <v>225</v>
      </c>
      <c r="I23" s="5" t="s">
        <v>5</v>
      </c>
    </row>
    <row r="24" spans="1:9" s="14" customFormat="1" ht="18.75" customHeight="1" x14ac:dyDescent="0.25">
      <c r="A24" s="24"/>
      <c r="B24" s="1" t="s">
        <v>305</v>
      </c>
      <c r="G24" s="4" t="s">
        <v>170</v>
      </c>
      <c r="H24" s="12">
        <f>(Input!H39-Input!H40)/2</f>
        <v>52.5</v>
      </c>
      <c r="I24" s="5" t="s">
        <v>5</v>
      </c>
    </row>
    <row r="25" spans="1:9" s="14" customFormat="1" ht="18.75" customHeight="1" x14ac:dyDescent="0.25">
      <c r="A25" s="24"/>
      <c r="B25" s="72" t="s">
        <v>306</v>
      </c>
      <c r="G25" s="4" t="s">
        <v>171</v>
      </c>
      <c r="H25" s="12">
        <f>(Input!H39-H24-H24-Input!H45)/2</f>
        <v>43.5</v>
      </c>
      <c r="I25" s="5" t="s">
        <v>5</v>
      </c>
    </row>
    <row r="26" spans="1:9" ht="18.75" customHeight="1" x14ac:dyDescent="0.25">
      <c r="B26" s="1" t="s">
        <v>154</v>
      </c>
    </row>
    <row r="27" spans="1:9" ht="18.75" customHeight="1" x14ac:dyDescent="0.25">
      <c r="D27" s="37" t="s">
        <v>92</v>
      </c>
      <c r="E27" s="37" t="s">
        <v>35</v>
      </c>
      <c r="F27" s="37" t="s">
        <v>152</v>
      </c>
    </row>
    <row r="28" spans="1:9" ht="18.75" customHeight="1" x14ac:dyDescent="0.25">
      <c r="B28" s="6" t="s">
        <v>93</v>
      </c>
      <c r="D28" s="12">
        <f>Input!H36</f>
        <v>50</v>
      </c>
      <c r="E28" s="3" t="str">
        <f>IF(D28&gt;=F28,"≥","&lt;")</f>
        <v>≥</v>
      </c>
      <c r="F28" s="12">
        <f>1.25*Input!$H$56</f>
        <v>23.75</v>
      </c>
      <c r="G28" s="11" t="s">
        <v>31</v>
      </c>
      <c r="H28" s="47" t="str">
        <f>IF(D28&gt;=F28,"[ OK ]","[ GANTI KONFIGURASI ]")</f>
        <v>[ OK ]</v>
      </c>
    </row>
    <row r="30" spans="1:9" ht="18.75" customHeight="1" x14ac:dyDescent="0.25">
      <c r="B30" s="1" t="s">
        <v>153</v>
      </c>
    </row>
    <row r="31" spans="1:9" ht="18.75" customHeight="1" x14ac:dyDescent="0.25">
      <c r="B31" s="6" t="s">
        <v>155</v>
      </c>
      <c r="D31" s="37" t="s">
        <v>16</v>
      </c>
      <c r="E31" s="37" t="s">
        <v>35</v>
      </c>
      <c r="F31" s="37" t="s">
        <v>151</v>
      </c>
    </row>
    <row r="32" spans="1:9" ht="18.75" customHeight="1" x14ac:dyDescent="0.25">
      <c r="B32" s="6" t="s">
        <v>93</v>
      </c>
      <c r="D32" s="12">
        <f>Input!H40</f>
        <v>95</v>
      </c>
      <c r="E32" s="3" t="str">
        <f>IF(D32&gt;=F32,"≥","&lt;")</f>
        <v>≥</v>
      </c>
      <c r="F32" s="12">
        <f>3*Input!$H$56</f>
        <v>57</v>
      </c>
      <c r="G32" s="11" t="s">
        <v>31</v>
      </c>
      <c r="H32" s="47" t="str">
        <f>IF(D32&gt;=F32,"[ OK ]","[ GANTI KONFIGURASI ]")</f>
        <v>[ OK ]</v>
      </c>
    </row>
    <row r="33" spans="1:9" ht="18.75" customHeight="1" x14ac:dyDescent="0.25">
      <c r="D33" s="28"/>
      <c r="E33" s="3"/>
      <c r="F33" s="28"/>
      <c r="G33" s="11"/>
      <c r="H33" s="47"/>
    </row>
    <row r="34" spans="1:9" ht="18.75" customHeight="1" x14ac:dyDescent="0.25">
      <c r="B34" s="6" t="s">
        <v>156</v>
      </c>
      <c r="D34" s="37" t="s">
        <v>157</v>
      </c>
      <c r="E34" s="37" t="s">
        <v>35</v>
      </c>
      <c r="F34" s="37" t="s">
        <v>151</v>
      </c>
    </row>
    <row r="35" spans="1:9" ht="18.75" customHeight="1" x14ac:dyDescent="0.25">
      <c r="B35" s="6" t="s">
        <v>93</v>
      </c>
      <c r="D35" s="12">
        <f>Input!H37</f>
        <v>75</v>
      </c>
      <c r="E35" s="3" t="str">
        <f>IF(D35&gt;=F35,"≥","&lt;")</f>
        <v>≥</v>
      </c>
      <c r="F35" s="12">
        <f>3*Input!$H$56</f>
        <v>57</v>
      </c>
      <c r="G35" s="11" t="s">
        <v>31</v>
      </c>
      <c r="H35" s="47" t="str">
        <f>IF(D35&gt;=F35,"[ OK ]","[ GANTI KONFIGURASI ]")</f>
        <v>[ OK ]</v>
      </c>
    </row>
    <row r="36" spans="1:9" ht="18.75" customHeight="1" x14ac:dyDescent="0.25">
      <c r="B36" s="6"/>
      <c r="D36" s="28"/>
      <c r="E36" s="3"/>
      <c r="F36" s="28"/>
      <c r="G36" s="11"/>
      <c r="H36" s="47"/>
    </row>
    <row r="37" spans="1:9" ht="18.75" customHeight="1" x14ac:dyDescent="0.25">
      <c r="B37" s="1" t="s">
        <v>217</v>
      </c>
      <c r="G37" s="44" t="s">
        <v>89</v>
      </c>
      <c r="H37" s="59">
        <f>Input!H56</f>
        <v>19</v>
      </c>
      <c r="I37" s="5" t="s">
        <v>5</v>
      </c>
    </row>
    <row r="38" spans="1:9" ht="18.75" customHeight="1" x14ac:dyDescent="0.25">
      <c r="B38" s="1" t="s">
        <v>290</v>
      </c>
      <c r="D38" s="28"/>
      <c r="E38" s="3"/>
      <c r="F38" s="28"/>
      <c r="G38" s="44" t="s">
        <v>291</v>
      </c>
      <c r="H38" s="59">
        <f>1/4*3.14*H37^2</f>
        <v>283.38499999999999</v>
      </c>
      <c r="I38" s="5" t="s">
        <v>38</v>
      </c>
    </row>
    <row r="40" spans="1:9" ht="18.75" customHeight="1" x14ac:dyDescent="0.25">
      <c r="A40" s="38" t="s">
        <v>67</v>
      </c>
      <c r="B40" s="39" t="s">
        <v>276</v>
      </c>
      <c r="C40" s="40"/>
      <c r="D40" s="40"/>
      <c r="E40" s="40"/>
      <c r="F40" s="40"/>
      <c r="G40" s="41"/>
      <c r="H40" s="42"/>
      <c r="I40" s="43"/>
    </row>
    <row r="41" spans="1:9" ht="18.75" customHeight="1" x14ac:dyDescent="0.25">
      <c r="A41" s="18" t="s">
        <v>68</v>
      </c>
      <c r="B41" s="19" t="s">
        <v>292</v>
      </c>
      <c r="C41" s="20"/>
      <c r="D41" s="20"/>
      <c r="E41" s="20"/>
      <c r="F41" s="20"/>
      <c r="G41" s="21"/>
      <c r="H41" s="22"/>
      <c r="I41" s="23"/>
    </row>
    <row r="42" spans="1:9" ht="18.75" customHeight="1" x14ac:dyDescent="0.25">
      <c r="B42" s="1" t="s">
        <v>107</v>
      </c>
      <c r="G42" s="4" t="s">
        <v>108</v>
      </c>
      <c r="H42" s="12">
        <v>0.9</v>
      </c>
    </row>
    <row r="43" spans="1:9" ht="18.75" customHeight="1" x14ac:dyDescent="0.25">
      <c r="B43" s="48" t="s">
        <v>110</v>
      </c>
      <c r="G43" s="44" t="s">
        <v>118</v>
      </c>
      <c r="H43" s="12">
        <f>Input!H5</f>
        <v>240</v>
      </c>
      <c r="I43" s="5" t="s">
        <v>10</v>
      </c>
    </row>
    <row r="44" spans="1:9" ht="18.75" customHeight="1" x14ac:dyDescent="0.25">
      <c r="B44" s="1" t="s">
        <v>149</v>
      </c>
      <c r="G44" s="44" t="s">
        <v>288</v>
      </c>
      <c r="H44" s="12">
        <f>H42*H43*G16/10^6</f>
        <v>277.76563199999998</v>
      </c>
      <c r="I44" s="5" t="s">
        <v>12</v>
      </c>
    </row>
    <row r="46" spans="1:9" ht="18.75" customHeight="1" x14ac:dyDescent="0.25">
      <c r="A46" s="7"/>
      <c r="B46" s="1" t="s">
        <v>20</v>
      </c>
      <c r="G46" s="4" t="s">
        <v>279</v>
      </c>
      <c r="H46" s="56">
        <f>Input!H43-Input!H46</f>
        <v>387</v>
      </c>
      <c r="I46" s="5" t="s">
        <v>5</v>
      </c>
    </row>
    <row r="47" spans="1:9" ht="18.75" customHeight="1" x14ac:dyDescent="0.25">
      <c r="A47" s="7"/>
      <c r="B47" s="1" t="s">
        <v>21</v>
      </c>
      <c r="G47" s="4" t="s">
        <v>280</v>
      </c>
      <c r="H47" s="56">
        <f>H46*Input!H45</f>
        <v>3096</v>
      </c>
      <c r="I47" s="5" t="s">
        <v>38</v>
      </c>
    </row>
    <row r="48" spans="1:9" ht="18.75" customHeight="1" x14ac:dyDescent="0.25">
      <c r="A48" s="7"/>
      <c r="B48" s="1" t="s">
        <v>22</v>
      </c>
      <c r="G48" s="4" t="s">
        <v>281</v>
      </c>
      <c r="H48" s="45">
        <f>H46/Input!H45</f>
        <v>48.375</v>
      </c>
    </row>
    <row r="49" spans="1:9" ht="18.75" customHeight="1" x14ac:dyDescent="0.25">
      <c r="A49" s="7"/>
      <c r="B49" s="1" t="s">
        <v>23</v>
      </c>
      <c r="G49" s="4" t="s">
        <v>24</v>
      </c>
      <c r="H49" s="56">
        <v>5.34</v>
      </c>
    </row>
    <row r="50" spans="1:9" ht="18.75" customHeight="1" x14ac:dyDescent="0.25">
      <c r="A50" s="7"/>
      <c r="B50" s="1" t="s">
        <v>25</v>
      </c>
    </row>
    <row r="51" spans="1:9" ht="18.75" customHeight="1" x14ac:dyDescent="0.25">
      <c r="A51" s="7"/>
      <c r="B51" s="1" t="s">
        <v>26</v>
      </c>
      <c r="C51" s="1" t="s">
        <v>283</v>
      </c>
      <c r="G51" s="4" t="s">
        <v>27</v>
      </c>
      <c r="H51" s="59">
        <f>IF(H48&lt;=2.24*SQRT(Input!H13/Input!H5),1,"-")</f>
        <v>1</v>
      </c>
    </row>
    <row r="52" spans="1:9" ht="18.75" customHeight="1" x14ac:dyDescent="0.25">
      <c r="A52" s="7"/>
      <c r="B52" s="1" t="s">
        <v>28</v>
      </c>
      <c r="C52" s="1" t="s">
        <v>282</v>
      </c>
      <c r="G52" s="4" t="s">
        <v>284</v>
      </c>
      <c r="H52" s="59" t="str">
        <f>IF(H48&gt;2.24*SQRT(Input!H13/Input!H5),1.1/H48*SQRT(H49*Input!H13/Input!H5),"-")</f>
        <v>-</v>
      </c>
    </row>
    <row r="53" spans="1:9" ht="18.75" customHeight="1" x14ac:dyDescent="0.25">
      <c r="A53" s="7"/>
      <c r="B53" s="1" t="s">
        <v>29</v>
      </c>
      <c r="G53" s="4" t="s">
        <v>27</v>
      </c>
      <c r="H53" s="59">
        <f>MAX(H51:H52)</f>
        <v>1</v>
      </c>
    </row>
    <row r="54" spans="1:9" ht="18.75" customHeight="1" x14ac:dyDescent="0.25">
      <c r="A54" s="7"/>
    </row>
    <row r="55" spans="1:9" ht="18.75" customHeight="1" x14ac:dyDescent="0.25">
      <c r="A55" s="7"/>
      <c r="B55" s="1" t="s">
        <v>285</v>
      </c>
      <c r="G55" s="4" t="s">
        <v>294</v>
      </c>
      <c r="H55" s="56">
        <f>0.6*Input!H5*H47*H53/10^3</f>
        <v>445.82400000000001</v>
      </c>
      <c r="I55" s="5" t="s">
        <v>13</v>
      </c>
    </row>
    <row r="56" spans="1:9" ht="18.75" customHeight="1" x14ac:dyDescent="0.25">
      <c r="A56" s="7"/>
      <c r="B56" s="1" t="s">
        <v>277</v>
      </c>
      <c r="G56" s="71" t="s">
        <v>278</v>
      </c>
      <c r="H56" s="59">
        <v>0.9</v>
      </c>
    </row>
    <row r="57" spans="1:9" ht="18.75" customHeight="1" x14ac:dyDescent="0.25">
      <c r="A57" s="7"/>
      <c r="B57" s="1" t="s">
        <v>287</v>
      </c>
      <c r="G57" s="4" t="s">
        <v>286</v>
      </c>
      <c r="H57" s="59">
        <f>H56*H55</f>
        <v>401.24160000000001</v>
      </c>
      <c r="I57" s="5" t="s">
        <v>13</v>
      </c>
    </row>
    <row r="59" spans="1:9" ht="18.75" customHeight="1" x14ac:dyDescent="0.25">
      <c r="A59" s="38" t="s">
        <v>67</v>
      </c>
      <c r="B59" s="39" t="s">
        <v>209</v>
      </c>
      <c r="C59" s="40"/>
      <c r="D59" s="40"/>
      <c r="E59" s="40"/>
      <c r="F59" s="40"/>
      <c r="G59" s="41"/>
      <c r="H59" s="42"/>
      <c r="I59" s="43"/>
    </row>
    <row r="60" spans="1:9" ht="18.75" customHeight="1" x14ac:dyDescent="0.25">
      <c r="A60" s="18" t="s">
        <v>68</v>
      </c>
      <c r="B60" s="19" t="s">
        <v>103</v>
      </c>
      <c r="C60" s="20"/>
      <c r="D60" s="20"/>
      <c r="E60" s="20"/>
      <c r="F60" s="20"/>
      <c r="G60" s="21"/>
      <c r="H60" s="22"/>
      <c r="I60" s="23"/>
    </row>
    <row r="61" spans="1:9" ht="18.75" customHeight="1" x14ac:dyDescent="0.25">
      <c r="B61" s="1" t="s">
        <v>150</v>
      </c>
    </row>
    <row r="62" spans="1:9" ht="18.75" customHeight="1" x14ac:dyDescent="0.25">
      <c r="B62" s="1" t="s">
        <v>298</v>
      </c>
      <c r="G62" s="4" t="s">
        <v>96</v>
      </c>
      <c r="H62" s="12">
        <f>Input!H36</f>
        <v>50</v>
      </c>
      <c r="I62" s="5" t="s">
        <v>5</v>
      </c>
    </row>
    <row r="63" spans="1:9" ht="18.75" customHeight="1" x14ac:dyDescent="0.25">
      <c r="B63" s="72" t="s">
        <v>299</v>
      </c>
      <c r="G63" s="4" t="s">
        <v>97</v>
      </c>
      <c r="H63" s="12">
        <f>Input!H37</f>
        <v>75</v>
      </c>
      <c r="I63" s="5" t="s">
        <v>5</v>
      </c>
    </row>
    <row r="64" spans="1:9" ht="18.75" customHeight="1" x14ac:dyDescent="0.25">
      <c r="B64" s="72" t="s">
        <v>301</v>
      </c>
      <c r="G64" s="4" t="s">
        <v>50</v>
      </c>
      <c r="H64" s="12">
        <f>Input!H39</f>
        <v>200</v>
      </c>
      <c r="I64" s="5" t="s">
        <v>5</v>
      </c>
    </row>
    <row r="65" spans="2:9" ht="18.75" customHeight="1" x14ac:dyDescent="0.25">
      <c r="B65" s="72" t="s">
        <v>15</v>
      </c>
      <c r="G65" s="4" t="s">
        <v>18</v>
      </c>
      <c r="H65" s="12">
        <f>Input!H40</f>
        <v>95</v>
      </c>
      <c r="I65" s="5" t="s">
        <v>5</v>
      </c>
    </row>
    <row r="66" spans="2:9" ht="18.75" customHeight="1" x14ac:dyDescent="0.25">
      <c r="B66" s="72" t="s">
        <v>302</v>
      </c>
      <c r="G66" s="4" t="s">
        <v>112</v>
      </c>
      <c r="H66" s="12">
        <f>Process!H20</f>
        <v>450</v>
      </c>
      <c r="I66" s="5" t="s">
        <v>5</v>
      </c>
    </row>
    <row r="67" spans="2:9" ht="18.75" customHeight="1" x14ac:dyDescent="0.25">
      <c r="B67" s="72" t="s">
        <v>307</v>
      </c>
      <c r="G67" s="4" t="s">
        <v>158</v>
      </c>
      <c r="H67" s="12">
        <f>Process!H23</f>
        <v>225</v>
      </c>
      <c r="I67" s="5" t="s">
        <v>5</v>
      </c>
    </row>
    <row r="68" spans="2:9" ht="18.75" customHeight="1" x14ac:dyDescent="0.25">
      <c r="G68" s="4" t="s">
        <v>111</v>
      </c>
      <c r="H68" s="12">
        <f>0.5*SQRT(H64*H65)</f>
        <v>68.920243760451115</v>
      </c>
      <c r="I68" s="5" t="s">
        <v>5</v>
      </c>
    </row>
    <row r="69" spans="2:9" ht="18.75" customHeight="1" x14ac:dyDescent="0.25">
      <c r="B69" s="2" t="s">
        <v>205</v>
      </c>
      <c r="D69" s="11" t="s">
        <v>31</v>
      </c>
      <c r="E69" s="3" t="str">
        <f>IF(H62&gt;H68,"pf &gt; s","pf &lt; s")</f>
        <v>pf &lt; s</v>
      </c>
      <c r="F69" s="11" t="s">
        <v>31</v>
      </c>
      <c r="G69" s="4" t="s">
        <v>96</v>
      </c>
      <c r="H69" s="12">
        <f>IF(H62&gt;H68,H68,H62)</f>
        <v>50</v>
      </c>
      <c r="I69" s="5" t="s">
        <v>5</v>
      </c>
    </row>
    <row r="70" spans="2:9" ht="18" customHeight="1" x14ac:dyDescent="0.25">
      <c r="B70" s="2"/>
      <c r="G70" s="4" t="s">
        <v>159</v>
      </c>
      <c r="H70" s="12">
        <f>2/H65*(H66*(H69+2.25*H63)+H67*(H69+0.75*H63))+H65/2</f>
        <v>2623.1578947368421</v>
      </c>
    </row>
    <row r="71" spans="2:9" ht="18.75" customHeight="1" x14ac:dyDescent="0.25">
      <c r="G71" s="4" t="s">
        <v>160</v>
      </c>
      <c r="H71" s="12">
        <f>H64/2*(H66*(1/H69)+H67*(1/H69))+H70</f>
        <v>3973.1578947368421</v>
      </c>
    </row>
    <row r="72" spans="2:9" ht="18.75" customHeight="1" x14ac:dyDescent="0.25">
      <c r="B72" s="1" t="s">
        <v>101</v>
      </c>
      <c r="G72" s="44" t="s">
        <v>100</v>
      </c>
      <c r="H72" s="12">
        <v>1.25</v>
      </c>
    </row>
    <row r="73" spans="2:9" ht="18.75" customHeight="1" x14ac:dyDescent="0.25">
      <c r="B73" s="1" t="s">
        <v>102</v>
      </c>
      <c r="G73" s="44" t="s">
        <v>113</v>
      </c>
      <c r="H73" s="12">
        <f>Input!H11</f>
        <v>250</v>
      </c>
      <c r="I73" s="5" t="s">
        <v>10</v>
      </c>
    </row>
    <row r="74" spans="2:9" ht="18.75" customHeight="1" x14ac:dyDescent="0.25">
      <c r="B74" s="1" t="s">
        <v>99</v>
      </c>
      <c r="G74" s="46" t="s">
        <v>98</v>
      </c>
      <c r="H74" s="12">
        <f>Input!H57</f>
        <v>25</v>
      </c>
      <c r="I74" s="5" t="s">
        <v>5</v>
      </c>
    </row>
    <row r="75" spans="2:9" ht="18.600000000000001" customHeight="1" x14ac:dyDescent="0.25">
      <c r="G75" s="46"/>
      <c r="H75" s="46"/>
    </row>
    <row r="76" spans="2:9" ht="18.75" customHeight="1" x14ac:dyDescent="0.25">
      <c r="G76" s="1"/>
      <c r="H76" s="1"/>
      <c r="I76" s="1"/>
    </row>
    <row r="77" spans="2:9" ht="18.75" customHeight="1" x14ac:dyDescent="0.25">
      <c r="B77" s="1" t="s">
        <v>105</v>
      </c>
      <c r="G77" s="58" t="s">
        <v>106</v>
      </c>
      <c r="H77" s="12">
        <f>(H73*H74^2*H71)/10^6</f>
        <v>620.80592105263156</v>
      </c>
      <c r="I77" s="5" t="s">
        <v>12</v>
      </c>
    </row>
    <row r="78" spans="2:9" ht="18.75" customHeight="1" x14ac:dyDescent="0.25">
      <c r="B78" s="1" t="s">
        <v>161</v>
      </c>
      <c r="G78" s="4" t="s">
        <v>162</v>
      </c>
      <c r="H78" s="12">
        <f>H42*H77</f>
        <v>558.72532894736844</v>
      </c>
      <c r="I78" s="5" t="s">
        <v>12</v>
      </c>
    </row>
    <row r="79" spans="2:9" ht="18.75" customHeight="1" x14ac:dyDescent="0.25">
      <c r="B79" s="1" t="s">
        <v>109</v>
      </c>
      <c r="H79" s="28"/>
    </row>
    <row r="80" spans="2:9" ht="18.75" customHeight="1" x14ac:dyDescent="0.25">
      <c r="B80" s="1" t="s">
        <v>90</v>
      </c>
      <c r="D80" s="3" t="s">
        <v>94</v>
      </c>
      <c r="E80" s="3" t="s">
        <v>91</v>
      </c>
      <c r="F80" s="37" t="s">
        <v>95</v>
      </c>
      <c r="H80" s="28"/>
    </row>
    <row r="81" spans="1:9" ht="18.75" customHeight="1" x14ac:dyDescent="0.25">
      <c r="D81" s="45">
        <f>H44</f>
        <v>277.76563199999998</v>
      </c>
      <c r="E81" s="3" t="str">
        <f>IF(D81&lt;F81,"≤","&gt;")</f>
        <v>≤</v>
      </c>
      <c r="F81" s="45">
        <f>H78</f>
        <v>558.72532894736844</v>
      </c>
      <c r="G81" s="11" t="s">
        <v>31</v>
      </c>
      <c r="H81" s="7" t="str">
        <f>IF(D81&lt;F81,"[ OK ]","[ NOT OK ]")</f>
        <v>[ OK ]</v>
      </c>
    </row>
    <row r="83" spans="1:9" ht="18.75" customHeight="1" x14ac:dyDescent="0.25">
      <c r="A83" s="18" t="s">
        <v>69</v>
      </c>
      <c r="B83" s="19" t="s">
        <v>104</v>
      </c>
      <c r="C83" s="20"/>
      <c r="D83" s="20"/>
      <c r="E83" s="20"/>
      <c r="F83" s="20"/>
      <c r="G83" s="21"/>
      <c r="H83" s="22"/>
      <c r="I83" s="23"/>
    </row>
    <row r="84" spans="1:9" ht="18.75" customHeight="1" x14ac:dyDescent="0.25">
      <c r="B84" s="1" t="s">
        <v>122</v>
      </c>
      <c r="G84" s="4" t="s">
        <v>121</v>
      </c>
      <c r="H84" s="12">
        <v>0.75</v>
      </c>
    </row>
    <row r="85" spans="1:9" ht="18.600000000000001" customHeight="1" x14ac:dyDescent="0.25">
      <c r="B85" s="1" t="s">
        <v>34</v>
      </c>
      <c r="G85" s="44" t="s">
        <v>119</v>
      </c>
      <c r="H85" s="12">
        <f>Input!$H$15</f>
        <v>620</v>
      </c>
      <c r="I85" s="5" t="s">
        <v>88</v>
      </c>
    </row>
    <row r="86" spans="1:9" ht="18.600000000000001" customHeight="1" x14ac:dyDescent="0.25">
      <c r="B86" s="1" t="s">
        <v>217</v>
      </c>
      <c r="G86" s="44" t="s">
        <v>89</v>
      </c>
      <c r="H86" s="59">
        <f>Input!H56</f>
        <v>19</v>
      </c>
      <c r="I86" s="5" t="s">
        <v>5</v>
      </c>
    </row>
    <row r="87" spans="1:9" ht="18.75" customHeight="1" x14ac:dyDescent="0.25">
      <c r="B87" s="1" t="s">
        <v>193</v>
      </c>
      <c r="D87" s="28"/>
      <c r="E87" s="3"/>
      <c r="F87" s="28"/>
      <c r="G87" s="58" t="s">
        <v>194</v>
      </c>
      <c r="H87" s="12">
        <f>H86+2</f>
        <v>21</v>
      </c>
      <c r="I87" s="5" t="s">
        <v>5</v>
      </c>
    </row>
    <row r="88" spans="1:9" ht="18.75" customHeight="1" x14ac:dyDescent="0.25">
      <c r="D88" s="28"/>
      <c r="E88" s="3"/>
      <c r="F88" s="28"/>
      <c r="G88" s="11"/>
      <c r="H88" s="47"/>
    </row>
    <row r="89" spans="1:9" ht="18.75" customHeight="1" x14ac:dyDescent="0.25">
      <c r="D89" s="28"/>
      <c r="E89" s="3"/>
      <c r="F89" s="28"/>
      <c r="G89" s="58" t="s">
        <v>186</v>
      </c>
      <c r="H89" s="12">
        <f>Process!H24+Input!H56/2</f>
        <v>62</v>
      </c>
      <c r="I89" s="5" t="s">
        <v>5</v>
      </c>
    </row>
    <row r="90" spans="1:9" ht="18.75" customHeight="1" x14ac:dyDescent="0.25">
      <c r="B90" s="1" t="s">
        <v>184</v>
      </c>
      <c r="D90" s="3" t="s">
        <v>196</v>
      </c>
      <c r="E90" s="3" t="s">
        <v>91</v>
      </c>
      <c r="F90" s="3" t="s">
        <v>185</v>
      </c>
      <c r="H90" s="28"/>
    </row>
    <row r="91" spans="1:9" ht="18.75" customHeight="1" x14ac:dyDescent="0.25">
      <c r="D91" s="59">
        <f>Process!H24+Input!H56/2</f>
        <v>62</v>
      </c>
      <c r="E91" s="3" t="str">
        <f>IF(D91&gt;F91,"&gt;","≤")</f>
        <v>≤</v>
      </c>
      <c r="F91" s="59">
        <f>1.25*Process!H25+Input!H56/2</f>
        <v>63.875</v>
      </c>
      <c r="G91" s="11" t="s">
        <v>31</v>
      </c>
      <c r="H91" s="47" t="str">
        <f>IF(D91&gt;F91,"[ NOT OK ]","[ OK ]")</f>
        <v>[ OK ]</v>
      </c>
    </row>
    <row r="93" spans="1:9" ht="18.75" customHeight="1" x14ac:dyDescent="0.25">
      <c r="G93" s="58" t="s">
        <v>183</v>
      </c>
      <c r="H93" s="12">
        <f>Process!H25-Input!H56/2</f>
        <v>34</v>
      </c>
      <c r="I93" s="5" t="s">
        <v>5</v>
      </c>
    </row>
    <row r="94" spans="1:9" ht="18.75" customHeight="1" x14ac:dyDescent="0.25">
      <c r="B94" s="1" t="s">
        <v>167</v>
      </c>
      <c r="G94" s="58" t="s">
        <v>163</v>
      </c>
      <c r="H94" s="12">
        <f>H84*1/4*3.14*H86^2*H85/10^3</f>
        <v>131.77402499999999</v>
      </c>
      <c r="I94" s="5" t="s">
        <v>13</v>
      </c>
    </row>
    <row r="95" spans="1:9" ht="18.75" customHeight="1" x14ac:dyDescent="0.25">
      <c r="G95" s="58"/>
      <c r="H95" s="28"/>
    </row>
    <row r="96" spans="1:9" ht="18.75" customHeight="1" x14ac:dyDescent="0.25">
      <c r="B96" s="26" t="s">
        <v>168</v>
      </c>
    </row>
    <row r="97" spans="1:9" ht="18.75" customHeight="1" x14ac:dyDescent="0.25">
      <c r="B97" s="1" t="s">
        <v>308</v>
      </c>
      <c r="G97" s="4" t="s">
        <v>192</v>
      </c>
      <c r="H97" s="12">
        <f>Input!H36+Input!H37/2</f>
        <v>87.5</v>
      </c>
      <c r="I97" s="5" t="s">
        <v>5</v>
      </c>
    </row>
    <row r="98" spans="1:9" ht="18.75" customHeight="1" x14ac:dyDescent="0.25">
      <c r="B98" s="1" t="s">
        <v>309</v>
      </c>
      <c r="G98" s="4" t="s">
        <v>195</v>
      </c>
      <c r="H98" s="10">
        <f>1-(H87/Process!H97)</f>
        <v>0.76</v>
      </c>
    </row>
    <row r="99" spans="1:9" ht="18.75" customHeight="1" x14ac:dyDescent="0.25">
      <c r="B99" s="1" t="s">
        <v>198</v>
      </c>
      <c r="G99" s="1"/>
      <c r="H99" s="1"/>
    </row>
    <row r="100" spans="1:9" ht="18.75" customHeight="1" x14ac:dyDescent="0.25">
      <c r="G100" s="44" t="s">
        <v>191</v>
      </c>
      <c r="H100" s="12">
        <f>1/H98*((4*H94*10^3*H93/(H97*Input!H11*Input!H57^2))-1)</f>
        <v>0.40896408060150352</v>
      </c>
    </row>
    <row r="101" spans="1:9" ht="18.75" customHeight="1" x14ac:dyDescent="0.25">
      <c r="B101" s="57" t="s">
        <v>188</v>
      </c>
      <c r="G101" s="44"/>
      <c r="H101" s="4"/>
    </row>
    <row r="102" spans="1:9" ht="18.75" customHeight="1" x14ac:dyDescent="0.25">
      <c r="A102" s="7"/>
      <c r="B102" s="60" t="s">
        <v>26</v>
      </c>
      <c r="C102" s="63" t="s">
        <v>197</v>
      </c>
      <c r="D102" s="61"/>
      <c r="E102" s="61"/>
      <c r="F102" s="61"/>
      <c r="G102" s="62" t="s">
        <v>189</v>
      </c>
      <c r="H102" s="45" t="str">
        <f>IF(H100&lt;=0,H94,"-")</f>
        <v>-</v>
      </c>
      <c r="I102" s="5" t="s">
        <v>13</v>
      </c>
    </row>
    <row r="103" spans="1:9" ht="18.75" customHeight="1" x14ac:dyDescent="0.25">
      <c r="A103" s="7"/>
      <c r="B103" s="60" t="s">
        <v>28</v>
      </c>
      <c r="C103" s="64" t="s">
        <v>201</v>
      </c>
      <c r="D103" s="61"/>
      <c r="E103" s="61"/>
      <c r="F103" s="61"/>
      <c r="G103" s="62" t="s">
        <v>190</v>
      </c>
      <c r="H103" s="45">
        <f>IF(AND(H100&gt;0,H100&lt;=1),(H94*10^3*H89/(H89+H93)+(H97*Input!H11*Input!H57^2)/(4*(H89+H93)))/10^3,"-")</f>
        <v>120.70789895833333</v>
      </c>
      <c r="I103" s="5" t="s">
        <v>13</v>
      </c>
    </row>
    <row r="104" spans="1:9" ht="18.75" customHeight="1" x14ac:dyDescent="0.25">
      <c r="A104" s="7"/>
      <c r="B104" s="60" t="s">
        <v>187</v>
      </c>
      <c r="C104" s="63" t="s">
        <v>200</v>
      </c>
      <c r="D104" s="61"/>
      <c r="E104" s="61"/>
      <c r="F104" s="61"/>
      <c r="G104" s="62" t="s">
        <v>172</v>
      </c>
      <c r="H104" s="45" t="str">
        <f>IF(H100&gt;1,(1+H98)/(4*H93)*(H97*Input!H11*Input!H57^2)/10^3,"-")</f>
        <v>-</v>
      </c>
      <c r="I104" s="5" t="s">
        <v>13</v>
      </c>
    </row>
    <row r="105" spans="1:9" ht="18.75" customHeight="1" x14ac:dyDescent="0.25">
      <c r="B105" s="57"/>
      <c r="G105" s="58" t="s">
        <v>166</v>
      </c>
      <c r="H105" s="10">
        <f>MIN(H102:H104)</f>
        <v>120.70789895833333</v>
      </c>
      <c r="I105" s="5" t="s">
        <v>13</v>
      </c>
    </row>
    <row r="106" spans="1:9" ht="18.75" customHeight="1" x14ac:dyDescent="0.25">
      <c r="B106" s="57"/>
      <c r="G106" s="58"/>
      <c r="H106" s="58"/>
    </row>
    <row r="107" spans="1:9" ht="18.75" customHeight="1" x14ac:dyDescent="0.25">
      <c r="B107" s="1" t="s">
        <v>165</v>
      </c>
      <c r="G107" s="4" t="s">
        <v>174</v>
      </c>
      <c r="H107" s="27">
        <f>2*H105</f>
        <v>241.41579791666666</v>
      </c>
      <c r="I107" s="5" t="s">
        <v>13</v>
      </c>
    </row>
    <row r="108" spans="1:9" ht="18.75" customHeight="1" x14ac:dyDescent="0.25">
      <c r="H108" s="28"/>
    </row>
    <row r="109" spans="1:9" ht="18.75" customHeight="1" x14ac:dyDescent="0.25">
      <c r="B109" s="26" t="s">
        <v>169</v>
      </c>
      <c r="H109" s="28"/>
    </row>
    <row r="110" spans="1:9" ht="18.75" customHeight="1" x14ac:dyDescent="0.25">
      <c r="B110" s="1" t="s">
        <v>311</v>
      </c>
      <c r="G110" s="4" t="s">
        <v>173</v>
      </c>
      <c r="H110" s="12">
        <f>(Input!H37+Input!H37)/2</f>
        <v>75</v>
      </c>
      <c r="I110" s="5" t="s">
        <v>5</v>
      </c>
    </row>
    <row r="111" spans="1:9" ht="18.75" customHeight="1" x14ac:dyDescent="0.25">
      <c r="B111" s="1" t="s">
        <v>309</v>
      </c>
      <c r="G111" s="4" t="s">
        <v>199</v>
      </c>
      <c r="H111" s="10">
        <f>1-(H87/Process!H110)</f>
        <v>0.72</v>
      </c>
    </row>
    <row r="112" spans="1:9" ht="18.75" customHeight="1" x14ac:dyDescent="0.25">
      <c r="B112" s="1" t="s">
        <v>198</v>
      </c>
      <c r="G112" s="1"/>
      <c r="H112" s="1"/>
    </row>
    <row r="113" spans="1:9" ht="18.75" customHeight="1" x14ac:dyDescent="0.25">
      <c r="G113" s="44" t="s">
        <v>164</v>
      </c>
      <c r="H113" s="12">
        <f>1/H111*((4*H94*10^3*H93/(H110*Input!H11*Input!H57^2))-1)</f>
        <v>0.73511317333333304</v>
      </c>
    </row>
    <row r="114" spans="1:9" ht="18.75" customHeight="1" x14ac:dyDescent="0.25">
      <c r="B114" s="57" t="s">
        <v>188</v>
      </c>
      <c r="H114" s="4"/>
    </row>
    <row r="115" spans="1:9" ht="18.75" customHeight="1" x14ac:dyDescent="0.25">
      <c r="A115" s="7"/>
      <c r="B115" s="60" t="s">
        <v>26</v>
      </c>
      <c r="C115" s="63" t="s">
        <v>197</v>
      </c>
      <c r="D115" s="61"/>
      <c r="E115" s="61"/>
      <c r="F115" s="61"/>
      <c r="G115" s="62" t="s">
        <v>189</v>
      </c>
      <c r="H115" s="45" t="str">
        <f>IF(H113&lt;=0,H94,"-")</f>
        <v>-</v>
      </c>
      <c r="I115" s="5" t="s">
        <v>13</v>
      </c>
    </row>
    <row r="116" spans="1:9" ht="18.75" customHeight="1" x14ac:dyDescent="0.25">
      <c r="A116" s="7"/>
      <c r="B116" s="60" t="s">
        <v>28</v>
      </c>
      <c r="C116" s="64" t="s">
        <v>201</v>
      </c>
      <c r="D116" s="61"/>
      <c r="E116" s="61"/>
      <c r="F116" s="61"/>
      <c r="G116" s="62" t="s">
        <v>190</v>
      </c>
      <c r="H116" s="45">
        <f>IF(AND(H113&gt;0,H113&lt;=1),(H94*10^3*H89/(H89+H93)+(H110*Input!H11*Input!H57^2)/(4*(H89+H93)))/10^3,"-")</f>
        <v>115.6216359375</v>
      </c>
      <c r="I116" s="5" t="s">
        <v>13</v>
      </c>
    </row>
    <row r="117" spans="1:9" ht="18.75" customHeight="1" x14ac:dyDescent="0.25">
      <c r="A117" s="7"/>
      <c r="B117" s="60" t="s">
        <v>187</v>
      </c>
      <c r="C117" s="63" t="s">
        <v>200</v>
      </c>
      <c r="D117" s="61"/>
      <c r="E117" s="61"/>
      <c r="F117" s="61"/>
      <c r="G117" s="62" t="s">
        <v>172</v>
      </c>
      <c r="H117" s="45" t="str">
        <f>IF(H113&gt;=1,(1+H111)/(4*H93)*(H110*Input!H11*Input!H57^2)/10^3,"-")</f>
        <v>-</v>
      </c>
      <c r="I117" s="5" t="s">
        <v>13</v>
      </c>
    </row>
    <row r="118" spans="1:9" ht="18.75" customHeight="1" x14ac:dyDescent="0.25">
      <c r="B118" s="57"/>
      <c r="G118" s="58" t="s">
        <v>166</v>
      </c>
      <c r="H118" s="10">
        <f>MIN(H115:H117)</f>
        <v>115.6216359375</v>
      </c>
      <c r="I118" s="5" t="s">
        <v>13</v>
      </c>
    </row>
    <row r="119" spans="1:9" ht="18.75" customHeight="1" x14ac:dyDescent="0.25">
      <c r="B119" s="57"/>
      <c r="G119" s="58"/>
      <c r="H119" s="58"/>
    </row>
    <row r="120" spans="1:9" ht="18.75" customHeight="1" x14ac:dyDescent="0.25">
      <c r="B120" s="1" t="s">
        <v>208</v>
      </c>
      <c r="G120" s="4" t="s">
        <v>175</v>
      </c>
      <c r="H120" s="27">
        <f>2*H118</f>
        <v>231.243271875</v>
      </c>
      <c r="I120" s="5" t="s">
        <v>13</v>
      </c>
    </row>
    <row r="121" spans="1:9" ht="18.75" customHeight="1" x14ac:dyDescent="0.25">
      <c r="H121" s="28"/>
    </row>
    <row r="122" spans="1:9" ht="18.75" customHeight="1" x14ac:dyDescent="0.25">
      <c r="B122" s="26" t="s">
        <v>176</v>
      </c>
      <c r="H122" s="28"/>
    </row>
    <row r="123" spans="1:9" ht="18.75" customHeight="1" x14ac:dyDescent="0.25">
      <c r="B123" s="1" t="s">
        <v>310</v>
      </c>
      <c r="G123" s="4" t="s">
        <v>177</v>
      </c>
      <c r="H123" s="12">
        <f>(Input!H37+Input!H37)/2</f>
        <v>75</v>
      </c>
      <c r="I123" s="5" t="s">
        <v>5</v>
      </c>
    </row>
    <row r="124" spans="1:9" ht="18.75" customHeight="1" x14ac:dyDescent="0.25">
      <c r="B124" s="1" t="s">
        <v>309</v>
      </c>
      <c r="G124" s="4" t="s">
        <v>202</v>
      </c>
      <c r="H124" s="12">
        <f>1-(H87/Process!H123)</f>
        <v>0.72</v>
      </c>
    </row>
    <row r="125" spans="1:9" ht="18.75" customHeight="1" x14ac:dyDescent="0.25">
      <c r="B125" s="1" t="s">
        <v>198</v>
      </c>
      <c r="G125" s="1"/>
      <c r="H125" s="1"/>
    </row>
    <row r="126" spans="1:9" ht="18.75" customHeight="1" x14ac:dyDescent="0.25">
      <c r="G126" s="44" t="s">
        <v>164</v>
      </c>
      <c r="H126" s="12">
        <f>1/H124*((4*H94*10^3*H93/(H123*Input!H11*Input!H57^2))-1)</f>
        <v>0.73511317333333304</v>
      </c>
    </row>
    <row r="127" spans="1:9" ht="18.75" customHeight="1" x14ac:dyDescent="0.25">
      <c r="B127" s="57" t="s">
        <v>188</v>
      </c>
      <c r="H127" s="4"/>
    </row>
    <row r="128" spans="1:9" ht="18.75" customHeight="1" x14ac:dyDescent="0.25">
      <c r="A128" s="7"/>
      <c r="B128" s="60" t="s">
        <v>26</v>
      </c>
      <c r="C128" s="63" t="s">
        <v>197</v>
      </c>
      <c r="D128" s="61"/>
      <c r="E128" s="61"/>
      <c r="F128" s="61"/>
      <c r="G128" s="62" t="s">
        <v>189</v>
      </c>
      <c r="H128" s="45" t="str">
        <f>IF(H126&lt;=0,H94,"-")</f>
        <v>-</v>
      </c>
      <c r="I128" s="5" t="s">
        <v>13</v>
      </c>
    </row>
    <row r="129" spans="1:9" ht="18.75" customHeight="1" x14ac:dyDescent="0.25">
      <c r="A129" s="7"/>
      <c r="B129" s="60" t="s">
        <v>28</v>
      </c>
      <c r="C129" s="64" t="s">
        <v>201</v>
      </c>
      <c r="D129" s="61"/>
      <c r="E129" s="61"/>
      <c r="F129" s="61"/>
      <c r="G129" s="62" t="s">
        <v>190</v>
      </c>
      <c r="H129" s="45">
        <f>IF(AND(H126&gt;0,H126&lt;=1),(H94*10^3*H89/(H89+H93)+(H110*Input!H11*Input!H57^2)/(4*(H89+H93)))/10^3,"-")</f>
        <v>115.6216359375</v>
      </c>
      <c r="I129" s="5" t="s">
        <v>13</v>
      </c>
    </row>
    <row r="130" spans="1:9" ht="18.75" customHeight="1" x14ac:dyDescent="0.25">
      <c r="A130" s="7"/>
      <c r="B130" s="60" t="s">
        <v>187</v>
      </c>
      <c r="C130" s="63" t="s">
        <v>200</v>
      </c>
      <c r="D130" s="61"/>
      <c r="E130" s="61"/>
      <c r="F130" s="61"/>
      <c r="G130" s="62" t="s">
        <v>172</v>
      </c>
      <c r="H130" s="45" t="str">
        <f>IF(H126&gt;1,(1+H124)/(4*H93)*(H123*Input!H11*Input!H57^2)/10^3,"-")</f>
        <v>-</v>
      </c>
      <c r="I130" s="5" t="s">
        <v>13</v>
      </c>
    </row>
    <row r="131" spans="1:9" ht="18.75" customHeight="1" x14ac:dyDescent="0.25">
      <c r="B131" s="57"/>
      <c r="G131" s="58" t="s">
        <v>166</v>
      </c>
      <c r="H131" s="12">
        <f>MIN(H128:H130)</f>
        <v>115.6216359375</v>
      </c>
      <c r="I131" s="5" t="s">
        <v>13</v>
      </c>
    </row>
    <row r="132" spans="1:9" ht="18.75" customHeight="1" x14ac:dyDescent="0.25">
      <c r="B132" s="57"/>
      <c r="G132" s="58"/>
      <c r="H132" s="58"/>
    </row>
    <row r="133" spans="1:9" ht="18.75" customHeight="1" x14ac:dyDescent="0.25">
      <c r="B133" s="1" t="s">
        <v>207</v>
      </c>
      <c r="G133" s="4" t="s">
        <v>178</v>
      </c>
      <c r="H133" s="27">
        <f>2*H131</f>
        <v>231.243271875</v>
      </c>
      <c r="I133" s="5" t="s">
        <v>13</v>
      </c>
    </row>
    <row r="134" spans="1:9" ht="18.75" customHeight="1" x14ac:dyDescent="0.25">
      <c r="B134" s="26"/>
      <c r="H134" s="28"/>
    </row>
    <row r="135" spans="1:9" ht="18.75" customHeight="1" x14ac:dyDescent="0.25">
      <c r="B135" s="26" t="s">
        <v>179</v>
      </c>
      <c r="H135" s="28"/>
    </row>
    <row r="136" spans="1:9" ht="18.75" customHeight="1" x14ac:dyDescent="0.25">
      <c r="B136" s="1" t="s">
        <v>312</v>
      </c>
      <c r="G136" s="4" t="s">
        <v>203</v>
      </c>
      <c r="H136" s="12">
        <f>Input!H36+Input!H37/2</f>
        <v>87.5</v>
      </c>
      <c r="I136" s="5" t="s">
        <v>5</v>
      </c>
    </row>
    <row r="137" spans="1:9" ht="18.75" customHeight="1" x14ac:dyDescent="0.25">
      <c r="B137" s="1" t="s">
        <v>309</v>
      </c>
      <c r="G137" s="4" t="s">
        <v>204</v>
      </c>
      <c r="H137" s="10">
        <f>1-(H87/Process!H136)</f>
        <v>0.76</v>
      </c>
    </row>
    <row r="138" spans="1:9" ht="18.75" customHeight="1" x14ac:dyDescent="0.25">
      <c r="B138" s="1" t="s">
        <v>198</v>
      </c>
      <c r="H138" s="4"/>
    </row>
    <row r="139" spans="1:9" ht="18.75" customHeight="1" x14ac:dyDescent="0.25">
      <c r="G139" s="44" t="s">
        <v>164</v>
      </c>
      <c r="H139" s="12">
        <f>1/H137*((4*H94*10^3*H93/(H136*Input!H11*Input!H57^2))-1)</f>
        <v>0.40896408060150352</v>
      </c>
    </row>
    <row r="140" spans="1:9" ht="18.75" customHeight="1" x14ac:dyDescent="0.25">
      <c r="B140" s="57" t="s">
        <v>188</v>
      </c>
      <c r="H140" s="4"/>
    </row>
    <row r="141" spans="1:9" ht="18.75" customHeight="1" x14ac:dyDescent="0.25">
      <c r="A141" s="7"/>
      <c r="B141" s="60" t="s">
        <v>26</v>
      </c>
      <c r="C141" s="63" t="s">
        <v>197</v>
      </c>
      <c r="D141" s="61"/>
      <c r="E141" s="61"/>
      <c r="F141" s="61"/>
      <c r="G141" s="62" t="s">
        <v>189</v>
      </c>
      <c r="H141" s="45" t="str">
        <f>IF(H139&lt;=0,H94,"-")</f>
        <v>-</v>
      </c>
      <c r="I141" s="5" t="s">
        <v>13</v>
      </c>
    </row>
    <row r="142" spans="1:9" ht="18.75" customHeight="1" x14ac:dyDescent="0.25">
      <c r="A142" s="7"/>
      <c r="B142" s="60" t="s">
        <v>28</v>
      </c>
      <c r="C142" s="64" t="s">
        <v>201</v>
      </c>
      <c r="D142" s="61"/>
      <c r="E142" s="61"/>
      <c r="F142" s="61"/>
      <c r="G142" s="62" t="s">
        <v>190</v>
      </c>
      <c r="H142" s="45">
        <f>IF(AND(H139&gt;0,H139&lt;=1),(H94*10^3*H89/(H89+H93)+(H136*Input!H11*Input!H57^2)/(4*(H89+H93)))/10^3,"-")</f>
        <v>120.70789895833333</v>
      </c>
      <c r="I142" s="5" t="s">
        <v>13</v>
      </c>
    </row>
    <row r="143" spans="1:9" ht="18.75" customHeight="1" x14ac:dyDescent="0.25">
      <c r="A143" s="7"/>
      <c r="B143" s="60" t="s">
        <v>187</v>
      </c>
      <c r="C143" s="63" t="s">
        <v>200</v>
      </c>
      <c r="D143" s="61"/>
      <c r="E143" s="61"/>
      <c r="F143" s="61"/>
      <c r="G143" s="62" t="s">
        <v>172</v>
      </c>
      <c r="H143" s="45" t="str">
        <f>IF(H139&gt;1,(1+H137)/(4*H93)*(H136*Input!H11*Input!H57^2)/10^3,"-")</f>
        <v>-</v>
      </c>
      <c r="I143" s="5" t="s">
        <v>13</v>
      </c>
    </row>
    <row r="144" spans="1:9" ht="18.75" customHeight="1" x14ac:dyDescent="0.25">
      <c r="A144" s="7"/>
      <c r="B144" s="7"/>
      <c r="C144" s="65"/>
      <c r="G144" s="58" t="s">
        <v>166</v>
      </c>
      <c r="H144" s="10">
        <f>MIN(H141:H143)</f>
        <v>120.70789895833333</v>
      </c>
      <c r="I144" s="5" t="s">
        <v>13</v>
      </c>
    </row>
    <row r="145" spans="1:9" ht="18.75" customHeight="1" x14ac:dyDescent="0.25">
      <c r="A145" s="7"/>
      <c r="B145" s="7"/>
      <c r="C145" s="65"/>
      <c r="G145" s="58"/>
      <c r="H145" s="15"/>
    </row>
    <row r="146" spans="1:9" ht="18.75" customHeight="1" x14ac:dyDescent="0.25">
      <c r="B146" s="1" t="s">
        <v>206</v>
      </c>
      <c r="G146" s="4" t="s">
        <v>180</v>
      </c>
      <c r="H146" s="27">
        <f>2*H144</f>
        <v>241.41579791666666</v>
      </c>
      <c r="I146" s="5" t="s">
        <v>13</v>
      </c>
    </row>
    <row r="147" spans="1:9" ht="18.75" customHeight="1" x14ac:dyDescent="0.25">
      <c r="H147" s="4"/>
    </row>
    <row r="148" spans="1:9" ht="18.75" customHeight="1" x14ac:dyDescent="0.25">
      <c r="B148" s="26"/>
      <c r="H148" s="28"/>
    </row>
    <row r="149" spans="1:9" ht="18.75" customHeight="1" x14ac:dyDescent="0.25">
      <c r="B149" s="57" t="s">
        <v>181</v>
      </c>
      <c r="G149" s="44" t="s">
        <v>182</v>
      </c>
      <c r="H149" s="12">
        <f>H42*((H107*Process!H20)+(H120*Process!H21)+(H133*Process!H22)+(H146*Process!H23))/10^3</f>
        <v>287.1403848984375</v>
      </c>
      <c r="I149" s="5" t="s">
        <v>12</v>
      </c>
    </row>
    <row r="150" spans="1:9" ht="18.75" customHeight="1" x14ac:dyDescent="0.25">
      <c r="B150" s="1" t="s">
        <v>109</v>
      </c>
      <c r="H150" s="28"/>
    </row>
    <row r="151" spans="1:9" ht="18.75" customHeight="1" x14ac:dyDescent="0.25">
      <c r="B151" s="1" t="s">
        <v>90</v>
      </c>
      <c r="D151" s="3" t="s">
        <v>94</v>
      </c>
      <c r="E151" s="3" t="s">
        <v>91</v>
      </c>
      <c r="F151" s="37" t="s">
        <v>95</v>
      </c>
      <c r="H151" s="28"/>
    </row>
    <row r="152" spans="1:9" ht="18.75" customHeight="1" x14ac:dyDescent="0.25">
      <c r="D152" s="45">
        <f>H44</f>
        <v>277.76563199999998</v>
      </c>
      <c r="E152" s="3" t="str">
        <f>IF(D152&lt;F152,"≤","&gt;")</f>
        <v>≤</v>
      </c>
      <c r="F152" s="45">
        <f>H149</f>
        <v>287.1403848984375</v>
      </c>
      <c r="G152" s="11" t="s">
        <v>31</v>
      </c>
      <c r="H152" s="7" t="str">
        <f>IF(D152&lt;F152,"[ OK ]","[ NOT OK ]")</f>
        <v>[ OK ]</v>
      </c>
    </row>
    <row r="154" spans="1:9" ht="18.75" customHeight="1" x14ac:dyDescent="0.25">
      <c r="A154" s="38" t="s">
        <v>210</v>
      </c>
      <c r="B154" s="39" t="s">
        <v>212</v>
      </c>
      <c r="C154" s="40"/>
      <c r="D154" s="40"/>
      <c r="E154" s="40"/>
      <c r="F154" s="40"/>
      <c r="G154" s="41"/>
      <c r="H154" s="42"/>
      <c r="I154" s="43"/>
    </row>
    <row r="155" spans="1:9" ht="18.75" customHeight="1" x14ac:dyDescent="0.25">
      <c r="A155" s="18" t="s">
        <v>211</v>
      </c>
      <c r="B155" s="19" t="s">
        <v>297</v>
      </c>
      <c r="C155" s="20"/>
      <c r="D155" s="20"/>
      <c r="E155" s="20"/>
      <c r="F155" s="20"/>
      <c r="G155" s="21"/>
      <c r="H155" s="22"/>
      <c r="I155" s="23"/>
    </row>
    <row r="156" spans="1:9" ht="18.75" customHeight="1" x14ac:dyDescent="0.25">
      <c r="B156" s="1" t="s">
        <v>217</v>
      </c>
      <c r="G156" s="44" t="s">
        <v>89</v>
      </c>
      <c r="H156" s="12">
        <f>Input!H56</f>
        <v>19</v>
      </c>
      <c r="I156" s="5" t="s">
        <v>5</v>
      </c>
    </row>
    <row r="157" spans="1:9" ht="18.75" customHeight="1" x14ac:dyDescent="0.25">
      <c r="B157" s="1" t="s">
        <v>193</v>
      </c>
      <c r="D157" s="28"/>
      <c r="E157" s="3"/>
      <c r="F157" s="28"/>
      <c r="G157" s="58" t="s">
        <v>194</v>
      </c>
      <c r="H157" s="12">
        <f>H156+2</f>
        <v>21</v>
      </c>
      <c r="I157" s="5" t="s">
        <v>5</v>
      </c>
    </row>
    <row r="158" spans="1:9" ht="18.75" customHeight="1" x14ac:dyDescent="0.25">
      <c r="B158" s="1" t="s">
        <v>218</v>
      </c>
      <c r="G158" s="44" t="s">
        <v>219</v>
      </c>
      <c r="H158" s="12">
        <f>Input!H57</f>
        <v>25</v>
      </c>
      <c r="I158" s="5" t="s">
        <v>5</v>
      </c>
    </row>
    <row r="159" spans="1:9" ht="18.600000000000001" customHeight="1" x14ac:dyDescent="0.25">
      <c r="B159" s="1" t="s">
        <v>313</v>
      </c>
      <c r="G159" s="44" t="s">
        <v>237</v>
      </c>
      <c r="H159" s="12">
        <f>Input!H12</f>
        <v>370</v>
      </c>
      <c r="I159" s="5" t="s">
        <v>88</v>
      </c>
    </row>
    <row r="160" spans="1:9" ht="18.75" customHeight="1" x14ac:dyDescent="0.25">
      <c r="G160" s="44"/>
      <c r="H160" s="28"/>
    </row>
    <row r="161" spans="1:9" ht="18.75" customHeight="1" x14ac:dyDescent="0.25">
      <c r="B161" s="1" t="s">
        <v>220</v>
      </c>
      <c r="G161" s="1"/>
      <c r="H161" s="44" t="s">
        <v>241</v>
      </c>
    </row>
    <row r="162" spans="1:9" ht="18.75" customHeight="1" x14ac:dyDescent="0.25">
      <c r="B162" s="1" t="s">
        <v>221</v>
      </c>
      <c r="G162" s="1"/>
      <c r="H162" s="4" t="s">
        <v>242</v>
      </c>
    </row>
    <row r="163" spans="1:9" ht="18.75" customHeight="1" x14ac:dyDescent="0.25">
      <c r="H163" s="28"/>
    </row>
    <row r="164" spans="1:9" ht="18.75" customHeight="1" x14ac:dyDescent="0.25">
      <c r="C164" s="92" t="s">
        <v>239</v>
      </c>
      <c r="D164" s="67" t="s">
        <v>240</v>
      </c>
      <c r="E164" s="67" t="s">
        <v>243</v>
      </c>
      <c r="F164" s="67" t="s">
        <v>244</v>
      </c>
      <c r="G164" s="66" t="s">
        <v>245</v>
      </c>
      <c r="H164" s="28"/>
    </row>
    <row r="165" spans="1:9" ht="18.75" customHeight="1" x14ac:dyDescent="0.25">
      <c r="C165" s="92"/>
      <c r="D165" s="68" t="s">
        <v>17</v>
      </c>
      <c r="E165" s="68" t="s">
        <v>238</v>
      </c>
      <c r="F165" s="68" t="s">
        <v>17</v>
      </c>
      <c r="G165" s="66" t="s">
        <v>238</v>
      </c>
    </row>
    <row r="166" spans="1:9" ht="18.75" customHeight="1" x14ac:dyDescent="0.25">
      <c r="C166" s="9">
        <v>1</v>
      </c>
      <c r="D166" s="12">
        <f>Input!H36-Process!H157</f>
        <v>29</v>
      </c>
      <c r="E166" s="8">
        <f>1.2*D166*$H$158*$H$159/10^3</f>
        <v>321.89999999999992</v>
      </c>
      <c r="F166" s="8">
        <f>2.4*$H$156*$H$158*$H$159/10^3</f>
        <v>421.8</v>
      </c>
      <c r="G166" s="69">
        <f>MIN(E166:F166)</f>
        <v>321.89999999999992</v>
      </c>
    </row>
    <row r="167" spans="1:9" ht="18.75" customHeight="1" x14ac:dyDescent="0.25">
      <c r="C167" s="9">
        <v>2</v>
      </c>
      <c r="D167" s="12">
        <f>Input!H37-Process!H157</f>
        <v>54</v>
      </c>
      <c r="E167" s="8">
        <f>1.2*D167*$H$158*$H$159/10^3</f>
        <v>599.4</v>
      </c>
      <c r="F167" s="8">
        <f t="shared" ref="F167:F170" si="0">2.4*$H$156*$H$158*$H$159/10^3</f>
        <v>421.8</v>
      </c>
      <c r="G167" s="69">
        <f t="shared" ref="G167:G170" si="1">MIN(E167:F167)</f>
        <v>421.8</v>
      </c>
    </row>
    <row r="168" spans="1:9" ht="18.75" customHeight="1" x14ac:dyDescent="0.25">
      <c r="C168" s="9">
        <v>3</v>
      </c>
      <c r="D168" s="12">
        <f>Input!H37-Process!H157</f>
        <v>54</v>
      </c>
      <c r="E168" s="8">
        <f>1.2*D168*$H$158*$H$159/10^3</f>
        <v>599.4</v>
      </c>
      <c r="F168" s="8">
        <f t="shared" si="0"/>
        <v>421.8</v>
      </c>
      <c r="G168" s="69">
        <f t="shared" si="1"/>
        <v>421.8</v>
      </c>
    </row>
    <row r="169" spans="1:9" ht="18.75" customHeight="1" x14ac:dyDescent="0.25">
      <c r="C169" s="9">
        <v>4</v>
      </c>
      <c r="D169" s="12">
        <f>Input!H37-Process!H157</f>
        <v>54</v>
      </c>
      <c r="E169" s="8">
        <f>1.2*D169*$H$158*$H$159/10^3</f>
        <v>599.4</v>
      </c>
      <c r="F169" s="8">
        <f t="shared" si="0"/>
        <v>421.8</v>
      </c>
      <c r="G169" s="69">
        <f t="shared" si="1"/>
        <v>421.8</v>
      </c>
    </row>
    <row r="170" spans="1:9" ht="18.75" customHeight="1" x14ac:dyDescent="0.25">
      <c r="C170" s="9">
        <v>5</v>
      </c>
      <c r="D170" s="12">
        <f>Input!H38-Process!H157</f>
        <v>154</v>
      </c>
      <c r="E170" s="8">
        <f>1.2*D170*$H$158*$H$159/10^3</f>
        <v>1709.4</v>
      </c>
      <c r="F170" s="8">
        <f t="shared" si="0"/>
        <v>421.8</v>
      </c>
      <c r="G170" s="69">
        <f t="shared" si="1"/>
        <v>421.8</v>
      </c>
    </row>
    <row r="171" spans="1:9" ht="18.75" customHeight="1" x14ac:dyDescent="0.25">
      <c r="C171" s="93" t="s">
        <v>247</v>
      </c>
      <c r="D171" s="93"/>
      <c r="E171" s="93"/>
      <c r="F171" s="70" t="s">
        <v>289</v>
      </c>
      <c r="G171" s="69">
        <f>SUM(G166:G170)*2</f>
        <v>4018.2</v>
      </c>
    </row>
    <row r="173" spans="1:9" ht="18.75" customHeight="1" x14ac:dyDescent="0.25">
      <c r="A173" s="18" t="s">
        <v>213</v>
      </c>
      <c r="B173" s="19" t="s">
        <v>214</v>
      </c>
      <c r="C173" s="20"/>
      <c r="D173" s="20"/>
      <c r="E173" s="20"/>
      <c r="F173" s="20"/>
      <c r="G173" s="21"/>
      <c r="H173" s="22"/>
      <c r="I173" s="23"/>
    </row>
    <row r="174" spans="1:9" ht="18.75" customHeight="1" x14ac:dyDescent="0.25">
      <c r="B174" s="1" t="s">
        <v>217</v>
      </c>
      <c r="G174" s="44" t="s">
        <v>89</v>
      </c>
      <c r="H174" s="12">
        <f>Input!H56</f>
        <v>19</v>
      </c>
      <c r="I174" s="5" t="s">
        <v>5</v>
      </c>
    </row>
    <row r="175" spans="1:9" ht="18.75" customHeight="1" x14ac:dyDescent="0.25">
      <c r="B175" s="1" t="s">
        <v>222</v>
      </c>
      <c r="G175" s="44" t="s">
        <v>223</v>
      </c>
      <c r="H175" s="12">
        <f>10</f>
        <v>10</v>
      </c>
      <c r="I175" s="5" t="s">
        <v>224</v>
      </c>
    </row>
    <row r="176" spans="1:9" ht="18.75" customHeight="1" x14ac:dyDescent="0.25">
      <c r="B176" s="1" t="s">
        <v>246</v>
      </c>
      <c r="G176" s="4" t="s">
        <v>83</v>
      </c>
      <c r="H176" s="12">
        <f>Input!H16</f>
        <v>372</v>
      </c>
      <c r="I176" s="5" t="s">
        <v>9</v>
      </c>
    </row>
    <row r="177" spans="1:9" ht="18.75" customHeight="1" x14ac:dyDescent="0.25">
      <c r="B177" s="1" t="s">
        <v>225</v>
      </c>
      <c r="G177" s="44" t="s">
        <v>226</v>
      </c>
      <c r="H177" s="12">
        <f>(H175*Input!H16*1/4*3.14*Input!H56^2)/10^3</f>
        <v>1054.1922000000002</v>
      </c>
      <c r="I177" s="5" t="s">
        <v>13</v>
      </c>
    </row>
    <row r="179" spans="1:9" ht="18.75" customHeight="1" x14ac:dyDescent="0.25">
      <c r="A179" s="18" t="s">
        <v>215</v>
      </c>
      <c r="B179" s="19" t="s">
        <v>216</v>
      </c>
      <c r="C179" s="20"/>
      <c r="D179" s="20"/>
      <c r="E179" s="20"/>
      <c r="F179" s="20"/>
      <c r="G179" s="21"/>
      <c r="H179" s="22"/>
      <c r="I179" s="23"/>
    </row>
    <row r="180" spans="1:9" ht="18.75" customHeight="1" x14ac:dyDescent="0.25">
      <c r="B180" s="1" t="s">
        <v>267</v>
      </c>
      <c r="G180" s="44" t="s">
        <v>266</v>
      </c>
      <c r="H180" s="12">
        <f>MIN(Input!H8,Input!H11)</f>
        <v>240</v>
      </c>
      <c r="I180" s="5" t="s">
        <v>9</v>
      </c>
    </row>
    <row r="181" spans="1:9" ht="18.75" customHeight="1" x14ac:dyDescent="0.25">
      <c r="B181" s="1" t="s">
        <v>268</v>
      </c>
      <c r="G181" s="44" t="s">
        <v>263</v>
      </c>
      <c r="H181" s="12">
        <f>MIN(Input!H9,Input!H12)</f>
        <v>370</v>
      </c>
      <c r="I181" s="5" t="s">
        <v>9</v>
      </c>
    </row>
    <row r="182" spans="1:9" ht="18.75" customHeight="1" x14ac:dyDescent="0.25">
      <c r="B182" s="1" t="s">
        <v>217</v>
      </c>
      <c r="G182" s="44" t="s">
        <v>89</v>
      </c>
      <c r="H182" s="12">
        <f>Input!H56</f>
        <v>19</v>
      </c>
      <c r="I182" s="5" t="s">
        <v>5</v>
      </c>
    </row>
    <row r="183" spans="1:9" ht="18.75" customHeight="1" x14ac:dyDescent="0.25">
      <c r="B183" s="1" t="s">
        <v>193</v>
      </c>
      <c r="D183" s="28"/>
      <c r="E183" s="3"/>
      <c r="F183" s="28"/>
      <c r="G183" s="58" t="s">
        <v>194</v>
      </c>
      <c r="H183" s="12">
        <f>H182+2</f>
        <v>21</v>
      </c>
      <c r="I183" s="5" t="s">
        <v>5</v>
      </c>
    </row>
    <row r="184" spans="1:9" ht="18.75" customHeight="1" x14ac:dyDescent="0.25">
      <c r="B184" s="1" t="s">
        <v>269</v>
      </c>
      <c r="G184" s="4" t="s">
        <v>254</v>
      </c>
      <c r="H184" s="12" cm="1">
        <f t="array" ref="H184">_xlfn.IFS(Input!H4=Input!H7,IF(Input!G34="KOLOM SUMBU KUAT",MIN(Input!H53,Input!H57),MIN(Input!H52,Input!H57)),Input!H9&lt;Input!H12,IF(Input!G34="KOLOM SUMBU KUAT",Input!H53,Input!H52),Input!H9&gt;Input!H12,Input!H57)</f>
        <v>13</v>
      </c>
      <c r="I184" s="5" t="s">
        <v>5</v>
      </c>
    </row>
    <row r="185" spans="1:9" ht="18.75" customHeight="1" x14ac:dyDescent="0.25">
      <c r="B185" s="1" t="s">
        <v>249</v>
      </c>
      <c r="G185" s="4" t="s">
        <v>258</v>
      </c>
      <c r="H185" s="12">
        <f>((Input!H36+3*Input!H37+Input!H38))*H184</f>
        <v>5850</v>
      </c>
      <c r="I185" s="5" t="s">
        <v>38</v>
      </c>
    </row>
    <row r="186" spans="1:9" ht="18.75" customHeight="1" x14ac:dyDescent="0.25">
      <c r="B186" s="1" t="s">
        <v>248</v>
      </c>
      <c r="G186" s="4" t="s">
        <v>259</v>
      </c>
      <c r="H186" s="12">
        <f>(H185-(H183*4.5)*H184)</f>
        <v>4621.5</v>
      </c>
      <c r="I186" s="5" t="s">
        <v>38</v>
      </c>
    </row>
    <row r="187" spans="1:9" ht="18.75" customHeight="1" x14ac:dyDescent="0.25">
      <c r="B187" s="1" t="s">
        <v>256</v>
      </c>
      <c r="G187" s="4" t="s">
        <v>260</v>
      </c>
      <c r="H187" s="12">
        <f>((Input!H39-Input!H40)/2)*H184</f>
        <v>682.5</v>
      </c>
      <c r="I187" s="5" t="s">
        <v>257</v>
      </c>
    </row>
    <row r="188" spans="1:9" ht="18.75" customHeight="1" x14ac:dyDescent="0.25">
      <c r="B188" s="1" t="s">
        <v>250</v>
      </c>
      <c r="G188" s="4" t="s">
        <v>261</v>
      </c>
      <c r="H188" s="12">
        <f>H187-0.5*H183*H184</f>
        <v>546</v>
      </c>
      <c r="I188" s="5" t="s">
        <v>38</v>
      </c>
    </row>
    <row r="189" spans="1:9" ht="18.75" customHeight="1" x14ac:dyDescent="0.25">
      <c r="B189" s="1" t="s">
        <v>251</v>
      </c>
      <c r="G189" s="4" t="s">
        <v>252</v>
      </c>
      <c r="H189" s="12">
        <v>1</v>
      </c>
    </row>
    <row r="191" spans="1:9" ht="18.75" customHeight="1" x14ac:dyDescent="0.25">
      <c r="B191" s="1" t="s">
        <v>262</v>
      </c>
    </row>
    <row r="192" spans="1:9" ht="18.75" customHeight="1" x14ac:dyDescent="0.25">
      <c r="G192" s="44" t="s">
        <v>270</v>
      </c>
      <c r="H192" s="12">
        <f>(0.6*H181*H186+(H189*H181*H188))/10^3</f>
        <v>1227.9929999999999</v>
      </c>
      <c r="I192" s="5" t="s">
        <v>13</v>
      </c>
    </row>
    <row r="193" spans="1:9" ht="18.75" customHeight="1" x14ac:dyDescent="0.25">
      <c r="B193" s="1" t="s">
        <v>272</v>
      </c>
    </row>
    <row r="194" spans="1:9" ht="18.75" customHeight="1" x14ac:dyDescent="0.25">
      <c r="G194" s="44" t="s">
        <v>271</v>
      </c>
      <c r="H194" s="12">
        <f>(0.6*H180*H185+(H189*H181*H188))/10^3</f>
        <v>1044.42</v>
      </c>
      <c r="I194" s="5" t="s">
        <v>13</v>
      </c>
    </row>
    <row r="195" spans="1:9" ht="18.75" customHeight="1" x14ac:dyDescent="0.25">
      <c r="B195" s="1" t="s">
        <v>262</v>
      </c>
      <c r="G195" s="44" t="s">
        <v>273</v>
      </c>
      <c r="H195" s="12">
        <f>MIN(H192:H194)</f>
        <v>1044.42</v>
      </c>
      <c r="I195" s="5" t="s">
        <v>13</v>
      </c>
    </row>
    <row r="196" spans="1:9" ht="18.75" customHeight="1" x14ac:dyDescent="0.25">
      <c r="B196" s="1" t="s">
        <v>274</v>
      </c>
      <c r="G196" s="44" t="s">
        <v>228</v>
      </c>
      <c r="H196" s="12">
        <f>MIN(H194:H195)*2</f>
        <v>2088.84</v>
      </c>
      <c r="I196" s="5" t="s">
        <v>13</v>
      </c>
    </row>
    <row r="198" spans="1:9" ht="18.75" customHeight="1" x14ac:dyDescent="0.25">
      <c r="A198" s="18" t="s">
        <v>236</v>
      </c>
      <c r="B198" s="19" t="s">
        <v>227</v>
      </c>
      <c r="C198" s="20"/>
      <c r="D198" s="20"/>
      <c r="E198" s="20"/>
      <c r="F198" s="20"/>
      <c r="G198" s="21"/>
      <c r="H198" s="22"/>
      <c r="I198" s="23"/>
    </row>
    <row r="199" spans="1:9" ht="18.75" customHeight="1" x14ac:dyDescent="0.25">
      <c r="B199" s="1" t="s">
        <v>220</v>
      </c>
      <c r="G199" s="44" t="s">
        <v>228</v>
      </c>
      <c r="H199" s="12">
        <f>G171</f>
        <v>4018.2</v>
      </c>
      <c r="I199" s="5" t="s">
        <v>13</v>
      </c>
    </row>
    <row r="200" spans="1:9" ht="18.75" customHeight="1" x14ac:dyDescent="0.25">
      <c r="B200" s="1" t="s">
        <v>229</v>
      </c>
      <c r="G200" s="44" t="s">
        <v>228</v>
      </c>
      <c r="H200" s="12">
        <f>H177</f>
        <v>1054.1922000000002</v>
      </c>
      <c r="I200" s="5" t="s">
        <v>13</v>
      </c>
    </row>
    <row r="201" spans="1:9" ht="18.75" customHeight="1" x14ac:dyDescent="0.25">
      <c r="B201" s="1" t="s">
        <v>230</v>
      </c>
      <c r="G201" s="44" t="s">
        <v>228</v>
      </c>
      <c r="H201" s="12">
        <f>H196</f>
        <v>2088.84</v>
      </c>
      <c r="I201" s="5" t="s">
        <v>13</v>
      </c>
    </row>
    <row r="203" spans="1:9" ht="18.75" customHeight="1" x14ac:dyDescent="0.25">
      <c r="B203" s="1" t="s">
        <v>231</v>
      </c>
      <c r="G203" s="44" t="s">
        <v>228</v>
      </c>
      <c r="H203" s="12">
        <f>MIN(H199:H201)</f>
        <v>1054.1922000000002</v>
      </c>
      <c r="I203" s="5" t="s">
        <v>13</v>
      </c>
    </row>
    <row r="204" spans="1:9" ht="18.75" customHeight="1" x14ac:dyDescent="0.25">
      <c r="G204" s="44" t="s">
        <v>121</v>
      </c>
      <c r="H204" s="12">
        <v>0.75</v>
      </c>
    </row>
    <row r="205" spans="1:9" ht="18.75" customHeight="1" x14ac:dyDescent="0.25">
      <c r="B205" s="1" t="s">
        <v>232</v>
      </c>
      <c r="G205" s="44" t="s">
        <v>233</v>
      </c>
      <c r="H205" s="12">
        <f>H204*H203</f>
        <v>790.64415000000008</v>
      </c>
      <c r="I205" s="5" t="s">
        <v>13</v>
      </c>
    </row>
    <row r="206" spans="1:9" ht="18.75" customHeight="1" x14ac:dyDescent="0.25">
      <c r="B206" s="1" t="s">
        <v>234</v>
      </c>
      <c r="G206" s="44" t="s">
        <v>275</v>
      </c>
      <c r="H206" s="12">
        <v>1</v>
      </c>
      <c r="I206" s="5" t="s">
        <v>13</v>
      </c>
    </row>
    <row r="207" spans="1:9" ht="18.75" customHeight="1" x14ac:dyDescent="0.25">
      <c r="B207" s="1" t="s">
        <v>235</v>
      </c>
      <c r="H207" s="28"/>
    </row>
    <row r="208" spans="1:9" ht="18.75" customHeight="1" x14ac:dyDescent="0.25">
      <c r="B208" s="1" t="s">
        <v>90</v>
      </c>
      <c r="D208" s="77" t="s">
        <v>318</v>
      </c>
      <c r="E208" s="3" t="s">
        <v>91</v>
      </c>
      <c r="F208" s="78" t="s">
        <v>319</v>
      </c>
      <c r="H208" s="28"/>
    </row>
    <row r="209" spans="4:8" ht="18.75" customHeight="1" x14ac:dyDescent="0.25">
      <c r="D209" s="45">
        <f>H57</f>
        <v>401.24160000000001</v>
      </c>
      <c r="E209" s="3" t="str">
        <f>IF(D209&lt;F209,"≤","&gt;")</f>
        <v>≤</v>
      </c>
      <c r="F209" s="45">
        <f>H205</f>
        <v>790.64415000000008</v>
      </c>
      <c r="G209" s="11" t="s">
        <v>31</v>
      </c>
      <c r="H209" s="7" t="str">
        <f>IF(D209&lt;F209,"[ OK ]","[ NOT OK ]")</f>
        <v>[ OK ]</v>
      </c>
    </row>
  </sheetData>
  <mergeCells count="7">
    <mergeCell ref="G14:H14"/>
    <mergeCell ref="C164:C165"/>
    <mergeCell ref="C171:E171"/>
    <mergeCell ref="B1:F1"/>
    <mergeCell ref="B14:B15"/>
    <mergeCell ref="C14:D14"/>
    <mergeCell ref="E14:F14"/>
  </mergeCells>
  <phoneticPr fontId="3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C0CE2-E1B5-4D84-BB13-09BD2921EC04}">
  <sheetPr>
    <tabColor rgb="FF7030A0"/>
  </sheetPr>
  <dimension ref="A1:I308"/>
  <sheetViews>
    <sheetView showGridLines="0" view="pageLayout" zoomScaleNormal="100" workbookViewId="0">
      <selection sqref="A1:I1"/>
    </sheetView>
  </sheetViews>
  <sheetFormatPr defaultColWidth="9.140625" defaultRowHeight="18.75" customHeight="1" x14ac:dyDescent="0.25"/>
  <cols>
    <col min="1" max="1" width="4.42578125" style="7" bestFit="1" customWidth="1"/>
    <col min="2" max="8" width="10.42578125" style="1" customWidth="1"/>
    <col min="9" max="9" width="10" style="1" customWidth="1"/>
    <col min="10" max="16384" width="9.140625" style="1"/>
  </cols>
  <sheetData>
    <row r="1" spans="1:9" ht="18.75" customHeight="1" x14ac:dyDescent="0.25">
      <c r="A1" s="94" t="s">
        <v>62</v>
      </c>
      <c r="B1" s="94"/>
      <c r="C1" s="94"/>
      <c r="D1" s="94"/>
      <c r="E1" s="94"/>
      <c r="F1" s="94"/>
      <c r="G1" s="94"/>
      <c r="H1" s="94"/>
      <c r="I1" s="94"/>
    </row>
    <row r="2" spans="1:9" ht="18.75" customHeight="1" x14ac:dyDescent="0.25">
      <c r="A2" s="26"/>
      <c r="D2" s="7"/>
      <c r="E2" s="7"/>
      <c r="F2" s="7"/>
      <c r="G2" s="7"/>
      <c r="H2" s="7"/>
      <c r="I2" s="7"/>
    </row>
    <row r="3" spans="1:9" ht="56.25" customHeight="1" x14ac:dyDescent="0.25">
      <c r="A3" s="95"/>
      <c r="B3" s="95"/>
      <c r="C3" s="95"/>
      <c r="D3" s="6" t="s">
        <v>63</v>
      </c>
      <c r="F3" s="96" t="s">
        <v>320</v>
      </c>
      <c r="G3" s="97"/>
      <c r="H3" s="97"/>
      <c r="I3" s="98"/>
    </row>
    <row r="4" spans="1:9" ht="18.75" customHeight="1" x14ac:dyDescent="0.25">
      <c r="A4" s="95"/>
      <c r="B4" s="95"/>
      <c r="C4" s="95"/>
      <c r="D4" s="6" t="s">
        <v>64</v>
      </c>
      <c r="F4" s="99" t="s">
        <v>322</v>
      </c>
      <c r="G4" s="100"/>
      <c r="H4" s="100"/>
      <c r="I4" s="101"/>
    </row>
    <row r="5" spans="1:9" ht="18.75" customHeight="1" x14ac:dyDescent="0.25">
      <c r="A5" s="95"/>
      <c r="B5" s="95"/>
      <c r="C5" s="95"/>
      <c r="D5" s="6" t="s">
        <v>65</v>
      </c>
      <c r="F5" s="102" t="s">
        <v>84</v>
      </c>
      <c r="G5" s="100"/>
      <c r="H5" s="100"/>
      <c r="I5" s="101"/>
    </row>
    <row r="6" spans="1:9" ht="18.75" customHeight="1" x14ac:dyDescent="0.25">
      <c r="A6" s="95"/>
      <c r="B6" s="95"/>
      <c r="C6" s="95"/>
      <c r="D6" s="6" t="s">
        <v>66</v>
      </c>
      <c r="F6" s="103" t="s">
        <v>321</v>
      </c>
      <c r="G6" s="100"/>
      <c r="H6" s="100"/>
      <c r="I6" s="101"/>
    </row>
    <row r="7" spans="1:9" ht="18.75" customHeight="1" x14ac:dyDescent="0.25">
      <c r="A7" s="1"/>
    </row>
    <row r="8" spans="1:9" ht="18.75" customHeight="1" x14ac:dyDescent="0.25">
      <c r="A8" s="73" t="s">
        <v>39</v>
      </c>
      <c r="B8" s="39" t="s">
        <v>57</v>
      </c>
      <c r="C8" s="39"/>
      <c r="D8" s="39"/>
      <c r="E8" s="39"/>
      <c r="F8" s="39"/>
      <c r="G8" s="39"/>
      <c r="H8" s="39"/>
      <c r="I8" s="39"/>
    </row>
    <row r="9" spans="1:9" ht="18.75" customHeight="1" x14ac:dyDescent="0.25">
      <c r="A9" s="18" t="s">
        <v>58</v>
      </c>
      <c r="B9" s="19" t="s">
        <v>0</v>
      </c>
      <c r="C9" s="20"/>
      <c r="D9" s="20"/>
      <c r="E9" s="20"/>
      <c r="F9" s="20"/>
      <c r="G9" s="21"/>
      <c r="H9" s="22"/>
      <c r="I9" s="23"/>
    </row>
    <row r="10" spans="1:9" ht="18.75" customHeight="1" x14ac:dyDescent="0.25">
      <c r="A10" s="17"/>
      <c r="B10" s="1" t="s">
        <v>36</v>
      </c>
      <c r="G10" s="4"/>
      <c r="H10" s="79" t="str">
        <f>Input!H4</f>
        <v>BJ 37</v>
      </c>
      <c r="I10" s="5"/>
    </row>
    <row r="11" spans="1:9" ht="18.75" customHeight="1" x14ac:dyDescent="0.25">
      <c r="A11" s="17"/>
      <c r="B11" s="6" t="s">
        <v>1</v>
      </c>
      <c r="G11" s="4" t="s">
        <v>116</v>
      </c>
      <c r="H11" s="80">
        <f>Input!H5</f>
        <v>240</v>
      </c>
      <c r="I11" s="5" t="s">
        <v>9</v>
      </c>
    </row>
    <row r="12" spans="1:9" ht="18.75" customHeight="1" x14ac:dyDescent="0.25">
      <c r="A12" s="17"/>
      <c r="B12" s="6" t="s">
        <v>2</v>
      </c>
      <c r="G12" s="4" t="s">
        <v>117</v>
      </c>
      <c r="H12" s="80">
        <f>Input!H6</f>
        <v>370</v>
      </c>
      <c r="I12" s="5" t="s">
        <v>9</v>
      </c>
    </row>
    <row r="13" spans="1:9" ht="18.75" customHeight="1" x14ac:dyDescent="0.25">
      <c r="A13" s="17"/>
      <c r="B13" s="1" t="s">
        <v>37</v>
      </c>
      <c r="G13" s="4"/>
      <c r="H13" s="79" t="str">
        <f>Input!H7</f>
        <v>BJ 37</v>
      </c>
      <c r="I13" s="5"/>
    </row>
    <row r="14" spans="1:9" ht="18.75" customHeight="1" x14ac:dyDescent="0.25">
      <c r="A14" s="17"/>
      <c r="B14" s="6" t="s">
        <v>1</v>
      </c>
      <c r="G14" s="4" t="s">
        <v>264</v>
      </c>
      <c r="H14" s="80">
        <f>Input!H8</f>
        <v>240</v>
      </c>
      <c r="I14" s="5" t="s">
        <v>9</v>
      </c>
    </row>
    <row r="15" spans="1:9" ht="18.75" customHeight="1" x14ac:dyDescent="0.25">
      <c r="A15" s="17"/>
      <c r="B15" s="6" t="s">
        <v>2</v>
      </c>
      <c r="G15" s="4" t="s">
        <v>265</v>
      </c>
      <c r="H15" s="80">
        <f>Input!H9</f>
        <v>370</v>
      </c>
      <c r="I15" s="5" t="s">
        <v>9</v>
      </c>
    </row>
    <row r="16" spans="1:9" ht="18.75" customHeight="1" x14ac:dyDescent="0.25">
      <c r="A16" s="17"/>
      <c r="B16" s="1" t="s">
        <v>85</v>
      </c>
      <c r="G16" s="4"/>
      <c r="H16" s="79" t="str">
        <f>Input!H10</f>
        <v>BJ 37</v>
      </c>
      <c r="I16" s="5"/>
    </row>
    <row r="17" spans="1:9" ht="18.75" customHeight="1" x14ac:dyDescent="0.25">
      <c r="A17" s="17"/>
      <c r="B17" s="6" t="s">
        <v>86</v>
      </c>
      <c r="G17" s="4" t="s">
        <v>114</v>
      </c>
      <c r="H17" s="80">
        <f>Input!H11</f>
        <v>250</v>
      </c>
      <c r="I17" s="5" t="s">
        <v>9</v>
      </c>
    </row>
    <row r="18" spans="1:9" ht="18.75" customHeight="1" x14ac:dyDescent="0.25">
      <c r="A18" s="17"/>
      <c r="B18" s="6" t="s">
        <v>87</v>
      </c>
      <c r="G18" s="4" t="s">
        <v>115</v>
      </c>
      <c r="H18" s="80">
        <f>Input!H12</f>
        <v>370</v>
      </c>
      <c r="I18" s="5" t="s">
        <v>9</v>
      </c>
    </row>
    <row r="19" spans="1:9" ht="18.75" customHeight="1" x14ac:dyDescent="0.25">
      <c r="A19" s="17"/>
      <c r="B19" s="2" t="s">
        <v>32</v>
      </c>
      <c r="G19" s="4" t="s">
        <v>33</v>
      </c>
      <c r="H19" s="80">
        <f>Input!H13</f>
        <v>200000</v>
      </c>
      <c r="I19" s="5" t="s">
        <v>9</v>
      </c>
    </row>
    <row r="20" spans="1:9" ht="18.75" customHeight="1" x14ac:dyDescent="0.25">
      <c r="A20" s="17"/>
      <c r="B20" s="1" t="s">
        <v>80</v>
      </c>
      <c r="G20" s="4"/>
      <c r="H20" s="80" t="str">
        <f>Input!H14</f>
        <v>A325</v>
      </c>
      <c r="I20" s="5"/>
    </row>
    <row r="21" spans="1:9" ht="18.75" customHeight="1" x14ac:dyDescent="0.25">
      <c r="A21" s="17"/>
      <c r="B21" s="6" t="s">
        <v>120</v>
      </c>
      <c r="G21" s="4" t="s">
        <v>82</v>
      </c>
      <c r="H21" s="80">
        <f>Input!H15</f>
        <v>620</v>
      </c>
      <c r="I21" s="5" t="s">
        <v>9</v>
      </c>
    </row>
    <row r="22" spans="1:9" ht="18.75" customHeight="1" x14ac:dyDescent="0.25">
      <c r="A22" s="17"/>
      <c r="B22" s="6" t="s">
        <v>30</v>
      </c>
      <c r="G22" s="4" t="s">
        <v>83</v>
      </c>
      <c r="H22" s="80">
        <f>Input!H16</f>
        <v>372</v>
      </c>
      <c r="I22" s="5" t="s">
        <v>9</v>
      </c>
    </row>
    <row r="23" spans="1:9" ht="18.75" customHeight="1" x14ac:dyDescent="0.25">
      <c r="A23" s="17"/>
      <c r="G23" s="4"/>
      <c r="H23" s="3"/>
      <c r="I23" s="5"/>
    </row>
    <row r="24" spans="1:9" ht="18.75" customHeight="1" x14ac:dyDescent="0.25">
      <c r="A24" s="17"/>
      <c r="G24" s="4"/>
      <c r="H24" s="3"/>
      <c r="I24" s="5"/>
    </row>
    <row r="25" spans="1:9" ht="18.75" customHeight="1" x14ac:dyDescent="0.25">
      <c r="A25" s="17"/>
      <c r="G25" s="4"/>
      <c r="H25" s="3"/>
      <c r="I25" s="5"/>
    </row>
    <row r="26" spans="1:9" ht="18.75" customHeight="1" x14ac:dyDescent="0.25">
      <c r="A26" s="17"/>
      <c r="G26" s="4"/>
      <c r="H26" s="3"/>
      <c r="I26" s="5"/>
    </row>
    <row r="27" spans="1:9" ht="18.75" customHeight="1" x14ac:dyDescent="0.25">
      <c r="A27" s="17"/>
      <c r="G27" s="4"/>
      <c r="H27" s="3"/>
      <c r="I27" s="5"/>
    </row>
    <row r="28" spans="1:9" ht="18.75" customHeight="1" x14ac:dyDescent="0.25">
      <c r="A28" s="17"/>
      <c r="G28" s="4"/>
      <c r="H28" s="3"/>
      <c r="I28" s="5"/>
    </row>
    <row r="29" spans="1:9" ht="18.75" customHeight="1" x14ac:dyDescent="0.25">
      <c r="A29" s="17"/>
      <c r="G29" s="4"/>
      <c r="H29" s="3"/>
      <c r="I29" s="5"/>
    </row>
    <row r="30" spans="1:9" ht="18.75" customHeight="1" x14ac:dyDescent="0.25">
      <c r="A30" s="17"/>
      <c r="G30" s="4"/>
      <c r="H30" s="3"/>
      <c r="I30" s="5"/>
    </row>
    <row r="31" spans="1:9" ht="18.75" customHeight="1" x14ac:dyDescent="0.25">
      <c r="A31" s="17"/>
      <c r="G31" s="4"/>
      <c r="H31" s="3"/>
      <c r="I31" s="5"/>
    </row>
    <row r="32" spans="1:9" ht="18.75" customHeight="1" x14ac:dyDescent="0.25">
      <c r="A32" s="17"/>
      <c r="G32" s="4"/>
      <c r="H32" s="3"/>
      <c r="I32" s="5"/>
    </row>
    <row r="33" spans="1:9" ht="18.75" customHeight="1" x14ac:dyDescent="0.25">
      <c r="A33" s="17"/>
      <c r="G33" s="4"/>
      <c r="H33" s="3"/>
      <c r="I33" s="5"/>
    </row>
    <row r="34" spans="1:9" ht="18.75" customHeight="1" x14ac:dyDescent="0.25">
      <c r="A34" s="17"/>
      <c r="G34" s="4"/>
      <c r="H34" s="3"/>
      <c r="I34" s="5"/>
    </row>
    <row r="35" spans="1:9" ht="18.75" customHeight="1" x14ac:dyDescent="0.25">
      <c r="A35" s="17"/>
      <c r="G35" s="4"/>
      <c r="H35" s="3"/>
      <c r="I35" s="5"/>
    </row>
    <row r="36" spans="1:9" ht="18.75" customHeight="1" x14ac:dyDescent="0.25">
      <c r="A36" s="18" t="s">
        <v>59</v>
      </c>
      <c r="B36" s="19" t="s">
        <v>6</v>
      </c>
      <c r="C36" s="20"/>
      <c r="D36" s="20"/>
      <c r="E36" s="20"/>
      <c r="F36" s="20"/>
      <c r="G36" s="21"/>
      <c r="H36" s="22"/>
      <c r="I36" s="23"/>
    </row>
    <row r="37" spans="1:9" ht="18.75" customHeight="1" x14ac:dyDescent="0.25">
      <c r="A37" s="24"/>
      <c r="B37" s="14"/>
      <c r="C37" s="14"/>
      <c r="D37" s="14"/>
      <c r="E37" s="14"/>
      <c r="F37" s="14"/>
      <c r="G37" s="13"/>
      <c r="H37" s="24"/>
      <c r="I37" s="25"/>
    </row>
    <row r="38" spans="1:9" ht="18.75" customHeight="1" x14ac:dyDescent="0.25">
      <c r="A38" s="24"/>
      <c r="B38" s="14"/>
      <c r="C38" s="14"/>
      <c r="D38" s="14"/>
      <c r="E38" s="14"/>
      <c r="F38" s="14"/>
      <c r="G38" s="13"/>
      <c r="H38" s="24"/>
      <c r="I38" s="25"/>
    </row>
    <row r="39" spans="1:9" ht="18.75" customHeight="1" x14ac:dyDescent="0.25">
      <c r="A39" s="24"/>
      <c r="B39" s="14"/>
      <c r="C39" s="14"/>
      <c r="D39" s="14"/>
      <c r="E39" s="14"/>
      <c r="F39" s="14"/>
      <c r="G39" s="13"/>
      <c r="H39" s="24"/>
      <c r="I39" s="25"/>
    </row>
    <row r="40" spans="1:9" ht="18.75" customHeight="1" x14ac:dyDescent="0.25">
      <c r="A40" s="24"/>
      <c r="B40" s="14"/>
      <c r="C40" s="14"/>
      <c r="D40" s="14"/>
      <c r="E40" s="14"/>
      <c r="F40" s="14"/>
      <c r="G40" s="13"/>
      <c r="H40" s="24"/>
      <c r="I40" s="25"/>
    </row>
    <row r="41" spans="1:9" ht="18.75" customHeight="1" x14ac:dyDescent="0.25">
      <c r="A41" s="24"/>
      <c r="B41" s="14"/>
      <c r="C41" s="14"/>
      <c r="D41" s="14"/>
      <c r="E41" s="14"/>
      <c r="F41" s="14"/>
      <c r="G41" s="13"/>
      <c r="H41" s="24"/>
      <c r="I41" s="25"/>
    </row>
    <row r="42" spans="1:9" ht="18.75" customHeight="1" x14ac:dyDescent="0.25">
      <c r="A42" s="24"/>
      <c r="B42" s="14"/>
      <c r="C42" s="14"/>
      <c r="D42" s="14"/>
      <c r="E42" s="14"/>
      <c r="F42" s="14"/>
      <c r="G42" s="13"/>
      <c r="H42" s="24"/>
      <c r="I42" s="25"/>
    </row>
    <row r="43" spans="1:9" ht="18.75" customHeight="1" x14ac:dyDescent="0.25">
      <c r="A43" s="24"/>
      <c r="B43" s="14"/>
      <c r="C43" s="14"/>
      <c r="D43" s="14"/>
      <c r="E43" s="14"/>
      <c r="F43" s="14"/>
      <c r="G43" s="13"/>
      <c r="H43" s="24"/>
      <c r="I43" s="25"/>
    </row>
    <row r="44" spans="1:9" ht="18.75" customHeight="1" x14ac:dyDescent="0.25">
      <c r="A44" s="24"/>
      <c r="B44" s="14"/>
      <c r="C44" s="14"/>
      <c r="D44" s="14"/>
      <c r="E44" s="14"/>
      <c r="F44" s="14"/>
      <c r="G44" s="13"/>
      <c r="H44" s="24"/>
      <c r="I44" s="25"/>
    </row>
    <row r="45" spans="1:9" ht="18.75" customHeight="1" x14ac:dyDescent="0.25">
      <c r="A45" s="24"/>
      <c r="B45" s="14"/>
      <c r="C45" s="14"/>
      <c r="D45" s="14"/>
      <c r="E45" s="14"/>
      <c r="F45" s="14"/>
      <c r="G45" s="13"/>
      <c r="H45" s="24"/>
      <c r="I45" s="25"/>
    </row>
    <row r="46" spans="1:9" ht="18.75" customHeight="1" x14ac:dyDescent="0.25">
      <c r="A46" s="24"/>
      <c r="B46" s="14"/>
      <c r="C46" s="14"/>
      <c r="D46" s="14"/>
      <c r="E46" s="14"/>
      <c r="F46" s="14"/>
      <c r="G46" s="14"/>
      <c r="H46" s="14"/>
      <c r="I46" s="14"/>
    </row>
    <row r="47" spans="1:9" ht="18.75" customHeight="1" x14ac:dyDescent="0.25">
      <c r="A47" s="24"/>
      <c r="B47" s="14"/>
      <c r="C47" s="14"/>
      <c r="D47" s="14"/>
      <c r="E47" s="14"/>
      <c r="F47" s="14"/>
      <c r="G47" s="74"/>
      <c r="H47" s="14"/>
      <c r="I47" s="14"/>
    </row>
    <row r="48" spans="1:9" ht="18.75" customHeight="1" x14ac:dyDescent="0.25">
      <c r="A48" s="24"/>
      <c r="B48" s="14"/>
      <c r="C48" s="14"/>
      <c r="D48" s="14"/>
      <c r="E48" s="14"/>
      <c r="F48" s="14"/>
      <c r="G48" s="14"/>
      <c r="H48" s="14"/>
      <c r="I48" s="14"/>
    </row>
    <row r="49" spans="1:9" ht="18.75" customHeight="1" x14ac:dyDescent="0.25">
      <c r="A49" s="24"/>
      <c r="B49" s="14"/>
      <c r="C49" s="14"/>
      <c r="D49" s="14"/>
      <c r="E49" s="14"/>
      <c r="F49" s="14"/>
      <c r="G49" s="14"/>
      <c r="H49" s="14"/>
      <c r="I49" s="14"/>
    </row>
    <row r="50" spans="1:9" ht="18.75" customHeight="1" x14ac:dyDescent="0.25">
      <c r="A50" s="24"/>
      <c r="B50" s="14"/>
      <c r="C50" s="14"/>
      <c r="D50" s="14"/>
      <c r="E50" s="14"/>
      <c r="F50" s="14"/>
      <c r="G50" s="14"/>
      <c r="H50" s="14"/>
      <c r="I50" s="14"/>
    </row>
    <row r="51" spans="1:9" ht="18.75" customHeight="1" x14ac:dyDescent="0.25">
      <c r="A51" s="24"/>
      <c r="B51" s="14"/>
      <c r="C51" s="14"/>
      <c r="D51" s="14"/>
      <c r="E51" s="14"/>
      <c r="F51" s="14"/>
      <c r="G51" s="14"/>
      <c r="H51" s="14"/>
      <c r="I51" s="14"/>
    </row>
    <row r="52" spans="1:9" ht="18.75" customHeight="1" x14ac:dyDescent="0.25">
      <c r="A52" s="24"/>
      <c r="B52" s="72" t="s">
        <v>295</v>
      </c>
      <c r="C52" s="14"/>
      <c r="D52" s="14"/>
      <c r="E52" s="14"/>
      <c r="F52" s="14"/>
      <c r="G52" s="104" t="str">
        <f>Input!G34</f>
        <v>KOLOM SUMBU KUAT</v>
      </c>
      <c r="H52" s="105">
        <f>Input!H34</f>
        <v>0</v>
      </c>
      <c r="I52" s="25"/>
    </row>
    <row r="53" spans="1:9" ht="18.75" customHeight="1" x14ac:dyDescent="0.25">
      <c r="A53" s="24"/>
      <c r="B53" s="57" t="s">
        <v>150</v>
      </c>
      <c r="C53" s="14"/>
      <c r="D53" s="14"/>
      <c r="E53" s="14"/>
      <c r="F53" s="14"/>
      <c r="G53" s="13"/>
      <c r="H53" s="24"/>
      <c r="I53" s="25"/>
    </row>
    <row r="54" spans="1:9" ht="18.75" customHeight="1" x14ac:dyDescent="0.25">
      <c r="A54" s="24"/>
      <c r="B54" s="1" t="s">
        <v>298</v>
      </c>
      <c r="C54" s="14"/>
      <c r="D54" s="14"/>
      <c r="E54" s="14"/>
      <c r="F54" s="14"/>
      <c r="G54" s="4" t="s">
        <v>96</v>
      </c>
      <c r="H54" s="82">
        <f>Input!H36</f>
        <v>50</v>
      </c>
      <c r="I54" s="5" t="s">
        <v>5</v>
      </c>
    </row>
    <row r="55" spans="1:9" ht="18.75" customHeight="1" x14ac:dyDescent="0.25">
      <c r="A55" s="24"/>
      <c r="B55" s="72" t="s">
        <v>299</v>
      </c>
      <c r="C55" s="14"/>
      <c r="D55" s="14"/>
      <c r="E55" s="14"/>
      <c r="F55" s="14"/>
      <c r="G55" s="4" t="s">
        <v>97</v>
      </c>
      <c r="H55" s="82">
        <f>Input!H37</f>
        <v>75</v>
      </c>
      <c r="I55" s="5" t="s">
        <v>5</v>
      </c>
    </row>
    <row r="56" spans="1:9" ht="18.75" customHeight="1" x14ac:dyDescent="0.25">
      <c r="A56" s="24"/>
      <c r="B56" s="72" t="s">
        <v>300</v>
      </c>
      <c r="C56" s="14"/>
      <c r="D56" s="14"/>
      <c r="E56" s="14"/>
      <c r="F56" s="14"/>
      <c r="G56" s="4" t="s">
        <v>255</v>
      </c>
      <c r="H56" s="82">
        <f>Input!H38</f>
        <v>175</v>
      </c>
      <c r="I56" s="5" t="s">
        <v>5</v>
      </c>
    </row>
    <row r="57" spans="1:9" ht="18.75" customHeight="1" x14ac:dyDescent="0.25">
      <c r="A57" s="24"/>
      <c r="B57" s="72" t="s">
        <v>15</v>
      </c>
      <c r="C57" s="14"/>
      <c r="D57" s="14"/>
      <c r="E57" s="14"/>
      <c r="F57" s="14"/>
      <c r="G57" s="4" t="s">
        <v>50</v>
      </c>
      <c r="H57" s="82">
        <f>Input!H39</f>
        <v>200</v>
      </c>
      <c r="I57" s="5" t="s">
        <v>5</v>
      </c>
    </row>
    <row r="58" spans="1:9" ht="18.75" customHeight="1" x14ac:dyDescent="0.25">
      <c r="A58" s="24"/>
      <c r="B58" s="72" t="s">
        <v>301</v>
      </c>
      <c r="C58" s="14"/>
      <c r="D58" s="14"/>
      <c r="E58" s="14"/>
      <c r="F58" s="14"/>
      <c r="G58" s="4" t="s">
        <v>18</v>
      </c>
      <c r="H58" s="82">
        <f>Input!H40</f>
        <v>95</v>
      </c>
      <c r="I58" s="5" t="s">
        <v>5</v>
      </c>
    </row>
    <row r="59" spans="1:9" ht="18.75" customHeight="1" x14ac:dyDescent="0.25">
      <c r="A59" s="17"/>
      <c r="G59" s="4"/>
      <c r="H59" s="3"/>
      <c r="I59" s="5"/>
    </row>
    <row r="60" spans="1:9" ht="18.75" customHeight="1" x14ac:dyDescent="0.25">
      <c r="A60" s="17"/>
      <c r="B60" s="1" t="s">
        <v>146</v>
      </c>
      <c r="F60" s="1" t="s">
        <v>3</v>
      </c>
      <c r="G60" s="104" t="str">
        <f>Input!G42</f>
        <v>400 x 200 x 8 x 13</v>
      </c>
      <c r="H60" s="105">
        <f>Input!H42</f>
        <v>0</v>
      </c>
      <c r="I60" s="5"/>
    </row>
    <row r="61" spans="1:9" ht="18.75" customHeight="1" x14ac:dyDescent="0.25">
      <c r="A61" s="17"/>
      <c r="G61" s="4" t="s">
        <v>41</v>
      </c>
      <c r="H61" s="80">
        <f>Input!H43</f>
        <v>400</v>
      </c>
      <c r="I61" s="5" t="s">
        <v>5</v>
      </c>
    </row>
    <row r="62" spans="1:9" ht="18.75" customHeight="1" x14ac:dyDescent="0.25">
      <c r="A62" s="17"/>
      <c r="G62" s="4" t="s">
        <v>42</v>
      </c>
      <c r="H62" s="80">
        <f>Input!H44</f>
        <v>200</v>
      </c>
      <c r="I62" s="5" t="s">
        <v>5</v>
      </c>
    </row>
    <row r="63" spans="1:9" ht="18.75" customHeight="1" x14ac:dyDescent="0.25">
      <c r="A63" s="17"/>
      <c r="G63" s="4" t="s">
        <v>43</v>
      </c>
      <c r="H63" s="81">
        <f>Input!H45</f>
        <v>8</v>
      </c>
      <c r="I63" s="5" t="s">
        <v>5</v>
      </c>
    </row>
    <row r="64" spans="1:9" ht="18.75" customHeight="1" x14ac:dyDescent="0.25">
      <c r="A64" s="17"/>
      <c r="G64" s="4" t="s">
        <v>44</v>
      </c>
      <c r="H64" s="81">
        <f>Input!H46</f>
        <v>13</v>
      </c>
      <c r="I64" s="5" t="s">
        <v>5</v>
      </c>
    </row>
    <row r="65" spans="1:9" ht="18.75" customHeight="1" x14ac:dyDescent="0.25">
      <c r="A65" s="17"/>
      <c r="G65" s="4" t="s">
        <v>4</v>
      </c>
      <c r="H65" s="81">
        <f>Input!H47</f>
        <v>16</v>
      </c>
      <c r="I65" s="5" t="s">
        <v>5</v>
      </c>
    </row>
    <row r="66" spans="1:9" ht="18.75" customHeight="1" x14ac:dyDescent="0.25">
      <c r="A66" s="17"/>
      <c r="G66" s="4"/>
      <c r="H66" s="4"/>
      <c r="I66" s="5"/>
    </row>
    <row r="67" spans="1:9" ht="18.75" customHeight="1" x14ac:dyDescent="0.25">
      <c r="A67" s="17"/>
      <c r="B67" s="1" t="s">
        <v>253</v>
      </c>
      <c r="F67" s="1" t="s">
        <v>3</v>
      </c>
      <c r="G67" s="104" t="str">
        <f>Input!G49</f>
        <v>400 x 400 x 8 x 13</v>
      </c>
      <c r="H67" s="105">
        <f>Input!H49</f>
        <v>0</v>
      </c>
      <c r="I67" s="5"/>
    </row>
    <row r="68" spans="1:9" ht="18.75" customHeight="1" x14ac:dyDescent="0.25">
      <c r="A68" s="17"/>
      <c r="G68" s="4" t="s">
        <v>45</v>
      </c>
      <c r="H68" s="80">
        <f>Input!H50</f>
        <v>400</v>
      </c>
      <c r="I68" s="5" t="s">
        <v>5</v>
      </c>
    </row>
    <row r="69" spans="1:9" ht="18.75" customHeight="1" x14ac:dyDescent="0.25">
      <c r="A69" s="17"/>
      <c r="G69" s="4" t="s">
        <v>46</v>
      </c>
      <c r="H69" s="80">
        <f>Input!H51</f>
        <v>400</v>
      </c>
      <c r="I69" s="5" t="s">
        <v>5</v>
      </c>
    </row>
    <row r="70" spans="1:9" ht="18.75" customHeight="1" x14ac:dyDescent="0.25">
      <c r="A70" s="17"/>
      <c r="G70" s="4" t="s">
        <v>47</v>
      </c>
      <c r="H70" s="81">
        <f>Input!H52</f>
        <v>8</v>
      </c>
      <c r="I70" s="5" t="s">
        <v>5</v>
      </c>
    </row>
    <row r="71" spans="1:9" ht="18.75" customHeight="1" x14ac:dyDescent="0.25">
      <c r="A71" s="17"/>
      <c r="G71" s="4" t="s">
        <v>48</v>
      </c>
      <c r="H71" s="81">
        <f>Input!H53</f>
        <v>13</v>
      </c>
      <c r="I71" s="5" t="s">
        <v>5</v>
      </c>
    </row>
    <row r="72" spans="1:9" ht="18.75" customHeight="1" x14ac:dyDescent="0.25">
      <c r="A72" s="17"/>
      <c r="G72" s="4" t="s">
        <v>4</v>
      </c>
      <c r="H72" s="81">
        <f>Input!H54</f>
        <v>16</v>
      </c>
      <c r="I72" s="5" t="s">
        <v>5</v>
      </c>
    </row>
    <row r="73" spans="1:9" ht="18.75" customHeight="1" x14ac:dyDescent="0.25">
      <c r="A73" s="17"/>
      <c r="B73" s="1" t="s">
        <v>7</v>
      </c>
      <c r="G73" s="4"/>
      <c r="H73" s="3"/>
      <c r="I73" s="5"/>
    </row>
    <row r="74" spans="1:9" ht="18.75" customHeight="1" x14ac:dyDescent="0.25">
      <c r="A74" s="17"/>
      <c r="B74" s="1" t="s">
        <v>11</v>
      </c>
      <c r="G74" s="4" t="s">
        <v>51</v>
      </c>
      <c r="H74" s="80">
        <f>Input!H56</f>
        <v>19</v>
      </c>
      <c r="I74" s="5" t="s">
        <v>5</v>
      </c>
    </row>
    <row r="75" spans="1:9" ht="18.75" customHeight="1" x14ac:dyDescent="0.25">
      <c r="A75" s="17"/>
      <c r="B75" s="1" t="s">
        <v>14</v>
      </c>
      <c r="G75" s="4" t="s">
        <v>49</v>
      </c>
      <c r="H75" s="80">
        <f>Input!H57</f>
        <v>25</v>
      </c>
      <c r="I75" s="5" t="s">
        <v>5</v>
      </c>
    </row>
    <row r="76" spans="1:9" ht="18.75" customHeight="1" x14ac:dyDescent="0.25">
      <c r="A76" s="17"/>
      <c r="G76" s="4"/>
      <c r="H76" s="3"/>
      <c r="I76" s="5"/>
    </row>
    <row r="77" spans="1:9" ht="18.75" customHeight="1" x14ac:dyDescent="0.25">
      <c r="A77" s="38" t="s">
        <v>40</v>
      </c>
      <c r="B77" s="39" t="s">
        <v>148</v>
      </c>
      <c r="C77" s="40"/>
      <c r="D77" s="40"/>
      <c r="E77" s="40"/>
      <c r="F77" s="40"/>
      <c r="G77" s="41"/>
      <c r="H77" s="42"/>
      <c r="I77" s="43"/>
    </row>
    <row r="78" spans="1:9" ht="18.75" customHeight="1" x14ac:dyDescent="0.25">
      <c r="A78" s="49" t="s">
        <v>60</v>
      </c>
      <c r="B78" s="19" t="s">
        <v>145</v>
      </c>
      <c r="C78" s="20"/>
      <c r="D78" s="20"/>
      <c r="E78" s="20"/>
      <c r="F78" s="20"/>
      <c r="G78" s="21"/>
      <c r="H78" s="50"/>
      <c r="I78" s="23"/>
    </row>
    <row r="79" spans="1:9" ht="18.75" customHeight="1" x14ac:dyDescent="0.25">
      <c r="B79" s="1" t="s">
        <v>147</v>
      </c>
      <c r="G79" s="4"/>
      <c r="H79" s="3"/>
      <c r="I79" s="5"/>
    </row>
    <row r="80" spans="1:9" ht="18.75" customHeight="1" x14ac:dyDescent="0.25">
      <c r="B80" s="6" t="s">
        <v>123</v>
      </c>
      <c r="H80" s="4" t="s">
        <v>124</v>
      </c>
      <c r="I80" s="5"/>
    </row>
    <row r="81" spans="1:9" ht="18.75" customHeight="1" x14ac:dyDescent="0.25">
      <c r="B81" s="6" t="s">
        <v>125</v>
      </c>
      <c r="G81" s="4"/>
      <c r="H81" s="4" t="s">
        <v>126</v>
      </c>
      <c r="I81" s="5"/>
    </row>
    <row r="82" spans="1:9" ht="18.75" customHeight="1" x14ac:dyDescent="0.25">
      <c r="B82" s="1" t="s">
        <v>127</v>
      </c>
      <c r="G82" s="4"/>
      <c r="H82" s="3"/>
      <c r="I82" s="5"/>
    </row>
    <row r="83" spans="1:9" ht="18.75" customHeight="1" x14ac:dyDescent="0.25">
      <c r="B83" s="6" t="s">
        <v>123</v>
      </c>
      <c r="G83" s="4"/>
      <c r="H83" s="4" t="s">
        <v>128</v>
      </c>
      <c r="I83" s="5"/>
    </row>
    <row r="84" spans="1:9" ht="18.75" customHeight="1" x14ac:dyDescent="0.25">
      <c r="B84" s="6" t="s">
        <v>125</v>
      </c>
      <c r="G84" s="4"/>
      <c r="H84" s="4" t="s">
        <v>129</v>
      </c>
      <c r="I84" s="5"/>
    </row>
    <row r="85" spans="1:9" ht="18.75" customHeight="1" x14ac:dyDescent="0.25">
      <c r="B85" s="1" t="s">
        <v>130</v>
      </c>
      <c r="G85" s="4"/>
      <c r="H85" s="3"/>
      <c r="I85" s="5"/>
    </row>
    <row r="86" spans="1:9" ht="18.75" customHeight="1" x14ac:dyDescent="0.25">
      <c r="B86" s="6" t="s">
        <v>123</v>
      </c>
      <c r="G86" s="4"/>
      <c r="H86" s="4" t="s">
        <v>131</v>
      </c>
      <c r="I86" s="5"/>
    </row>
    <row r="87" spans="1:9" ht="18.75" customHeight="1" x14ac:dyDescent="0.35">
      <c r="B87" s="6" t="s">
        <v>125</v>
      </c>
      <c r="H87" s="52" t="s">
        <v>132</v>
      </c>
      <c r="I87" s="5"/>
    </row>
    <row r="88" spans="1:9" ht="18.75" customHeight="1" x14ac:dyDescent="0.25">
      <c r="G88" s="4"/>
      <c r="H88" s="3"/>
      <c r="I88" s="5"/>
    </row>
    <row r="89" spans="1:9" ht="18.75" customHeight="1" x14ac:dyDescent="0.25">
      <c r="B89" s="91"/>
      <c r="C89" s="91" t="s">
        <v>133</v>
      </c>
      <c r="D89" s="91"/>
      <c r="E89" s="91" t="s">
        <v>134</v>
      </c>
      <c r="F89" s="91"/>
      <c r="G89" s="91" t="s">
        <v>135</v>
      </c>
      <c r="H89" s="91"/>
      <c r="I89" s="5"/>
    </row>
    <row r="90" spans="1:9" ht="18.75" customHeight="1" x14ac:dyDescent="0.25">
      <c r="B90" s="91"/>
      <c r="C90" s="53" t="s">
        <v>136</v>
      </c>
      <c r="D90" s="53" t="s">
        <v>137</v>
      </c>
      <c r="E90" s="53" t="s">
        <v>138</v>
      </c>
      <c r="F90" s="53" t="s">
        <v>139</v>
      </c>
      <c r="G90" s="53" t="s">
        <v>140</v>
      </c>
      <c r="H90" s="53" t="s">
        <v>141</v>
      </c>
    </row>
    <row r="91" spans="1:9" ht="18.75" customHeight="1" x14ac:dyDescent="0.25">
      <c r="B91" s="54" t="s">
        <v>142</v>
      </c>
      <c r="C91" s="55">
        <f>Process!C16</f>
        <v>229648682.66666666</v>
      </c>
      <c r="D91" s="55">
        <f>Process!D16</f>
        <v>17349290.666666664</v>
      </c>
      <c r="E91" s="55">
        <f>Process!E16</f>
        <v>1148243.4133333333</v>
      </c>
      <c r="F91" s="55">
        <f>Process!F16</f>
        <v>173492.90666666665</v>
      </c>
      <c r="G91" s="55">
        <f>Process!G16</f>
        <v>1285952</v>
      </c>
      <c r="H91" s="55">
        <f>Process!H16</f>
        <v>265984</v>
      </c>
      <c r="I91" s="5"/>
    </row>
    <row r="92" spans="1:9" ht="18.75" customHeight="1" x14ac:dyDescent="0.25">
      <c r="B92" s="54" t="s">
        <v>143</v>
      </c>
      <c r="C92" s="56" t="s">
        <v>144</v>
      </c>
      <c r="D92" s="56" t="s">
        <v>144</v>
      </c>
      <c r="E92" s="56" t="s">
        <v>19</v>
      </c>
      <c r="F92" s="56" t="s">
        <v>19</v>
      </c>
      <c r="G92" s="56" t="s">
        <v>19</v>
      </c>
      <c r="H92" s="56" t="s">
        <v>19</v>
      </c>
      <c r="I92" s="5"/>
    </row>
    <row r="93" spans="1:9" ht="18.75" customHeight="1" x14ac:dyDescent="0.25">
      <c r="G93" s="4"/>
      <c r="H93" s="3"/>
      <c r="I93" s="5"/>
    </row>
    <row r="94" spans="1:9" ht="18.75" customHeight="1" x14ac:dyDescent="0.25">
      <c r="A94" s="49" t="s">
        <v>61</v>
      </c>
      <c r="B94" s="19" t="s">
        <v>293</v>
      </c>
      <c r="C94" s="20"/>
      <c r="D94" s="20"/>
      <c r="E94" s="20"/>
      <c r="F94" s="20"/>
      <c r="G94" s="21"/>
      <c r="H94" s="50"/>
      <c r="I94" s="23"/>
    </row>
    <row r="95" spans="1:9" ht="18.75" customHeight="1" x14ac:dyDescent="0.25">
      <c r="A95" s="24"/>
      <c r="B95" s="72" t="s">
        <v>302</v>
      </c>
      <c r="C95" s="14"/>
      <c r="D95" s="14"/>
      <c r="E95" s="14"/>
      <c r="F95" s="14"/>
      <c r="G95" s="4" t="s">
        <v>314</v>
      </c>
      <c r="H95" s="12">
        <f>Process!H20</f>
        <v>450</v>
      </c>
      <c r="I95" s="5" t="s">
        <v>5</v>
      </c>
    </row>
    <row r="96" spans="1:9" ht="18.75" customHeight="1" x14ac:dyDescent="0.25">
      <c r="A96" s="24"/>
      <c r="B96" s="72" t="s">
        <v>303</v>
      </c>
      <c r="C96" s="14"/>
      <c r="D96" s="14"/>
      <c r="E96" s="14"/>
      <c r="F96" s="14"/>
      <c r="G96" s="4" t="s">
        <v>315</v>
      </c>
      <c r="H96" s="12">
        <f>Process!H21</f>
        <v>375</v>
      </c>
      <c r="I96" s="5" t="s">
        <v>5</v>
      </c>
    </row>
    <row r="97" spans="1:9" ht="18.75" customHeight="1" x14ac:dyDescent="0.25">
      <c r="A97" s="24"/>
      <c r="B97" s="72" t="s">
        <v>304</v>
      </c>
      <c r="C97" s="14"/>
      <c r="D97" s="14"/>
      <c r="E97" s="14"/>
      <c r="F97" s="14"/>
      <c r="G97" s="4" t="s">
        <v>316</v>
      </c>
      <c r="H97" s="12">
        <f>Process!H22</f>
        <v>300</v>
      </c>
      <c r="I97" s="5" t="s">
        <v>5</v>
      </c>
    </row>
    <row r="98" spans="1:9" ht="18.75" customHeight="1" x14ac:dyDescent="0.25">
      <c r="A98" s="24"/>
      <c r="B98" s="72" t="s">
        <v>304</v>
      </c>
      <c r="C98" s="14"/>
      <c r="D98" s="14"/>
      <c r="E98" s="14"/>
      <c r="F98" s="14"/>
      <c r="G98" s="4" t="s">
        <v>317</v>
      </c>
      <c r="H98" s="12">
        <f>Process!H23</f>
        <v>225</v>
      </c>
      <c r="I98" s="5" t="s">
        <v>5</v>
      </c>
    </row>
    <row r="99" spans="1:9" ht="18.75" customHeight="1" x14ac:dyDescent="0.25">
      <c r="A99" s="24"/>
      <c r="B99" s="1" t="s">
        <v>305</v>
      </c>
      <c r="C99" s="14"/>
      <c r="D99" s="14"/>
      <c r="E99" s="14"/>
      <c r="F99" s="14"/>
      <c r="G99" s="4" t="s">
        <v>170</v>
      </c>
      <c r="H99" s="12">
        <f>Process!H24</f>
        <v>52.5</v>
      </c>
      <c r="I99" s="5" t="s">
        <v>5</v>
      </c>
    </row>
    <row r="100" spans="1:9" ht="18.75" customHeight="1" x14ac:dyDescent="0.25">
      <c r="A100" s="24"/>
      <c r="B100" s="72" t="s">
        <v>306</v>
      </c>
      <c r="C100" s="14"/>
      <c r="D100" s="14"/>
      <c r="E100" s="14"/>
      <c r="F100" s="14"/>
      <c r="G100" s="4" t="s">
        <v>171</v>
      </c>
      <c r="H100" s="12">
        <f>Process!H25</f>
        <v>43.5</v>
      </c>
      <c r="I100" s="5" t="s">
        <v>5</v>
      </c>
    </row>
    <row r="101" spans="1:9" ht="18.75" customHeight="1" x14ac:dyDescent="0.25">
      <c r="A101" s="17"/>
      <c r="B101" s="1" t="s">
        <v>154</v>
      </c>
      <c r="G101" s="4"/>
      <c r="H101" s="3"/>
      <c r="I101" s="5"/>
    </row>
    <row r="102" spans="1:9" ht="18.75" customHeight="1" x14ac:dyDescent="0.25">
      <c r="A102" s="17"/>
      <c r="D102" s="37" t="s">
        <v>92</v>
      </c>
      <c r="E102" s="37" t="s">
        <v>35</v>
      </c>
      <c r="F102" s="37" t="s">
        <v>152</v>
      </c>
      <c r="G102" s="4"/>
      <c r="H102" s="3"/>
      <c r="I102" s="5"/>
    </row>
    <row r="103" spans="1:9" ht="18.75" customHeight="1" x14ac:dyDescent="0.25">
      <c r="A103" s="17"/>
      <c r="B103" s="6" t="s">
        <v>93</v>
      </c>
      <c r="D103" s="12">
        <f>Process!D28</f>
        <v>50</v>
      </c>
      <c r="E103" s="3" t="str">
        <f>IF(D103&gt;=F103,"≥","&lt;")</f>
        <v>≥</v>
      </c>
      <c r="F103" s="12">
        <f>Process!F28</f>
        <v>23.75</v>
      </c>
      <c r="G103" s="11" t="s">
        <v>31</v>
      </c>
      <c r="H103" s="47" t="str">
        <f>Process!H28</f>
        <v>[ OK ]</v>
      </c>
      <c r="I103" s="5"/>
    </row>
    <row r="104" spans="1:9" ht="18.75" customHeight="1" x14ac:dyDescent="0.25">
      <c r="A104" s="17"/>
      <c r="G104" s="4"/>
      <c r="H104" s="3"/>
      <c r="I104" s="5"/>
    </row>
    <row r="105" spans="1:9" ht="18.75" customHeight="1" x14ac:dyDescent="0.25">
      <c r="A105" s="17"/>
      <c r="B105" s="1" t="s">
        <v>153</v>
      </c>
      <c r="G105" s="4"/>
      <c r="H105" s="3"/>
      <c r="I105" s="5"/>
    </row>
    <row r="106" spans="1:9" ht="18.75" customHeight="1" x14ac:dyDescent="0.25">
      <c r="A106" s="17"/>
      <c r="B106" s="6" t="s">
        <v>155</v>
      </c>
      <c r="D106" s="37" t="s">
        <v>16</v>
      </c>
      <c r="E106" s="37" t="s">
        <v>35</v>
      </c>
      <c r="F106" s="37" t="s">
        <v>151</v>
      </c>
      <c r="G106" s="4"/>
      <c r="H106" s="3"/>
      <c r="I106" s="5"/>
    </row>
    <row r="107" spans="1:9" ht="18.75" customHeight="1" x14ac:dyDescent="0.25">
      <c r="A107" s="17"/>
      <c r="B107" s="6" t="s">
        <v>93</v>
      </c>
      <c r="D107" s="12">
        <f>Process!D32</f>
        <v>95</v>
      </c>
      <c r="E107" s="3" t="str">
        <f>IF(D107&gt;=F107,"≥","&lt;")</f>
        <v>≥</v>
      </c>
      <c r="F107" s="12">
        <f>Process!F32</f>
        <v>57</v>
      </c>
      <c r="G107" s="11" t="s">
        <v>31</v>
      </c>
      <c r="H107" s="47" t="str">
        <f>Process!H32</f>
        <v>[ OK ]</v>
      </c>
      <c r="I107" s="5"/>
    </row>
    <row r="108" spans="1:9" ht="18.75" customHeight="1" x14ac:dyDescent="0.25">
      <c r="A108" s="17"/>
      <c r="D108" s="28"/>
      <c r="E108" s="3"/>
      <c r="F108" s="28"/>
      <c r="G108" s="11"/>
      <c r="H108" s="47"/>
      <c r="I108" s="5"/>
    </row>
    <row r="109" spans="1:9" ht="18.75" customHeight="1" x14ac:dyDescent="0.25">
      <c r="A109" s="17"/>
      <c r="D109" s="28"/>
      <c r="E109" s="3"/>
      <c r="F109" s="28"/>
      <c r="G109" s="11"/>
      <c r="H109" s="47"/>
      <c r="I109" s="5"/>
    </row>
    <row r="110" spans="1:9" ht="18.75" customHeight="1" x14ac:dyDescent="0.25">
      <c r="A110" s="17"/>
      <c r="B110" s="6" t="s">
        <v>156</v>
      </c>
      <c r="D110" s="37" t="s">
        <v>157</v>
      </c>
      <c r="E110" s="37" t="s">
        <v>35</v>
      </c>
      <c r="F110" s="37" t="s">
        <v>151</v>
      </c>
      <c r="G110" s="4"/>
      <c r="H110" s="3"/>
      <c r="I110" s="5"/>
    </row>
    <row r="111" spans="1:9" ht="18.75" customHeight="1" x14ac:dyDescent="0.25">
      <c r="A111" s="17"/>
      <c r="B111" s="6" t="s">
        <v>93</v>
      </c>
      <c r="D111" s="12">
        <f>Process!D35</f>
        <v>75</v>
      </c>
      <c r="E111" s="3" t="str">
        <f>IF(D111&gt;=F111,"≥","&lt;")</f>
        <v>≥</v>
      </c>
      <c r="F111" s="12">
        <f>Process!F35</f>
        <v>57</v>
      </c>
      <c r="G111" s="11" t="s">
        <v>31</v>
      </c>
      <c r="H111" s="47" t="str">
        <f>Process!H35</f>
        <v>[ OK ]</v>
      </c>
      <c r="I111" s="5"/>
    </row>
    <row r="112" spans="1:9" ht="18.75" customHeight="1" x14ac:dyDescent="0.25">
      <c r="A112" s="17"/>
      <c r="B112" s="6"/>
      <c r="D112" s="28"/>
      <c r="E112" s="3"/>
      <c r="F112" s="28"/>
      <c r="G112" s="11"/>
      <c r="H112" s="47"/>
      <c r="I112" s="5"/>
    </row>
    <row r="113" spans="1:9" ht="18.75" customHeight="1" x14ac:dyDescent="0.25">
      <c r="A113" s="17"/>
      <c r="B113" s="1" t="s">
        <v>217</v>
      </c>
      <c r="G113" s="44" t="s">
        <v>89</v>
      </c>
      <c r="H113" s="59">
        <f>Process!H37</f>
        <v>19</v>
      </c>
      <c r="I113" s="5" t="s">
        <v>5</v>
      </c>
    </row>
    <row r="114" spans="1:9" ht="18.75" customHeight="1" x14ac:dyDescent="0.25">
      <c r="A114" s="17"/>
      <c r="B114" s="1" t="s">
        <v>290</v>
      </c>
      <c r="D114" s="28"/>
      <c r="E114" s="3"/>
      <c r="F114" s="28"/>
      <c r="G114" s="44" t="s">
        <v>291</v>
      </c>
      <c r="H114" s="59">
        <f>Process!H38</f>
        <v>283.38499999999999</v>
      </c>
      <c r="I114" s="5" t="s">
        <v>38</v>
      </c>
    </row>
    <row r="115" spans="1:9" ht="18.75" customHeight="1" x14ac:dyDescent="0.25">
      <c r="A115" s="17"/>
      <c r="G115" s="4"/>
      <c r="H115" s="3"/>
      <c r="I115" s="5"/>
    </row>
    <row r="116" spans="1:9" ht="18.75" customHeight="1" x14ac:dyDescent="0.25">
      <c r="A116" s="38" t="s">
        <v>67</v>
      </c>
      <c r="B116" s="39" t="s">
        <v>276</v>
      </c>
      <c r="C116" s="40"/>
      <c r="D116" s="40"/>
      <c r="E116" s="40"/>
      <c r="F116" s="40"/>
      <c r="G116" s="41"/>
      <c r="H116" s="42"/>
      <c r="I116" s="43"/>
    </row>
    <row r="117" spans="1:9" ht="18.75" customHeight="1" x14ac:dyDescent="0.25">
      <c r="A117" s="18" t="s">
        <v>68</v>
      </c>
      <c r="B117" s="19" t="s">
        <v>292</v>
      </c>
      <c r="C117" s="20"/>
      <c r="D117" s="20"/>
      <c r="E117" s="20"/>
      <c r="F117" s="20"/>
      <c r="G117" s="21"/>
      <c r="H117" s="22"/>
      <c r="I117" s="23"/>
    </row>
    <row r="118" spans="1:9" ht="18.75" customHeight="1" x14ac:dyDescent="0.25">
      <c r="A118" s="17"/>
      <c r="B118" s="1" t="s">
        <v>107</v>
      </c>
      <c r="G118" s="4" t="s">
        <v>108</v>
      </c>
      <c r="H118" s="12">
        <f>Process!H42</f>
        <v>0.9</v>
      </c>
      <c r="I118" s="5"/>
    </row>
    <row r="119" spans="1:9" ht="18.75" customHeight="1" x14ac:dyDescent="0.25">
      <c r="A119" s="17"/>
      <c r="B119" s="48" t="s">
        <v>110</v>
      </c>
      <c r="G119" s="44" t="s">
        <v>118</v>
      </c>
      <c r="H119" s="12">
        <f>Process!H43</f>
        <v>240</v>
      </c>
      <c r="I119" s="5" t="s">
        <v>10</v>
      </c>
    </row>
    <row r="120" spans="1:9" ht="18.75" customHeight="1" x14ac:dyDescent="0.25">
      <c r="A120" s="17"/>
      <c r="B120" s="1" t="s">
        <v>149</v>
      </c>
    </row>
    <row r="121" spans="1:9" ht="18.75" customHeight="1" x14ac:dyDescent="0.25">
      <c r="A121" s="17"/>
      <c r="G121" s="44" t="s">
        <v>288</v>
      </c>
      <c r="H121" s="12">
        <f>Process!H44</f>
        <v>277.76563199999998</v>
      </c>
      <c r="I121" s="5" t="s">
        <v>12</v>
      </c>
    </row>
    <row r="122" spans="1:9" ht="18.75" customHeight="1" x14ac:dyDescent="0.25">
      <c r="A122" s="17"/>
      <c r="G122" s="4"/>
      <c r="H122" s="3"/>
      <c r="I122" s="5"/>
    </row>
    <row r="123" spans="1:9" ht="18.75" customHeight="1" x14ac:dyDescent="0.25">
      <c r="B123" s="1" t="s">
        <v>20</v>
      </c>
      <c r="G123" s="4" t="s">
        <v>279</v>
      </c>
      <c r="H123" s="56">
        <f>Process!H46</f>
        <v>387</v>
      </c>
      <c r="I123" s="5" t="s">
        <v>5</v>
      </c>
    </row>
    <row r="124" spans="1:9" ht="18.75" customHeight="1" x14ac:dyDescent="0.25">
      <c r="B124" s="1" t="s">
        <v>21</v>
      </c>
      <c r="G124" s="4" t="s">
        <v>280</v>
      </c>
      <c r="H124" s="56">
        <f>Process!H47</f>
        <v>3096</v>
      </c>
      <c r="I124" s="5" t="s">
        <v>38</v>
      </c>
    </row>
    <row r="125" spans="1:9" ht="18.75" customHeight="1" x14ac:dyDescent="0.25">
      <c r="B125" s="1" t="s">
        <v>22</v>
      </c>
      <c r="G125" s="4" t="s">
        <v>281</v>
      </c>
      <c r="H125" s="45">
        <f>Process!H48</f>
        <v>48.375</v>
      </c>
      <c r="I125" s="5"/>
    </row>
    <row r="126" spans="1:9" ht="18.75" customHeight="1" x14ac:dyDescent="0.25">
      <c r="B126" s="1" t="s">
        <v>23</v>
      </c>
      <c r="G126" s="4" t="s">
        <v>24</v>
      </c>
      <c r="H126" s="56">
        <f>Process!H49</f>
        <v>5.34</v>
      </c>
      <c r="I126" s="5"/>
    </row>
    <row r="127" spans="1:9" ht="18.75" customHeight="1" x14ac:dyDescent="0.25">
      <c r="B127" s="1" t="s">
        <v>25</v>
      </c>
      <c r="G127" s="4"/>
      <c r="H127" s="3"/>
      <c r="I127" s="5"/>
    </row>
    <row r="128" spans="1:9" ht="18.75" customHeight="1" x14ac:dyDescent="0.25">
      <c r="B128" s="1" t="s">
        <v>26</v>
      </c>
      <c r="C128" s="1" t="s">
        <v>283</v>
      </c>
      <c r="G128" s="4" t="s">
        <v>27</v>
      </c>
      <c r="H128" s="59">
        <f>Process!H51</f>
        <v>1</v>
      </c>
      <c r="I128" s="5"/>
    </row>
    <row r="129" spans="1:9" ht="18.75" customHeight="1" x14ac:dyDescent="0.25">
      <c r="B129" s="1" t="s">
        <v>28</v>
      </c>
      <c r="C129" s="1" t="s">
        <v>282</v>
      </c>
      <c r="G129" s="4" t="s">
        <v>284</v>
      </c>
      <c r="H129" s="59" t="str">
        <f>Process!H52</f>
        <v>-</v>
      </c>
      <c r="I129" s="5"/>
    </row>
    <row r="130" spans="1:9" ht="18.75" customHeight="1" x14ac:dyDescent="0.25">
      <c r="B130" s="1" t="s">
        <v>29</v>
      </c>
      <c r="G130" s="4" t="s">
        <v>27</v>
      </c>
      <c r="H130" s="59">
        <f>Process!H53</f>
        <v>1</v>
      </c>
      <c r="I130" s="5"/>
    </row>
    <row r="131" spans="1:9" ht="18.75" customHeight="1" x14ac:dyDescent="0.25">
      <c r="G131" s="4"/>
      <c r="H131" s="3"/>
      <c r="I131" s="5"/>
    </row>
    <row r="132" spans="1:9" ht="18.75" customHeight="1" x14ac:dyDescent="0.25">
      <c r="B132" s="1" t="s">
        <v>285</v>
      </c>
      <c r="G132" s="4" t="s">
        <v>294</v>
      </c>
      <c r="H132" s="56">
        <f>Process!H55</f>
        <v>445.82400000000001</v>
      </c>
      <c r="I132" s="5" t="s">
        <v>13</v>
      </c>
    </row>
    <row r="133" spans="1:9" ht="18.75" customHeight="1" x14ac:dyDescent="0.25">
      <c r="B133" s="1" t="s">
        <v>277</v>
      </c>
      <c r="G133" s="71" t="s">
        <v>278</v>
      </c>
      <c r="H133" s="59">
        <f>Process!H56</f>
        <v>0.9</v>
      </c>
      <c r="I133" s="5"/>
    </row>
    <row r="134" spans="1:9" ht="18.75" customHeight="1" x14ac:dyDescent="0.25">
      <c r="B134" s="1" t="s">
        <v>287</v>
      </c>
      <c r="G134" s="4" t="s">
        <v>286</v>
      </c>
      <c r="H134" s="59">
        <f>Process!H57</f>
        <v>401.24160000000001</v>
      </c>
      <c r="I134" s="5" t="s">
        <v>13</v>
      </c>
    </row>
    <row r="135" spans="1:9" ht="18.75" customHeight="1" x14ac:dyDescent="0.25">
      <c r="A135" s="17"/>
      <c r="G135" s="4"/>
      <c r="H135" s="3"/>
      <c r="I135" s="5"/>
    </row>
    <row r="136" spans="1:9" ht="18.75" customHeight="1" x14ac:dyDescent="0.25">
      <c r="A136" s="38" t="s">
        <v>67</v>
      </c>
      <c r="B136" s="39" t="s">
        <v>209</v>
      </c>
      <c r="C136" s="40"/>
      <c r="D136" s="40"/>
      <c r="E136" s="40"/>
      <c r="F136" s="40"/>
      <c r="G136" s="41"/>
      <c r="H136" s="42"/>
      <c r="I136" s="43"/>
    </row>
    <row r="137" spans="1:9" ht="18.75" customHeight="1" x14ac:dyDescent="0.25">
      <c r="A137" s="18" t="s">
        <v>68</v>
      </c>
      <c r="B137" s="19" t="s">
        <v>103</v>
      </c>
      <c r="C137" s="20"/>
      <c r="D137" s="20"/>
      <c r="E137" s="20"/>
      <c r="F137" s="20"/>
      <c r="G137" s="21"/>
      <c r="H137" s="22"/>
      <c r="I137" s="23"/>
    </row>
    <row r="138" spans="1:9" ht="18.75" customHeight="1" x14ac:dyDescent="0.25">
      <c r="A138" s="17"/>
      <c r="B138" s="1" t="s">
        <v>150</v>
      </c>
      <c r="G138" s="4"/>
      <c r="H138" s="3"/>
      <c r="I138" s="5"/>
    </row>
    <row r="139" spans="1:9" ht="18.75" customHeight="1" x14ac:dyDescent="0.25">
      <c r="A139" s="17"/>
      <c r="B139" s="1" t="s">
        <v>298</v>
      </c>
      <c r="G139" s="4" t="s">
        <v>96</v>
      </c>
      <c r="H139" s="12">
        <f>Process!H62</f>
        <v>50</v>
      </c>
      <c r="I139" s="5" t="s">
        <v>5</v>
      </c>
    </row>
    <row r="140" spans="1:9" ht="18.75" customHeight="1" x14ac:dyDescent="0.25">
      <c r="A140" s="17"/>
      <c r="B140" s="72" t="s">
        <v>299</v>
      </c>
      <c r="G140" s="4" t="s">
        <v>97</v>
      </c>
      <c r="H140" s="12">
        <f>Process!H63</f>
        <v>75</v>
      </c>
      <c r="I140" s="5" t="s">
        <v>5</v>
      </c>
    </row>
    <row r="141" spans="1:9" ht="18.75" customHeight="1" x14ac:dyDescent="0.25">
      <c r="A141" s="17"/>
      <c r="B141" s="72" t="s">
        <v>301</v>
      </c>
      <c r="G141" s="4" t="s">
        <v>50</v>
      </c>
      <c r="H141" s="12">
        <f>Process!H64</f>
        <v>200</v>
      </c>
      <c r="I141" s="5" t="s">
        <v>5</v>
      </c>
    </row>
    <row r="142" spans="1:9" ht="18.75" customHeight="1" x14ac:dyDescent="0.25">
      <c r="A142" s="17"/>
      <c r="B142" s="72" t="s">
        <v>15</v>
      </c>
      <c r="G142" s="4" t="s">
        <v>18</v>
      </c>
      <c r="H142" s="12">
        <f>Process!H65</f>
        <v>95</v>
      </c>
      <c r="I142" s="5" t="s">
        <v>5</v>
      </c>
    </row>
    <row r="143" spans="1:9" ht="18.75" customHeight="1" x14ac:dyDescent="0.25">
      <c r="A143" s="17"/>
      <c r="B143" s="72" t="s">
        <v>302</v>
      </c>
      <c r="G143" s="4" t="s">
        <v>112</v>
      </c>
      <c r="H143" s="12">
        <f>Process!H66</f>
        <v>450</v>
      </c>
      <c r="I143" s="5" t="s">
        <v>5</v>
      </c>
    </row>
    <row r="144" spans="1:9" ht="18.75" customHeight="1" x14ac:dyDescent="0.25">
      <c r="A144" s="17"/>
      <c r="B144" s="72" t="s">
        <v>307</v>
      </c>
      <c r="G144" s="4" t="s">
        <v>158</v>
      </c>
      <c r="H144" s="12">
        <f>Process!H67</f>
        <v>225</v>
      </c>
      <c r="I144" s="5" t="s">
        <v>5</v>
      </c>
    </row>
    <row r="145" spans="1:9" ht="18.75" customHeight="1" x14ac:dyDescent="0.25">
      <c r="A145" s="17"/>
      <c r="G145" s="4" t="s">
        <v>111</v>
      </c>
      <c r="H145" s="12">
        <f>Process!H68</f>
        <v>68.920243760451115</v>
      </c>
      <c r="I145" s="5" t="s">
        <v>5</v>
      </c>
    </row>
    <row r="146" spans="1:9" ht="18.75" customHeight="1" x14ac:dyDescent="0.25">
      <c r="A146" s="17"/>
      <c r="G146" s="4"/>
      <c r="H146" s="84"/>
      <c r="I146" s="5"/>
    </row>
    <row r="147" spans="1:9" ht="18.75" customHeight="1" x14ac:dyDescent="0.25">
      <c r="A147" s="17"/>
      <c r="G147" s="4"/>
      <c r="H147" s="28"/>
      <c r="I147" s="5"/>
    </row>
    <row r="148" spans="1:9" ht="18.75" customHeight="1" x14ac:dyDescent="0.25">
      <c r="A148" s="17"/>
      <c r="B148" s="2" t="s">
        <v>205</v>
      </c>
      <c r="D148" s="11" t="s">
        <v>31</v>
      </c>
      <c r="E148" s="3" t="str">
        <f>IF(H139&gt;H145,"pf &gt; s","pf &lt; s")</f>
        <v>pf &lt; s</v>
      </c>
      <c r="F148" s="11" t="s">
        <v>31</v>
      </c>
      <c r="G148" s="4" t="s">
        <v>96</v>
      </c>
      <c r="H148" s="12">
        <f>Process!H69</f>
        <v>50</v>
      </c>
      <c r="I148" s="5" t="s">
        <v>5</v>
      </c>
    </row>
    <row r="149" spans="1:9" ht="18.75" customHeight="1" x14ac:dyDescent="0.25">
      <c r="A149" s="17"/>
      <c r="B149" s="2"/>
      <c r="G149" s="4" t="s">
        <v>159</v>
      </c>
      <c r="H149" s="12">
        <f>Process!H70</f>
        <v>2623.1578947368421</v>
      </c>
      <c r="I149" s="5"/>
    </row>
    <row r="150" spans="1:9" ht="18.75" customHeight="1" x14ac:dyDescent="0.25">
      <c r="A150" s="17"/>
      <c r="G150" s="4" t="s">
        <v>160</v>
      </c>
      <c r="H150" s="12">
        <f>Process!H71</f>
        <v>3973.1578947368421</v>
      </c>
      <c r="I150" s="5"/>
    </row>
    <row r="151" spans="1:9" ht="18.75" customHeight="1" x14ac:dyDescent="0.25">
      <c r="A151" s="17"/>
      <c r="B151" s="1" t="s">
        <v>101</v>
      </c>
      <c r="G151" s="44" t="s">
        <v>100</v>
      </c>
      <c r="H151" s="12">
        <f>Process!H72</f>
        <v>1.25</v>
      </c>
      <c r="I151" s="5"/>
    </row>
    <row r="152" spans="1:9" ht="18.75" customHeight="1" x14ac:dyDescent="0.25">
      <c r="A152" s="17"/>
      <c r="B152" s="1" t="s">
        <v>102</v>
      </c>
      <c r="G152" s="44" t="s">
        <v>113</v>
      </c>
      <c r="H152" s="12">
        <f>Process!H73</f>
        <v>250</v>
      </c>
      <c r="I152" s="5" t="s">
        <v>10</v>
      </c>
    </row>
    <row r="153" spans="1:9" ht="18.75" customHeight="1" x14ac:dyDescent="0.25">
      <c r="A153" s="17"/>
      <c r="B153" s="1" t="s">
        <v>99</v>
      </c>
      <c r="G153" s="46" t="s">
        <v>98</v>
      </c>
      <c r="H153" s="12">
        <f>Process!H74</f>
        <v>25</v>
      </c>
      <c r="I153" s="5" t="s">
        <v>5</v>
      </c>
    </row>
    <row r="154" spans="1:9" ht="18.75" customHeight="1" x14ac:dyDescent="0.25">
      <c r="A154" s="17"/>
      <c r="G154" s="46"/>
      <c r="H154" s="46"/>
      <c r="I154" s="5"/>
    </row>
    <row r="155" spans="1:9" ht="18.75" customHeight="1" x14ac:dyDescent="0.25">
      <c r="A155" s="17"/>
    </row>
    <row r="156" spans="1:9" ht="18.75" customHeight="1" x14ac:dyDescent="0.25">
      <c r="A156" s="17"/>
      <c r="B156" s="1" t="s">
        <v>105</v>
      </c>
    </row>
    <row r="157" spans="1:9" ht="18.75" customHeight="1" x14ac:dyDescent="0.25">
      <c r="A157" s="17"/>
      <c r="G157" s="58" t="s">
        <v>106</v>
      </c>
      <c r="H157" s="12">
        <f>Process!H77</f>
        <v>620.80592105263156</v>
      </c>
      <c r="I157" s="5" t="s">
        <v>12</v>
      </c>
    </row>
    <row r="158" spans="1:9" ht="18.75" customHeight="1" x14ac:dyDescent="0.25">
      <c r="A158" s="17"/>
      <c r="B158" s="1" t="s">
        <v>161</v>
      </c>
      <c r="G158" s="4" t="s">
        <v>162</v>
      </c>
      <c r="H158" s="12">
        <f>Process!H78</f>
        <v>558.72532894736844</v>
      </c>
      <c r="I158" s="5" t="s">
        <v>12</v>
      </c>
    </row>
    <row r="159" spans="1:9" ht="18.75" customHeight="1" x14ac:dyDescent="0.25">
      <c r="A159" s="17"/>
      <c r="B159" s="1" t="s">
        <v>109</v>
      </c>
      <c r="G159" s="4"/>
      <c r="H159" s="28"/>
      <c r="I159" s="5"/>
    </row>
    <row r="160" spans="1:9" ht="18.75" customHeight="1" x14ac:dyDescent="0.25">
      <c r="A160" s="17"/>
      <c r="B160" s="1" t="s">
        <v>90</v>
      </c>
      <c r="D160" s="3" t="s">
        <v>94</v>
      </c>
      <c r="E160" s="3" t="s">
        <v>91</v>
      </c>
      <c r="F160" s="37" t="s">
        <v>95</v>
      </c>
      <c r="G160" s="4"/>
      <c r="H160" s="28"/>
      <c r="I160" s="5"/>
    </row>
    <row r="161" spans="1:9" ht="18.75" customHeight="1" x14ac:dyDescent="0.25">
      <c r="A161" s="17"/>
      <c r="D161" s="45">
        <f>Process!D81</f>
        <v>277.76563199999998</v>
      </c>
      <c r="E161" s="3" t="str">
        <f>IF(D161&lt;F161,"≤","&gt;")</f>
        <v>≤</v>
      </c>
      <c r="F161" s="45">
        <f>Process!F81</f>
        <v>558.72532894736844</v>
      </c>
      <c r="G161" s="11" t="s">
        <v>31</v>
      </c>
      <c r="H161" s="7" t="str">
        <f>IF(D161&lt;F161,"[ OK ]","[ NOT OK ]")</f>
        <v>[ OK ]</v>
      </c>
      <c r="I161" s="5"/>
    </row>
    <row r="162" spans="1:9" ht="18.75" customHeight="1" x14ac:dyDescent="0.25">
      <c r="A162" s="17"/>
      <c r="G162" s="4"/>
      <c r="H162" s="3"/>
      <c r="I162" s="5"/>
    </row>
    <row r="163" spans="1:9" ht="18.75" customHeight="1" x14ac:dyDescent="0.25">
      <c r="A163" s="18" t="s">
        <v>69</v>
      </c>
      <c r="B163" s="19" t="s">
        <v>104</v>
      </c>
      <c r="C163" s="20"/>
      <c r="D163" s="20"/>
      <c r="E163" s="20"/>
      <c r="F163" s="20"/>
      <c r="G163" s="21"/>
      <c r="H163" s="22"/>
      <c r="I163" s="23"/>
    </row>
    <row r="164" spans="1:9" ht="18.75" customHeight="1" x14ac:dyDescent="0.25">
      <c r="A164" s="17"/>
      <c r="B164" s="1" t="s">
        <v>122</v>
      </c>
      <c r="G164" s="4" t="s">
        <v>121</v>
      </c>
      <c r="H164" s="12">
        <f>Process!H84</f>
        <v>0.75</v>
      </c>
      <c r="I164" s="5"/>
    </row>
    <row r="165" spans="1:9" ht="18.75" customHeight="1" x14ac:dyDescent="0.25">
      <c r="A165" s="17"/>
      <c r="B165" s="1" t="s">
        <v>34</v>
      </c>
      <c r="G165" s="44" t="s">
        <v>119</v>
      </c>
      <c r="H165" s="12">
        <f>Process!H85</f>
        <v>620</v>
      </c>
      <c r="I165" s="5" t="s">
        <v>88</v>
      </c>
    </row>
    <row r="166" spans="1:9" ht="18.75" customHeight="1" x14ac:dyDescent="0.25">
      <c r="A166" s="17"/>
      <c r="B166" s="1" t="s">
        <v>217</v>
      </c>
      <c r="G166" s="44" t="s">
        <v>89</v>
      </c>
      <c r="H166" s="59">
        <f>Process!H86</f>
        <v>19</v>
      </c>
      <c r="I166" s="5" t="s">
        <v>5</v>
      </c>
    </row>
    <row r="167" spans="1:9" ht="18.75" customHeight="1" x14ac:dyDescent="0.25">
      <c r="A167" s="17"/>
      <c r="B167" s="1" t="s">
        <v>193</v>
      </c>
      <c r="D167" s="28"/>
      <c r="E167" s="3"/>
      <c r="F167" s="28"/>
      <c r="G167" s="58" t="s">
        <v>194</v>
      </c>
      <c r="H167" s="12">
        <f>Process!H87</f>
        <v>21</v>
      </c>
      <c r="I167" s="5" t="s">
        <v>5</v>
      </c>
    </row>
    <row r="168" spans="1:9" ht="18.75" customHeight="1" x14ac:dyDescent="0.25">
      <c r="A168" s="17"/>
      <c r="D168" s="28"/>
      <c r="E168" s="3"/>
      <c r="F168" s="28"/>
      <c r="G168" s="11"/>
      <c r="H168" s="47"/>
      <c r="I168" s="5"/>
    </row>
    <row r="169" spans="1:9" ht="18.75" customHeight="1" x14ac:dyDescent="0.25">
      <c r="A169" s="17"/>
      <c r="D169" s="28"/>
      <c r="E169" s="3"/>
      <c r="F169" s="28"/>
      <c r="G169" s="58" t="s">
        <v>186</v>
      </c>
      <c r="H169" s="12">
        <f>Process!H89</f>
        <v>62</v>
      </c>
      <c r="I169" s="5" t="s">
        <v>5</v>
      </c>
    </row>
    <row r="170" spans="1:9" ht="18.75" customHeight="1" x14ac:dyDescent="0.25">
      <c r="A170" s="17"/>
      <c r="B170" s="1" t="s">
        <v>184</v>
      </c>
      <c r="D170" s="3" t="s">
        <v>196</v>
      </c>
      <c r="E170" s="3" t="s">
        <v>91</v>
      </c>
      <c r="F170" s="3" t="s">
        <v>185</v>
      </c>
      <c r="G170" s="4"/>
      <c r="H170" s="28"/>
      <c r="I170" s="5"/>
    </row>
    <row r="171" spans="1:9" ht="18.75" customHeight="1" x14ac:dyDescent="0.25">
      <c r="A171" s="17"/>
      <c r="D171" s="59">
        <f>Process!D91</f>
        <v>62</v>
      </c>
      <c r="E171" s="3" t="str">
        <f>IF(D171&gt;F171,"&gt;","≤")</f>
        <v>≤</v>
      </c>
      <c r="F171" s="59">
        <f>Process!F91</f>
        <v>63.875</v>
      </c>
      <c r="G171" s="11" t="s">
        <v>31</v>
      </c>
      <c r="H171" s="47" t="str">
        <f>IF(D171&gt;F171,"[ NOT OK ]","[ OK ]")</f>
        <v>[ OK ]</v>
      </c>
      <c r="I171" s="5"/>
    </row>
    <row r="172" spans="1:9" ht="18.75" customHeight="1" x14ac:dyDescent="0.25">
      <c r="A172" s="17"/>
      <c r="G172" s="4"/>
      <c r="H172" s="3"/>
      <c r="I172" s="5"/>
    </row>
    <row r="173" spans="1:9" ht="18.75" customHeight="1" x14ac:dyDescent="0.25">
      <c r="A173" s="17"/>
      <c r="G173" s="58" t="s">
        <v>183</v>
      </c>
      <c r="H173" s="12">
        <f>Process!H93</f>
        <v>34</v>
      </c>
      <c r="I173" s="5" t="s">
        <v>5</v>
      </c>
    </row>
    <row r="174" spans="1:9" ht="18.75" customHeight="1" x14ac:dyDescent="0.25">
      <c r="A174" s="17"/>
      <c r="B174" s="1" t="s">
        <v>167</v>
      </c>
      <c r="G174" s="58" t="s">
        <v>163</v>
      </c>
      <c r="H174" s="12">
        <f>Process!H94</f>
        <v>131.77402499999999</v>
      </c>
      <c r="I174" s="5" t="s">
        <v>13</v>
      </c>
    </row>
    <row r="175" spans="1:9" ht="18.75" customHeight="1" x14ac:dyDescent="0.25">
      <c r="A175" s="17"/>
      <c r="G175" s="58"/>
      <c r="H175" s="28"/>
      <c r="I175" s="5"/>
    </row>
    <row r="176" spans="1:9" ht="18.75" customHeight="1" x14ac:dyDescent="0.25">
      <c r="A176" s="17"/>
      <c r="B176" s="26" t="s">
        <v>168</v>
      </c>
      <c r="G176" s="4"/>
      <c r="H176" s="3"/>
      <c r="I176" s="5"/>
    </row>
    <row r="177" spans="1:9" ht="18.75" customHeight="1" x14ac:dyDescent="0.25">
      <c r="A177" s="17"/>
      <c r="B177" s="1" t="s">
        <v>308</v>
      </c>
      <c r="G177" s="4" t="s">
        <v>192</v>
      </c>
      <c r="H177" s="12">
        <f>Process!H97</f>
        <v>87.5</v>
      </c>
      <c r="I177" s="5" t="s">
        <v>5</v>
      </c>
    </row>
    <row r="178" spans="1:9" ht="18.75" customHeight="1" x14ac:dyDescent="0.25">
      <c r="A178" s="17"/>
      <c r="B178" s="1" t="s">
        <v>309</v>
      </c>
      <c r="G178" s="4" t="s">
        <v>195</v>
      </c>
      <c r="H178" s="10">
        <f>Process!H98</f>
        <v>0.76</v>
      </c>
      <c r="I178" s="5"/>
    </row>
    <row r="179" spans="1:9" ht="18.75" customHeight="1" x14ac:dyDescent="0.25">
      <c r="A179" s="17"/>
      <c r="B179" s="1" t="s">
        <v>198</v>
      </c>
      <c r="I179" s="5"/>
    </row>
    <row r="180" spans="1:9" ht="18.75" customHeight="1" x14ac:dyDescent="0.25">
      <c r="A180" s="17"/>
      <c r="G180" s="44" t="s">
        <v>191</v>
      </c>
      <c r="H180" s="12">
        <f>Process!H100</f>
        <v>0.40896408060150352</v>
      </c>
      <c r="I180" s="5"/>
    </row>
    <row r="181" spans="1:9" ht="18.75" customHeight="1" x14ac:dyDescent="0.25">
      <c r="A181" s="17"/>
      <c r="B181" s="57" t="s">
        <v>188</v>
      </c>
      <c r="G181" s="44"/>
      <c r="H181" s="4"/>
      <c r="I181" s="5"/>
    </row>
    <row r="182" spans="1:9" ht="18.75" customHeight="1" x14ac:dyDescent="0.25">
      <c r="B182" s="60" t="s">
        <v>26</v>
      </c>
      <c r="C182" s="63" t="s">
        <v>197</v>
      </c>
      <c r="D182" s="61"/>
      <c r="E182" s="61"/>
      <c r="F182" s="61"/>
      <c r="G182" s="62" t="s">
        <v>189</v>
      </c>
      <c r="H182" s="45" t="str">
        <f>Process!H102</f>
        <v>-</v>
      </c>
      <c r="I182" s="5" t="s">
        <v>13</v>
      </c>
    </row>
    <row r="183" spans="1:9" ht="18.75" customHeight="1" x14ac:dyDescent="0.25">
      <c r="B183" s="60" t="s">
        <v>28</v>
      </c>
      <c r="C183" s="64" t="s">
        <v>201</v>
      </c>
      <c r="D183" s="61"/>
      <c r="E183" s="61"/>
      <c r="F183" s="61"/>
      <c r="G183" s="62" t="s">
        <v>190</v>
      </c>
      <c r="H183" s="45">
        <f>Process!H103</f>
        <v>120.70789895833333</v>
      </c>
      <c r="I183" s="5" t="s">
        <v>13</v>
      </c>
    </row>
    <row r="184" spans="1:9" ht="18.75" customHeight="1" x14ac:dyDescent="0.25">
      <c r="B184" s="60" t="s">
        <v>187</v>
      </c>
      <c r="C184" s="63" t="s">
        <v>200</v>
      </c>
      <c r="D184" s="61"/>
      <c r="E184" s="61"/>
      <c r="F184" s="61"/>
      <c r="G184" s="62" t="s">
        <v>172</v>
      </c>
      <c r="H184" s="45" t="str">
        <f>Process!H104</f>
        <v>-</v>
      </c>
      <c r="I184" s="5" t="s">
        <v>13</v>
      </c>
    </row>
    <row r="185" spans="1:9" ht="18.75" customHeight="1" x14ac:dyDescent="0.25">
      <c r="A185" s="17"/>
      <c r="B185" s="57"/>
      <c r="G185" s="58" t="s">
        <v>166</v>
      </c>
      <c r="H185" s="10">
        <f>Process!H105</f>
        <v>120.70789895833333</v>
      </c>
      <c r="I185" s="5" t="s">
        <v>13</v>
      </c>
    </row>
    <row r="186" spans="1:9" ht="18.75" customHeight="1" x14ac:dyDescent="0.25">
      <c r="A186" s="17"/>
      <c r="B186" s="57"/>
      <c r="G186" s="58"/>
      <c r="H186" s="58"/>
      <c r="I186" s="5"/>
    </row>
    <row r="187" spans="1:9" ht="18.75" customHeight="1" x14ac:dyDescent="0.25">
      <c r="A187" s="17"/>
      <c r="B187" s="1" t="s">
        <v>165</v>
      </c>
      <c r="G187" s="4" t="s">
        <v>174</v>
      </c>
      <c r="H187" s="27">
        <f>Process!H107</f>
        <v>241.41579791666666</v>
      </c>
      <c r="I187" s="5" t="s">
        <v>13</v>
      </c>
    </row>
    <row r="188" spans="1:9" ht="18.75" customHeight="1" x14ac:dyDescent="0.25">
      <c r="A188" s="17"/>
      <c r="G188" s="4"/>
      <c r="H188" s="28"/>
      <c r="I188" s="5"/>
    </row>
    <row r="189" spans="1:9" ht="18.75" customHeight="1" x14ac:dyDescent="0.25">
      <c r="A189" s="17"/>
      <c r="B189" s="26" t="s">
        <v>169</v>
      </c>
      <c r="G189" s="4"/>
      <c r="H189" s="28"/>
      <c r="I189" s="5"/>
    </row>
    <row r="190" spans="1:9" ht="18.75" customHeight="1" x14ac:dyDescent="0.25">
      <c r="A190" s="17"/>
      <c r="B190" s="1" t="s">
        <v>311</v>
      </c>
      <c r="G190" s="4" t="s">
        <v>173</v>
      </c>
      <c r="H190" s="12">
        <f>Process!H110</f>
        <v>75</v>
      </c>
      <c r="I190" s="5" t="s">
        <v>5</v>
      </c>
    </row>
    <row r="191" spans="1:9" ht="18.75" customHeight="1" x14ac:dyDescent="0.25">
      <c r="A191" s="17"/>
      <c r="B191" s="1" t="s">
        <v>309</v>
      </c>
      <c r="G191" s="4" t="s">
        <v>199</v>
      </c>
      <c r="H191" s="10">
        <f>Process!H111</f>
        <v>0.72</v>
      </c>
      <c r="I191" s="5"/>
    </row>
    <row r="192" spans="1:9" ht="18.75" customHeight="1" x14ac:dyDescent="0.25">
      <c r="A192" s="17"/>
      <c r="B192" s="1" t="s">
        <v>198</v>
      </c>
      <c r="I192" s="5"/>
    </row>
    <row r="193" spans="1:9" ht="18.75" customHeight="1" x14ac:dyDescent="0.25">
      <c r="A193" s="17"/>
      <c r="G193" s="44" t="s">
        <v>164</v>
      </c>
      <c r="H193" s="12">
        <f>Process!H113</f>
        <v>0.73511317333333304</v>
      </c>
      <c r="I193" s="5"/>
    </row>
    <row r="194" spans="1:9" ht="18.75" customHeight="1" x14ac:dyDescent="0.25">
      <c r="A194" s="17"/>
      <c r="B194" s="57" t="s">
        <v>188</v>
      </c>
      <c r="G194" s="4"/>
      <c r="H194" s="4"/>
      <c r="I194" s="5"/>
    </row>
    <row r="195" spans="1:9" ht="18.75" customHeight="1" x14ac:dyDescent="0.25">
      <c r="B195" s="60" t="s">
        <v>26</v>
      </c>
      <c r="C195" s="63" t="s">
        <v>197</v>
      </c>
      <c r="D195" s="61"/>
      <c r="E195" s="61"/>
      <c r="F195" s="61"/>
      <c r="G195" s="62" t="s">
        <v>189</v>
      </c>
      <c r="H195" s="45" t="str">
        <f>Process!H115</f>
        <v>-</v>
      </c>
      <c r="I195" s="5" t="s">
        <v>13</v>
      </c>
    </row>
    <row r="196" spans="1:9" ht="18.75" customHeight="1" x14ac:dyDescent="0.25">
      <c r="B196" s="60" t="s">
        <v>28</v>
      </c>
      <c r="C196" s="64" t="s">
        <v>201</v>
      </c>
      <c r="D196" s="61"/>
      <c r="E196" s="61"/>
      <c r="F196" s="61"/>
      <c r="G196" s="62" t="s">
        <v>190</v>
      </c>
      <c r="H196" s="45">
        <f>Process!H116</f>
        <v>115.6216359375</v>
      </c>
      <c r="I196" s="5" t="s">
        <v>13</v>
      </c>
    </row>
    <row r="197" spans="1:9" ht="18.75" customHeight="1" x14ac:dyDescent="0.25">
      <c r="B197" s="60" t="s">
        <v>187</v>
      </c>
      <c r="C197" s="63" t="s">
        <v>200</v>
      </c>
      <c r="D197" s="61"/>
      <c r="E197" s="61"/>
      <c r="F197" s="61"/>
      <c r="G197" s="62" t="s">
        <v>172</v>
      </c>
      <c r="H197" s="45" t="str">
        <f>Process!H117</f>
        <v>-</v>
      </c>
      <c r="I197" s="5" t="s">
        <v>13</v>
      </c>
    </row>
    <row r="198" spans="1:9" ht="18.75" customHeight="1" x14ac:dyDescent="0.25">
      <c r="A198" s="17"/>
      <c r="B198" s="57"/>
      <c r="G198" s="58" t="s">
        <v>166</v>
      </c>
      <c r="H198" s="10">
        <f>Process!H118</f>
        <v>115.6216359375</v>
      </c>
      <c r="I198" s="5" t="s">
        <v>13</v>
      </c>
    </row>
    <row r="199" spans="1:9" ht="18.75" customHeight="1" x14ac:dyDescent="0.25">
      <c r="A199" s="17"/>
      <c r="B199" s="57"/>
      <c r="G199" s="58"/>
      <c r="H199" s="58"/>
      <c r="I199" s="5"/>
    </row>
    <row r="200" spans="1:9" ht="18.75" customHeight="1" x14ac:dyDescent="0.25">
      <c r="A200" s="17"/>
      <c r="B200" s="1" t="s">
        <v>208</v>
      </c>
      <c r="G200" s="4" t="s">
        <v>175</v>
      </c>
      <c r="H200" s="27">
        <f>Process!H120</f>
        <v>231.243271875</v>
      </c>
      <c r="I200" s="5" t="s">
        <v>13</v>
      </c>
    </row>
    <row r="201" spans="1:9" ht="18.75" customHeight="1" x14ac:dyDescent="0.25">
      <c r="A201" s="17"/>
      <c r="G201" s="4"/>
      <c r="H201" s="28"/>
      <c r="I201" s="5"/>
    </row>
    <row r="202" spans="1:9" ht="18.75" customHeight="1" x14ac:dyDescent="0.25">
      <c r="A202" s="17"/>
      <c r="B202" s="26" t="s">
        <v>176</v>
      </c>
      <c r="G202" s="4"/>
      <c r="H202" s="28"/>
      <c r="I202" s="5"/>
    </row>
    <row r="203" spans="1:9" ht="18.75" customHeight="1" x14ac:dyDescent="0.25">
      <c r="A203" s="17"/>
      <c r="B203" s="1" t="s">
        <v>310</v>
      </c>
      <c r="G203" s="4" t="s">
        <v>177</v>
      </c>
      <c r="H203" s="12">
        <f>Process!H123</f>
        <v>75</v>
      </c>
      <c r="I203" s="5" t="s">
        <v>5</v>
      </c>
    </row>
    <row r="204" spans="1:9" ht="18.75" customHeight="1" x14ac:dyDescent="0.25">
      <c r="A204" s="17"/>
      <c r="B204" s="1" t="s">
        <v>309</v>
      </c>
      <c r="G204" s="4" t="s">
        <v>202</v>
      </c>
      <c r="H204" s="12">
        <f>Process!H124</f>
        <v>0.72</v>
      </c>
      <c r="I204" s="5"/>
    </row>
    <row r="205" spans="1:9" ht="18.75" customHeight="1" x14ac:dyDescent="0.25">
      <c r="A205" s="17"/>
      <c r="B205" s="1" t="s">
        <v>198</v>
      </c>
      <c r="I205" s="5"/>
    </row>
    <row r="206" spans="1:9" ht="18.75" customHeight="1" x14ac:dyDescent="0.25">
      <c r="A206" s="17"/>
      <c r="G206" s="44" t="s">
        <v>164</v>
      </c>
      <c r="H206" s="12">
        <f>Process!H126</f>
        <v>0.73511317333333304</v>
      </c>
      <c r="I206" s="5"/>
    </row>
    <row r="207" spans="1:9" ht="18.75" customHeight="1" x14ac:dyDescent="0.25">
      <c r="A207" s="17"/>
      <c r="B207" s="57" t="s">
        <v>188</v>
      </c>
      <c r="G207" s="4"/>
      <c r="H207" s="4"/>
      <c r="I207" s="5"/>
    </row>
    <row r="208" spans="1:9" ht="18.75" customHeight="1" x14ac:dyDescent="0.25">
      <c r="B208" s="60" t="s">
        <v>26</v>
      </c>
      <c r="C208" s="63" t="s">
        <v>197</v>
      </c>
      <c r="D208" s="61"/>
      <c r="E208" s="61"/>
      <c r="F208" s="61"/>
      <c r="G208" s="62" t="s">
        <v>189</v>
      </c>
      <c r="H208" s="45" t="str">
        <f>Process!H128</f>
        <v>-</v>
      </c>
      <c r="I208" s="5" t="s">
        <v>13</v>
      </c>
    </row>
    <row r="209" spans="1:9" ht="18.75" customHeight="1" x14ac:dyDescent="0.25">
      <c r="B209" s="60" t="s">
        <v>28</v>
      </c>
      <c r="C209" s="64" t="s">
        <v>201</v>
      </c>
      <c r="D209" s="61"/>
      <c r="E209" s="61"/>
      <c r="F209" s="61"/>
      <c r="G209" s="62" t="s">
        <v>190</v>
      </c>
      <c r="H209" s="45">
        <f>Process!H129</f>
        <v>115.6216359375</v>
      </c>
      <c r="I209" s="5" t="s">
        <v>13</v>
      </c>
    </row>
    <row r="210" spans="1:9" ht="18.75" customHeight="1" x14ac:dyDescent="0.25">
      <c r="B210" s="60" t="s">
        <v>187</v>
      </c>
      <c r="C210" s="63" t="s">
        <v>200</v>
      </c>
      <c r="D210" s="61"/>
      <c r="E210" s="61"/>
      <c r="F210" s="61"/>
      <c r="G210" s="62" t="s">
        <v>172</v>
      </c>
      <c r="H210" s="45" t="str">
        <f>Process!H130</f>
        <v>-</v>
      </c>
      <c r="I210" s="5" t="s">
        <v>13</v>
      </c>
    </row>
    <row r="211" spans="1:9" ht="18.75" customHeight="1" x14ac:dyDescent="0.25">
      <c r="A211" s="17"/>
      <c r="B211" s="57"/>
      <c r="G211" s="58" t="s">
        <v>166</v>
      </c>
      <c r="H211" s="12">
        <f>Process!H131</f>
        <v>115.6216359375</v>
      </c>
      <c r="I211" s="5" t="s">
        <v>13</v>
      </c>
    </row>
    <row r="212" spans="1:9" ht="18.75" customHeight="1" x14ac:dyDescent="0.25">
      <c r="A212" s="17"/>
      <c r="B212" s="57"/>
      <c r="G212" s="58"/>
      <c r="H212" s="58"/>
      <c r="I212" s="5"/>
    </row>
    <row r="213" spans="1:9" ht="18.75" customHeight="1" x14ac:dyDescent="0.25">
      <c r="A213" s="17"/>
      <c r="B213" s="1" t="s">
        <v>207</v>
      </c>
      <c r="G213" s="4" t="s">
        <v>178</v>
      </c>
      <c r="H213" s="27">
        <f>Process!H133</f>
        <v>231.243271875</v>
      </c>
      <c r="I213" s="5" t="s">
        <v>13</v>
      </c>
    </row>
    <row r="214" spans="1:9" ht="18.75" customHeight="1" x14ac:dyDescent="0.25">
      <c r="A214" s="17"/>
      <c r="B214" s="26"/>
      <c r="G214" s="4"/>
      <c r="H214" s="28"/>
      <c r="I214" s="5"/>
    </row>
    <row r="215" spans="1:9" ht="18.75" customHeight="1" x14ac:dyDescent="0.25">
      <c r="A215" s="17"/>
      <c r="B215" s="26" t="s">
        <v>179</v>
      </c>
      <c r="G215" s="4"/>
      <c r="H215" s="28"/>
      <c r="I215" s="5"/>
    </row>
    <row r="216" spans="1:9" ht="18.75" customHeight="1" x14ac:dyDescent="0.25">
      <c r="A216" s="17"/>
      <c r="B216" s="1" t="s">
        <v>312</v>
      </c>
      <c r="G216" s="4" t="s">
        <v>203</v>
      </c>
      <c r="H216" s="12">
        <f>Process!H136</f>
        <v>87.5</v>
      </c>
      <c r="I216" s="5" t="s">
        <v>5</v>
      </c>
    </row>
    <row r="217" spans="1:9" ht="18.75" customHeight="1" x14ac:dyDescent="0.25">
      <c r="A217" s="17"/>
      <c r="B217" s="1" t="s">
        <v>309</v>
      </c>
      <c r="G217" s="4" t="s">
        <v>204</v>
      </c>
      <c r="H217" s="10">
        <f>Process!H137</f>
        <v>0.76</v>
      </c>
      <c r="I217" s="5"/>
    </row>
    <row r="218" spans="1:9" ht="18.75" customHeight="1" x14ac:dyDescent="0.25">
      <c r="A218" s="17"/>
      <c r="B218" s="1" t="s">
        <v>198</v>
      </c>
      <c r="G218" s="4"/>
      <c r="H218" s="4"/>
      <c r="I218" s="5"/>
    </row>
    <row r="219" spans="1:9" ht="18.75" customHeight="1" x14ac:dyDescent="0.25">
      <c r="A219" s="17"/>
      <c r="G219" s="44" t="s">
        <v>164</v>
      </c>
      <c r="H219" s="12">
        <f>Process!H139</f>
        <v>0.40896408060150352</v>
      </c>
      <c r="I219" s="5"/>
    </row>
    <row r="220" spans="1:9" ht="18.75" customHeight="1" x14ac:dyDescent="0.25">
      <c r="A220" s="17"/>
      <c r="G220" s="44"/>
      <c r="H220" s="28"/>
      <c r="I220" s="5"/>
    </row>
    <row r="221" spans="1:9" ht="18.75" customHeight="1" x14ac:dyDescent="0.25">
      <c r="A221" s="17"/>
      <c r="G221" s="44"/>
      <c r="H221" s="28"/>
      <c r="I221" s="5"/>
    </row>
    <row r="222" spans="1:9" ht="18.75" customHeight="1" x14ac:dyDescent="0.25">
      <c r="A222" s="17"/>
      <c r="B222" s="57" t="s">
        <v>188</v>
      </c>
      <c r="G222" s="4"/>
      <c r="H222" s="4"/>
      <c r="I222" s="5"/>
    </row>
    <row r="223" spans="1:9" ht="18.75" customHeight="1" x14ac:dyDescent="0.25">
      <c r="B223" s="60" t="s">
        <v>26</v>
      </c>
      <c r="C223" s="63" t="s">
        <v>197</v>
      </c>
      <c r="D223" s="61"/>
      <c r="E223" s="61"/>
      <c r="F223" s="61"/>
      <c r="G223" s="62" t="s">
        <v>189</v>
      </c>
      <c r="H223" s="45" t="str">
        <f>Process!H141</f>
        <v>-</v>
      </c>
      <c r="I223" s="5" t="s">
        <v>13</v>
      </c>
    </row>
    <row r="224" spans="1:9" ht="18.75" customHeight="1" x14ac:dyDescent="0.25">
      <c r="B224" s="60" t="s">
        <v>28</v>
      </c>
      <c r="C224" s="64" t="s">
        <v>201</v>
      </c>
      <c r="D224" s="61"/>
      <c r="E224" s="61"/>
      <c r="F224" s="61"/>
      <c r="G224" s="62" t="s">
        <v>190</v>
      </c>
      <c r="H224" s="45">
        <f>Process!H142</f>
        <v>120.70789895833333</v>
      </c>
      <c r="I224" s="5" t="s">
        <v>13</v>
      </c>
    </row>
    <row r="225" spans="1:9" ht="18.75" customHeight="1" x14ac:dyDescent="0.25">
      <c r="B225" s="60" t="s">
        <v>187</v>
      </c>
      <c r="C225" s="63" t="s">
        <v>200</v>
      </c>
      <c r="D225" s="61"/>
      <c r="E225" s="61"/>
      <c r="F225" s="61"/>
      <c r="G225" s="62" t="s">
        <v>172</v>
      </c>
      <c r="H225" s="45" t="str">
        <f>Process!H143</f>
        <v>-</v>
      </c>
      <c r="I225" s="5" t="s">
        <v>13</v>
      </c>
    </row>
    <row r="226" spans="1:9" ht="18.75" customHeight="1" x14ac:dyDescent="0.25">
      <c r="B226" s="7"/>
      <c r="C226" s="65"/>
      <c r="G226" s="58" t="s">
        <v>166</v>
      </c>
      <c r="H226" s="10">
        <f>Process!H144</f>
        <v>120.70789895833333</v>
      </c>
      <c r="I226" s="5" t="s">
        <v>13</v>
      </c>
    </row>
    <row r="227" spans="1:9" ht="18.75" customHeight="1" x14ac:dyDescent="0.25">
      <c r="B227" s="7"/>
      <c r="C227" s="65"/>
      <c r="G227" s="58"/>
      <c r="H227" s="15"/>
      <c r="I227" s="5"/>
    </row>
    <row r="228" spans="1:9" ht="18.75" customHeight="1" x14ac:dyDescent="0.25">
      <c r="A228" s="17"/>
      <c r="B228" s="1" t="s">
        <v>206</v>
      </c>
      <c r="G228" s="4" t="s">
        <v>180</v>
      </c>
      <c r="H228" s="27">
        <f>Process!H146</f>
        <v>241.41579791666666</v>
      </c>
      <c r="I228" s="5" t="s">
        <v>13</v>
      </c>
    </row>
    <row r="229" spans="1:9" ht="18.75" customHeight="1" x14ac:dyDescent="0.25">
      <c r="A229" s="17"/>
      <c r="G229" s="4"/>
      <c r="H229" s="4"/>
      <c r="I229" s="5"/>
    </row>
    <row r="230" spans="1:9" ht="18.75" customHeight="1" x14ac:dyDescent="0.25">
      <c r="A230" s="17"/>
      <c r="B230" s="26"/>
      <c r="G230" s="4"/>
      <c r="H230" s="28"/>
      <c r="I230" s="5"/>
    </row>
    <row r="231" spans="1:9" ht="18.75" customHeight="1" x14ac:dyDescent="0.25">
      <c r="A231" s="17"/>
      <c r="B231" s="57" t="s">
        <v>181</v>
      </c>
    </row>
    <row r="232" spans="1:9" ht="18.75" customHeight="1" x14ac:dyDescent="0.25">
      <c r="A232" s="17"/>
      <c r="B232" s="57"/>
      <c r="G232" s="44" t="s">
        <v>182</v>
      </c>
      <c r="H232" s="12">
        <f>Process!H149</f>
        <v>287.1403848984375</v>
      </c>
      <c r="I232" s="5" t="s">
        <v>12</v>
      </c>
    </row>
    <row r="233" spans="1:9" ht="18.75" customHeight="1" x14ac:dyDescent="0.25">
      <c r="A233" s="17"/>
      <c r="B233" s="1" t="s">
        <v>109</v>
      </c>
      <c r="G233" s="4"/>
      <c r="H233" s="28"/>
      <c r="I233" s="5"/>
    </row>
    <row r="234" spans="1:9" ht="18.75" customHeight="1" x14ac:dyDescent="0.25">
      <c r="A234" s="17"/>
      <c r="B234" s="1" t="s">
        <v>90</v>
      </c>
      <c r="D234" s="3" t="s">
        <v>94</v>
      </c>
      <c r="E234" s="3" t="s">
        <v>91</v>
      </c>
      <c r="F234" s="37" t="s">
        <v>95</v>
      </c>
      <c r="G234" s="4"/>
      <c r="H234" s="28"/>
      <c r="I234" s="5"/>
    </row>
    <row r="235" spans="1:9" ht="18.75" customHeight="1" x14ac:dyDescent="0.25">
      <c r="A235" s="17"/>
      <c r="D235" s="45">
        <f>Process!D152</f>
        <v>277.76563199999998</v>
      </c>
      <c r="E235" s="3" t="str">
        <f>IF(D235&lt;F235,"≤","&gt;")</f>
        <v>≤</v>
      </c>
      <c r="F235" s="45">
        <f>Process!F152</f>
        <v>287.1403848984375</v>
      </c>
      <c r="G235" s="11" t="s">
        <v>31</v>
      </c>
      <c r="H235" s="7" t="str">
        <f>IF(D235&lt;F235,"[ OK ]","[ NOT OK ]")</f>
        <v>[ OK ]</v>
      </c>
      <c r="I235" s="5"/>
    </row>
    <row r="236" spans="1:9" ht="18.75" customHeight="1" x14ac:dyDescent="0.25">
      <c r="A236" s="17"/>
      <c r="G236" s="4"/>
      <c r="H236" s="3"/>
      <c r="I236" s="5"/>
    </row>
    <row r="237" spans="1:9" ht="18.75" customHeight="1" x14ac:dyDescent="0.25">
      <c r="A237" s="38" t="s">
        <v>210</v>
      </c>
      <c r="B237" s="39" t="s">
        <v>212</v>
      </c>
      <c r="C237" s="40"/>
      <c r="D237" s="40"/>
      <c r="E237" s="40"/>
      <c r="F237" s="40"/>
      <c r="G237" s="41"/>
      <c r="H237" s="42"/>
      <c r="I237" s="43"/>
    </row>
    <row r="238" spans="1:9" ht="18.75" customHeight="1" x14ac:dyDescent="0.25">
      <c r="A238" s="18" t="s">
        <v>211</v>
      </c>
      <c r="B238" s="19" t="s">
        <v>297</v>
      </c>
      <c r="C238" s="20"/>
      <c r="D238" s="20"/>
      <c r="E238" s="20"/>
      <c r="F238" s="20"/>
      <c r="G238" s="21"/>
      <c r="H238" s="22"/>
      <c r="I238" s="23"/>
    </row>
    <row r="239" spans="1:9" ht="18.75" customHeight="1" x14ac:dyDescent="0.25">
      <c r="A239" s="17"/>
      <c r="B239" s="1" t="s">
        <v>217</v>
      </c>
      <c r="G239" s="44" t="s">
        <v>89</v>
      </c>
      <c r="H239" s="12">
        <f>Process!H156</f>
        <v>19</v>
      </c>
      <c r="I239" s="5" t="s">
        <v>5</v>
      </c>
    </row>
    <row r="240" spans="1:9" ht="18.75" customHeight="1" x14ac:dyDescent="0.25">
      <c r="A240" s="17"/>
      <c r="B240" s="1" t="s">
        <v>193</v>
      </c>
      <c r="D240" s="28"/>
      <c r="E240" s="3"/>
      <c r="F240" s="28"/>
      <c r="G240" s="58" t="s">
        <v>194</v>
      </c>
      <c r="H240" s="12">
        <f>Process!H157</f>
        <v>21</v>
      </c>
      <c r="I240" s="5" t="s">
        <v>5</v>
      </c>
    </row>
    <row r="241" spans="1:9" ht="18.75" customHeight="1" x14ac:dyDescent="0.25">
      <c r="A241" s="17"/>
      <c r="B241" s="1" t="s">
        <v>218</v>
      </c>
      <c r="G241" s="44" t="s">
        <v>219</v>
      </c>
      <c r="H241" s="12">
        <f>Process!H158</f>
        <v>25</v>
      </c>
      <c r="I241" s="5" t="s">
        <v>5</v>
      </c>
    </row>
    <row r="242" spans="1:9" ht="18.75" customHeight="1" x14ac:dyDescent="0.25">
      <c r="A242" s="17"/>
      <c r="B242" s="1" t="s">
        <v>313</v>
      </c>
      <c r="G242" s="44" t="s">
        <v>237</v>
      </c>
      <c r="H242" s="12">
        <f>Process!H159</f>
        <v>370</v>
      </c>
      <c r="I242" s="5" t="s">
        <v>88</v>
      </c>
    </row>
    <row r="243" spans="1:9" ht="18.75" customHeight="1" x14ac:dyDescent="0.25">
      <c r="A243" s="17"/>
      <c r="G243" s="44"/>
      <c r="H243" s="28"/>
      <c r="I243" s="5"/>
    </row>
    <row r="244" spans="1:9" ht="18.75" customHeight="1" x14ac:dyDescent="0.25">
      <c r="A244" s="17"/>
      <c r="B244" s="1" t="s">
        <v>220</v>
      </c>
      <c r="H244" s="44" t="s">
        <v>241</v>
      </c>
      <c r="I244" s="5"/>
    </row>
    <row r="245" spans="1:9" ht="18.75" customHeight="1" x14ac:dyDescent="0.25">
      <c r="A245" s="17"/>
      <c r="B245" s="1" t="s">
        <v>221</v>
      </c>
      <c r="H245" s="4" t="s">
        <v>242</v>
      </c>
      <c r="I245" s="5"/>
    </row>
    <row r="246" spans="1:9" ht="18.75" customHeight="1" x14ac:dyDescent="0.25">
      <c r="A246" s="17"/>
      <c r="G246" s="4"/>
      <c r="H246" s="28"/>
      <c r="I246" s="5"/>
    </row>
    <row r="247" spans="1:9" ht="18.75" customHeight="1" x14ac:dyDescent="0.25">
      <c r="A247" s="17"/>
      <c r="C247" s="92" t="s">
        <v>239</v>
      </c>
      <c r="D247" s="67" t="s">
        <v>240</v>
      </c>
      <c r="E247" s="67" t="s">
        <v>243</v>
      </c>
      <c r="F247" s="67" t="s">
        <v>244</v>
      </c>
      <c r="G247" s="66" t="s">
        <v>245</v>
      </c>
      <c r="H247" s="28"/>
      <c r="I247" s="5"/>
    </row>
    <row r="248" spans="1:9" ht="18.75" customHeight="1" x14ac:dyDescent="0.25">
      <c r="A248" s="17"/>
      <c r="C248" s="92"/>
      <c r="D248" s="68" t="s">
        <v>17</v>
      </c>
      <c r="E248" s="68" t="s">
        <v>238</v>
      </c>
      <c r="F248" s="68" t="s">
        <v>17</v>
      </c>
      <c r="G248" s="66" t="s">
        <v>238</v>
      </c>
      <c r="H248" s="3"/>
      <c r="I248" s="5"/>
    </row>
    <row r="249" spans="1:9" ht="18.75" customHeight="1" x14ac:dyDescent="0.25">
      <c r="A249" s="17"/>
      <c r="C249" s="9">
        <v>1</v>
      </c>
      <c r="D249" s="12">
        <f>Process!D166</f>
        <v>29</v>
      </c>
      <c r="E249" s="8">
        <f>Process!E166</f>
        <v>321.89999999999992</v>
      </c>
      <c r="F249" s="8">
        <f>Process!F166</f>
        <v>421.8</v>
      </c>
      <c r="G249" s="69">
        <f>Process!G166</f>
        <v>321.89999999999992</v>
      </c>
      <c r="H249" s="3"/>
      <c r="I249" s="5"/>
    </row>
    <row r="250" spans="1:9" ht="18.75" customHeight="1" x14ac:dyDescent="0.25">
      <c r="A250" s="17"/>
      <c r="C250" s="9">
        <v>2</v>
      </c>
      <c r="D250" s="12">
        <f>Process!D167</f>
        <v>54</v>
      </c>
      <c r="E250" s="8">
        <f>Process!E167</f>
        <v>599.4</v>
      </c>
      <c r="F250" s="8">
        <f>Process!F167</f>
        <v>421.8</v>
      </c>
      <c r="G250" s="69">
        <f>Process!G167</f>
        <v>421.8</v>
      </c>
      <c r="H250" s="3"/>
      <c r="I250" s="5"/>
    </row>
    <row r="251" spans="1:9" ht="18.75" customHeight="1" x14ac:dyDescent="0.25">
      <c r="A251" s="17"/>
      <c r="C251" s="9">
        <v>3</v>
      </c>
      <c r="D251" s="12">
        <f>Process!D168</f>
        <v>54</v>
      </c>
      <c r="E251" s="8">
        <f>Process!E168</f>
        <v>599.4</v>
      </c>
      <c r="F251" s="8">
        <f>Process!F168</f>
        <v>421.8</v>
      </c>
      <c r="G251" s="69">
        <f>Process!G168</f>
        <v>421.8</v>
      </c>
      <c r="H251" s="3"/>
      <c r="I251" s="5"/>
    </row>
    <row r="252" spans="1:9" ht="18.75" customHeight="1" x14ac:dyDescent="0.25">
      <c r="A252" s="17"/>
      <c r="C252" s="9">
        <v>4</v>
      </c>
      <c r="D252" s="12">
        <f>Process!D169</f>
        <v>54</v>
      </c>
      <c r="E252" s="8">
        <f>Process!E169</f>
        <v>599.4</v>
      </c>
      <c r="F252" s="8">
        <f>Process!F169</f>
        <v>421.8</v>
      </c>
      <c r="G252" s="69">
        <f>Process!G169</f>
        <v>421.8</v>
      </c>
      <c r="H252" s="3"/>
      <c r="I252" s="5"/>
    </row>
    <row r="253" spans="1:9" ht="18.75" customHeight="1" x14ac:dyDescent="0.25">
      <c r="A253" s="17"/>
      <c r="C253" s="9">
        <v>5</v>
      </c>
      <c r="D253" s="12">
        <f>Process!D170</f>
        <v>154</v>
      </c>
      <c r="E253" s="8">
        <f>Process!E170</f>
        <v>1709.4</v>
      </c>
      <c r="F253" s="8">
        <f>Process!F170</f>
        <v>421.8</v>
      </c>
      <c r="G253" s="69">
        <f>Process!G170</f>
        <v>421.8</v>
      </c>
      <c r="H253" s="3"/>
      <c r="I253" s="5"/>
    </row>
    <row r="254" spans="1:9" ht="18.75" customHeight="1" x14ac:dyDescent="0.25">
      <c r="A254" s="17"/>
      <c r="C254" s="93" t="s">
        <v>247</v>
      </c>
      <c r="D254" s="93"/>
      <c r="E254" s="93"/>
      <c r="F254" s="85" t="s">
        <v>325</v>
      </c>
      <c r="G254" s="69">
        <f>Process!G171</f>
        <v>4018.2</v>
      </c>
      <c r="H254" s="3"/>
      <c r="I254" s="5"/>
    </row>
    <row r="255" spans="1:9" ht="18.75" customHeight="1" x14ac:dyDescent="0.25">
      <c r="A255" s="17"/>
      <c r="G255" s="4"/>
      <c r="H255" s="3"/>
      <c r="I255" s="5"/>
    </row>
    <row r="256" spans="1:9" ht="18.75" customHeight="1" x14ac:dyDescent="0.25">
      <c r="A256" s="17"/>
      <c r="G256" s="4"/>
      <c r="H256" s="3"/>
      <c r="I256" s="5"/>
    </row>
    <row r="257" spans="1:9" ht="18.75" customHeight="1" x14ac:dyDescent="0.25">
      <c r="A257" s="17"/>
      <c r="G257" s="4"/>
      <c r="H257" s="3"/>
      <c r="I257" s="5"/>
    </row>
    <row r="258" spans="1:9" ht="18.75" customHeight="1" x14ac:dyDescent="0.25">
      <c r="A258" s="17"/>
      <c r="G258" s="4"/>
      <c r="H258" s="3"/>
      <c r="I258" s="5"/>
    </row>
    <row r="259" spans="1:9" ht="18.75" customHeight="1" x14ac:dyDescent="0.25">
      <c r="A259" s="18" t="s">
        <v>213</v>
      </c>
      <c r="B259" s="19" t="s">
        <v>214</v>
      </c>
      <c r="C259" s="20"/>
      <c r="D259" s="20"/>
      <c r="E259" s="20"/>
      <c r="F259" s="20"/>
      <c r="G259" s="21"/>
      <c r="H259" s="22"/>
      <c r="I259" s="23"/>
    </row>
    <row r="260" spans="1:9" ht="18.75" customHeight="1" x14ac:dyDescent="0.25">
      <c r="A260" s="17"/>
      <c r="B260" s="1" t="s">
        <v>217</v>
      </c>
      <c r="G260" s="44" t="s">
        <v>89</v>
      </c>
      <c r="H260" s="12">
        <f>Process!H174</f>
        <v>19</v>
      </c>
      <c r="I260" s="5" t="s">
        <v>5</v>
      </c>
    </row>
    <row r="261" spans="1:9" ht="18.75" customHeight="1" x14ac:dyDescent="0.25">
      <c r="A261" s="17"/>
      <c r="B261" s="1" t="s">
        <v>222</v>
      </c>
      <c r="G261" s="44" t="s">
        <v>223</v>
      </c>
      <c r="H261" s="12">
        <f>Process!H175</f>
        <v>10</v>
      </c>
      <c r="I261" s="5" t="s">
        <v>224</v>
      </c>
    </row>
    <row r="262" spans="1:9" ht="18.75" customHeight="1" x14ac:dyDescent="0.25">
      <c r="A262" s="17"/>
      <c r="B262" s="1" t="s">
        <v>246</v>
      </c>
      <c r="G262" s="4" t="s">
        <v>83</v>
      </c>
      <c r="H262" s="12">
        <f>Process!H176</f>
        <v>372</v>
      </c>
      <c r="I262" s="5" t="s">
        <v>9</v>
      </c>
    </row>
    <row r="263" spans="1:9" ht="18.75" customHeight="1" x14ac:dyDescent="0.25">
      <c r="A263" s="17"/>
      <c r="B263" s="1" t="s">
        <v>225</v>
      </c>
      <c r="G263" s="44" t="s">
        <v>226</v>
      </c>
      <c r="H263" s="12">
        <f>Process!H177</f>
        <v>1054.1922000000002</v>
      </c>
      <c r="I263" s="5" t="s">
        <v>13</v>
      </c>
    </row>
    <row r="264" spans="1:9" ht="18.75" customHeight="1" x14ac:dyDescent="0.25">
      <c r="A264" s="17"/>
      <c r="G264" s="4"/>
      <c r="H264" s="3"/>
      <c r="I264" s="5"/>
    </row>
    <row r="265" spans="1:9" ht="18.75" customHeight="1" x14ac:dyDescent="0.25">
      <c r="A265" s="18" t="s">
        <v>215</v>
      </c>
      <c r="B265" s="19" t="s">
        <v>216</v>
      </c>
      <c r="C265" s="20"/>
      <c r="D265" s="20"/>
      <c r="E265" s="20"/>
      <c r="F265" s="20"/>
      <c r="G265" s="21"/>
      <c r="H265" s="22"/>
      <c r="I265" s="23"/>
    </row>
    <row r="266" spans="1:9" ht="18.75" customHeight="1" x14ac:dyDescent="0.25">
      <c r="A266" s="17"/>
      <c r="B266" s="1" t="s">
        <v>267</v>
      </c>
      <c r="G266" s="44" t="s">
        <v>266</v>
      </c>
      <c r="H266" s="12">
        <f>Process!H180</f>
        <v>240</v>
      </c>
      <c r="I266" s="5" t="s">
        <v>9</v>
      </c>
    </row>
    <row r="267" spans="1:9" ht="18.75" customHeight="1" x14ac:dyDescent="0.25">
      <c r="A267" s="17"/>
      <c r="B267" s="1" t="s">
        <v>268</v>
      </c>
      <c r="G267" s="44" t="s">
        <v>263</v>
      </c>
      <c r="H267" s="12">
        <f>Process!H181</f>
        <v>370</v>
      </c>
      <c r="I267" s="5" t="s">
        <v>9</v>
      </c>
    </row>
    <row r="268" spans="1:9" ht="18.75" customHeight="1" x14ac:dyDescent="0.25">
      <c r="A268" s="17"/>
      <c r="B268" s="1" t="s">
        <v>217</v>
      </c>
      <c r="G268" s="44" t="s">
        <v>89</v>
      </c>
      <c r="H268" s="12">
        <f>Process!H182</f>
        <v>19</v>
      </c>
      <c r="I268" s="5" t="s">
        <v>5</v>
      </c>
    </row>
    <row r="269" spans="1:9" ht="18.75" customHeight="1" x14ac:dyDescent="0.25">
      <c r="A269" s="17"/>
      <c r="B269" s="1" t="s">
        <v>193</v>
      </c>
      <c r="D269" s="28"/>
      <c r="E269" s="3"/>
      <c r="F269" s="28"/>
      <c r="G269" s="58" t="s">
        <v>194</v>
      </c>
      <c r="H269" s="12">
        <f>Process!H183</f>
        <v>21</v>
      </c>
      <c r="I269" s="5" t="s">
        <v>5</v>
      </c>
    </row>
    <row r="270" spans="1:9" ht="18.75" customHeight="1" x14ac:dyDescent="0.25">
      <c r="A270" s="17"/>
      <c r="B270" s="1" t="s">
        <v>269</v>
      </c>
      <c r="G270" s="4" t="s">
        <v>254</v>
      </c>
      <c r="H270" s="12">
        <f>Process!H184</f>
        <v>13</v>
      </c>
      <c r="I270" s="5" t="s">
        <v>5</v>
      </c>
    </row>
    <row r="271" spans="1:9" ht="18.75" customHeight="1" x14ac:dyDescent="0.25">
      <c r="A271" s="17"/>
      <c r="B271" s="1" t="s">
        <v>249</v>
      </c>
    </row>
    <row r="272" spans="1:9" ht="18.75" customHeight="1" x14ac:dyDescent="0.25">
      <c r="A272" s="17"/>
      <c r="G272" s="4" t="s">
        <v>258</v>
      </c>
      <c r="H272" s="12">
        <f>Process!H185</f>
        <v>5850</v>
      </c>
      <c r="I272" s="5" t="s">
        <v>38</v>
      </c>
    </row>
    <row r="273" spans="1:9" ht="18.75" customHeight="1" x14ac:dyDescent="0.25">
      <c r="A273" s="17"/>
      <c r="B273" s="1" t="s">
        <v>248</v>
      </c>
    </row>
    <row r="274" spans="1:9" ht="18.75" customHeight="1" x14ac:dyDescent="0.25">
      <c r="A274" s="17"/>
      <c r="G274" s="4" t="s">
        <v>259</v>
      </c>
      <c r="H274" s="12">
        <f>Process!H186</f>
        <v>4621.5</v>
      </c>
      <c r="I274" s="5" t="s">
        <v>38</v>
      </c>
    </row>
    <row r="275" spans="1:9" ht="18.75" customHeight="1" x14ac:dyDescent="0.25">
      <c r="A275" s="17"/>
      <c r="B275" s="1" t="s">
        <v>256</v>
      </c>
    </row>
    <row r="276" spans="1:9" ht="18.75" customHeight="1" x14ac:dyDescent="0.25">
      <c r="A276" s="17"/>
      <c r="G276" s="4" t="s">
        <v>260</v>
      </c>
      <c r="H276" s="12">
        <f>Process!H187</f>
        <v>682.5</v>
      </c>
      <c r="I276" s="5" t="s">
        <v>257</v>
      </c>
    </row>
    <row r="277" spans="1:9" ht="18.75" customHeight="1" x14ac:dyDescent="0.25">
      <c r="A277" s="17"/>
      <c r="B277" s="1" t="s">
        <v>250</v>
      </c>
    </row>
    <row r="278" spans="1:9" ht="18.75" customHeight="1" x14ac:dyDescent="0.25">
      <c r="A278" s="17"/>
      <c r="G278" s="4" t="s">
        <v>261</v>
      </c>
      <c r="H278" s="12">
        <f>Process!H188</f>
        <v>546</v>
      </c>
      <c r="I278" s="5" t="s">
        <v>38</v>
      </c>
    </row>
    <row r="279" spans="1:9" ht="18.75" customHeight="1" x14ac:dyDescent="0.25">
      <c r="A279" s="17"/>
      <c r="B279" s="1" t="s">
        <v>251</v>
      </c>
      <c r="G279" s="4" t="s">
        <v>252</v>
      </c>
      <c r="H279" s="12">
        <f>Process!H189</f>
        <v>1</v>
      </c>
      <c r="I279" s="5"/>
    </row>
    <row r="280" spans="1:9" ht="18.75" customHeight="1" x14ac:dyDescent="0.25">
      <c r="A280" s="17"/>
      <c r="G280" s="4"/>
      <c r="H280" s="3"/>
      <c r="I280" s="5"/>
    </row>
    <row r="281" spans="1:9" ht="18.75" customHeight="1" x14ac:dyDescent="0.25">
      <c r="A281" s="17"/>
      <c r="B281" s="1" t="s">
        <v>262</v>
      </c>
      <c r="G281" s="4"/>
      <c r="H281" s="3"/>
      <c r="I281" s="5"/>
    </row>
    <row r="282" spans="1:9" ht="18.75" customHeight="1" x14ac:dyDescent="0.25">
      <c r="A282" s="17"/>
      <c r="G282" s="44" t="s">
        <v>270</v>
      </c>
      <c r="H282" s="12">
        <f>Process!H192</f>
        <v>1227.9929999999999</v>
      </c>
      <c r="I282" s="5" t="s">
        <v>13</v>
      </c>
    </row>
    <row r="283" spans="1:9" ht="18.75" customHeight="1" x14ac:dyDescent="0.25">
      <c r="A283" s="17"/>
      <c r="B283" s="1" t="s">
        <v>272</v>
      </c>
      <c r="G283" s="4"/>
      <c r="H283" s="3"/>
      <c r="I283" s="5"/>
    </row>
    <row r="284" spans="1:9" ht="18.75" customHeight="1" x14ac:dyDescent="0.25">
      <c r="A284" s="17"/>
      <c r="G284" s="44" t="s">
        <v>271</v>
      </c>
      <c r="H284" s="12">
        <f>Process!H194</f>
        <v>1044.42</v>
      </c>
      <c r="I284" s="5" t="s">
        <v>13</v>
      </c>
    </row>
    <row r="285" spans="1:9" ht="18.75" customHeight="1" x14ac:dyDescent="0.25">
      <c r="A285" s="17"/>
      <c r="B285" s="1" t="s">
        <v>262</v>
      </c>
      <c r="G285" s="44" t="s">
        <v>273</v>
      </c>
      <c r="H285" s="12">
        <f>Process!H195</f>
        <v>1044.42</v>
      </c>
      <c r="I285" s="5" t="s">
        <v>13</v>
      </c>
    </row>
    <row r="286" spans="1:9" ht="18.75" customHeight="1" x14ac:dyDescent="0.25">
      <c r="A286" s="17"/>
      <c r="B286" s="1" t="s">
        <v>274</v>
      </c>
      <c r="G286" s="44" t="s">
        <v>228</v>
      </c>
      <c r="H286" s="12">
        <f>Process!H196</f>
        <v>2088.84</v>
      </c>
      <c r="I286" s="5" t="s">
        <v>13</v>
      </c>
    </row>
    <row r="287" spans="1:9" ht="18.75" customHeight="1" x14ac:dyDescent="0.25">
      <c r="A287" s="17"/>
      <c r="G287" s="4"/>
      <c r="H287" s="3"/>
      <c r="I287" s="5"/>
    </row>
    <row r="288" spans="1:9" ht="18.75" customHeight="1" x14ac:dyDescent="0.25">
      <c r="A288" s="17"/>
      <c r="G288" s="4"/>
      <c r="H288" s="3"/>
      <c r="I288" s="5"/>
    </row>
    <row r="289" spans="1:9" ht="18.75" customHeight="1" x14ac:dyDescent="0.25">
      <c r="A289" s="17"/>
      <c r="G289" s="4"/>
      <c r="H289" s="3"/>
      <c r="I289" s="5"/>
    </row>
    <row r="290" spans="1:9" ht="18.75" customHeight="1" x14ac:dyDescent="0.25">
      <c r="A290" s="17"/>
      <c r="G290" s="4"/>
      <c r="H290" s="3"/>
      <c r="I290" s="5"/>
    </row>
    <row r="291" spans="1:9" ht="18.75" customHeight="1" x14ac:dyDescent="0.25">
      <c r="A291" s="17"/>
      <c r="G291" s="4"/>
      <c r="H291" s="3"/>
      <c r="I291" s="5"/>
    </row>
    <row r="292" spans="1:9" ht="18.75" customHeight="1" x14ac:dyDescent="0.25">
      <c r="A292" s="17"/>
      <c r="G292" s="4"/>
      <c r="H292" s="3"/>
      <c r="I292" s="5"/>
    </row>
    <row r="293" spans="1:9" ht="18.75" customHeight="1" x14ac:dyDescent="0.25">
      <c r="A293" s="17"/>
      <c r="G293" s="4"/>
      <c r="H293" s="3"/>
      <c r="I293" s="5"/>
    </row>
    <row r="294" spans="1:9" ht="18.75" customHeight="1" x14ac:dyDescent="0.25">
      <c r="A294" s="17"/>
      <c r="G294" s="4"/>
      <c r="H294" s="3"/>
      <c r="I294" s="5"/>
    </row>
    <row r="295" spans="1:9" ht="18.75" customHeight="1" x14ac:dyDescent="0.25">
      <c r="A295" s="17"/>
      <c r="G295" s="4"/>
      <c r="H295" s="3"/>
      <c r="I295" s="5"/>
    </row>
    <row r="296" spans="1:9" ht="18.75" customHeight="1" x14ac:dyDescent="0.25">
      <c r="A296" s="18" t="s">
        <v>236</v>
      </c>
      <c r="B296" s="19" t="s">
        <v>227</v>
      </c>
      <c r="C296" s="20"/>
      <c r="D296" s="20"/>
      <c r="E296" s="20"/>
      <c r="F296" s="20"/>
      <c r="G296" s="21"/>
      <c r="H296" s="22"/>
      <c r="I296" s="23"/>
    </row>
    <row r="297" spans="1:9" ht="18.75" customHeight="1" x14ac:dyDescent="0.25">
      <c r="A297" s="17"/>
      <c r="B297" s="1" t="s">
        <v>220</v>
      </c>
      <c r="G297" s="44" t="s">
        <v>228</v>
      </c>
      <c r="H297" s="12">
        <f>Process!H199</f>
        <v>4018.2</v>
      </c>
      <c r="I297" s="5" t="s">
        <v>13</v>
      </c>
    </row>
    <row r="298" spans="1:9" ht="18.75" customHeight="1" x14ac:dyDescent="0.25">
      <c r="A298" s="17"/>
      <c r="B298" s="1" t="s">
        <v>229</v>
      </c>
      <c r="G298" s="44" t="s">
        <v>228</v>
      </c>
      <c r="H298" s="12">
        <f>Process!H200</f>
        <v>1054.1922000000002</v>
      </c>
      <c r="I298" s="5" t="s">
        <v>13</v>
      </c>
    </row>
    <row r="299" spans="1:9" ht="18.75" customHeight="1" x14ac:dyDescent="0.25">
      <c r="A299" s="17"/>
      <c r="B299" s="1" t="s">
        <v>230</v>
      </c>
      <c r="G299" s="44" t="s">
        <v>228</v>
      </c>
      <c r="H299" s="12">
        <f>Process!H201</f>
        <v>2088.84</v>
      </c>
      <c r="I299" s="5" t="s">
        <v>13</v>
      </c>
    </row>
    <row r="300" spans="1:9" ht="18.75" customHeight="1" x14ac:dyDescent="0.25">
      <c r="A300" s="17"/>
      <c r="G300" s="4"/>
      <c r="H300" s="3"/>
      <c r="I300" s="5"/>
    </row>
    <row r="301" spans="1:9" ht="18.75" customHeight="1" x14ac:dyDescent="0.25">
      <c r="A301" s="17"/>
      <c r="B301" s="1" t="s">
        <v>231</v>
      </c>
      <c r="G301" s="44" t="s">
        <v>228</v>
      </c>
      <c r="H301" s="12">
        <f>Process!H203</f>
        <v>1054.1922000000002</v>
      </c>
      <c r="I301" s="5" t="s">
        <v>13</v>
      </c>
    </row>
    <row r="302" spans="1:9" ht="18.75" customHeight="1" x14ac:dyDescent="0.25">
      <c r="A302" s="17"/>
      <c r="G302" s="44" t="s">
        <v>121</v>
      </c>
      <c r="H302" s="12">
        <f>Process!H204</f>
        <v>0.75</v>
      </c>
      <c r="I302" s="5"/>
    </row>
    <row r="303" spans="1:9" ht="18.75" customHeight="1" x14ac:dyDescent="0.25">
      <c r="A303" s="17"/>
      <c r="B303" s="1" t="s">
        <v>232</v>
      </c>
      <c r="G303" s="44" t="s">
        <v>233</v>
      </c>
      <c r="H303" s="12">
        <f>Process!H205</f>
        <v>790.64415000000008</v>
      </c>
      <c r="I303" s="5" t="s">
        <v>13</v>
      </c>
    </row>
    <row r="304" spans="1:9" ht="18.75" customHeight="1" x14ac:dyDescent="0.25">
      <c r="A304" s="17"/>
      <c r="B304" s="1" t="s">
        <v>234</v>
      </c>
      <c r="G304" s="44" t="s">
        <v>275</v>
      </c>
      <c r="H304" s="12">
        <f>Process!H206</f>
        <v>1</v>
      </c>
      <c r="I304" s="5" t="s">
        <v>13</v>
      </c>
    </row>
    <row r="305" spans="1:9" ht="18.75" customHeight="1" x14ac:dyDescent="0.25">
      <c r="A305" s="17"/>
      <c r="B305" s="1" t="s">
        <v>235</v>
      </c>
      <c r="G305" s="4"/>
      <c r="H305" s="28"/>
      <c r="I305" s="5"/>
    </row>
    <row r="306" spans="1:9" ht="18.75" customHeight="1" x14ac:dyDescent="0.25">
      <c r="A306" s="17"/>
      <c r="B306" s="1" t="s">
        <v>90</v>
      </c>
      <c r="D306" s="77" t="s">
        <v>318</v>
      </c>
      <c r="E306" s="3" t="s">
        <v>91</v>
      </c>
      <c r="F306" s="78" t="s">
        <v>319</v>
      </c>
      <c r="G306" s="4"/>
      <c r="H306" s="28"/>
      <c r="I306" s="5"/>
    </row>
    <row r="307" spans="1:9" ht="18.75" customHeight="1" x14ac:dyDescent="0.25">
      <c r="A307" s="17"/>
      <c r="D307" s="45">
        <f>Process!D209</f>
        <v>401.24160000000001</v>
      </c>
      <c r="E307" s="3" t="str">
        <f>IF(D307&lt;F307,"≤","&gt;")</f>
        <v>≤</v>
      </c>
      <c r="F307" s="45">
        <f>Process!F209</f>
        <v>790.64415000000008</v>
      </c>
      <c r="G307" s="11" t="s">
        <v>31</v>
      </c>
      <c r="H307" s="7" t="str">
        <f>IF(D307&lt;F307,"[ OK ]","[ NOT OK ]")</f>
        <v>[ OK ]</v>
      </c>
      <c r="I307" s="5"/>
    </row>
    <row r="308" spans="1:9" ht="18.75" customHeight="1" x14ac:dyDescent="0.25">
      <c r="A308" s="17"/>
      <c r="G308" s="4"/>
      <c r="H308" s="3"/>
      <c r="I308" s="5"/>
    </row>
  </sheetData>
  <mergeCells count="15">
    <mergeCell ref="G89:H89"/>
    <mergeCell ref="A1:I1"/>
    <mergeCell ref="A3:C6"/>
    <mergeCell ref="F3:I3"/>
    <mergeCell ref="F4:I4"/>
    <mergeCell ref="F5:I5"/>
    <mergeCell ref="F6:I6"/>
    <mergeCell ref="G52:H52"/>
    <mergeCell ref="G60:H60"/>
    <mergeCell ref="G67:H67"/>
    <mergeCell ref="C247:C248"/>
    <mergeCell ref="C254:E254"/>
    <mergeCell ref="B89:B90"/>
    <mergeCell ref="C89:D89"/>
    <mergeCell ref="E89:F89"/>
  </mergeCells>
  <dataValidations disablePrompts="1" count="1">
    <dataValidation type="list" allowBlank="1" showInputMessage="1" showErrorMessage="1" sqref="G52:H52" xr:uid="{538BEE65-970E-4500-921B-E84976675BF2}">
      <formula1>"KOLOM SUMBU KUAT,KOLOM SUMBU LEMAH"</formula1>
    </dataValidation>
  </dataValidations>
  <hyperlinks>
    <hyperlink ref="F6" r:id="rId1" display="indrakrajsuweda@gmail.com" xr:uid="{9E104AEE-1FF7-43E7-8572-6353C53B2E09}"/>
  </hyperlinks>
  <pageMargins left="0.7" right="0.7" top="0.75" bottom="0.75" header="0.3" footer="0.3"/>
  <pageSetup orientation="portrait" horizontalDpi="300" r:id="rId2"/>
  <headerFooter>
    <oddHeader>&amp;L&amp;"-,Bold"&amp;K05+000Versi 1.0&amp;C&amp;"-,Bold"&amp;K05+000Page &amp;P&amp;R&amp;"-,Bold"&amp;K05+000Release Date : April 2024</oddHeader>
    <oddFooter xml:space="preserve">&amp;L&amp;"-,Bold"&amp;K05+000Dapatkan program bantu spreadsheet ini hanya di https://www.inpetra.id/ 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About</vt:lpstr>
      <vt:lpstr>Input</vt:lpstr>
      <vt:lpstr>Process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indra raj suweda</cp:lastModifiedBy>
  <dcterms:created xsi:type="dcterms:W3CDTF">2021-10-11T06:36:41Z</dcterms:created>
  <dcterms:modified xsi:type="dcterms:W3CDTF">2024-04-16T13:39:59Z</dcterms:modified>
</cp:coreProperties>
</file>