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F0099B61-1350-424D-9790-D40BBF0C5A73}" xr6:coauthVersionLast="47" xr6:coauthVersionMax="47" xr10:uidLastSave="{00000000-0000-0000-0000-000000000000}"/>
  <bookViews>
    <workbookView xWindow="-120" yWindow="-120" windowWidth="29040" windowHeight="15720" activeTab="7" xr2:uid="{00000000-000D-0000-FFFF-FFFF00000000}"/>
  </bookViews>
  <sheets>
    <sheet name="About" sheetId="15" r:id="rId1"/>
    <sheet name="Input Data" sheetId="6" r:id="rId2"/>
    <sheet name="Table" sheetId="14" state="hidden" r:id="rId3"/>
    <sheet name="Input Beban" sheetId="7" r:id="rId4"/>
    <sheet name="Process (1)" sheetId="3" r:id="rId5"/>
    <sheet name="Process (2)" sheetId="10" r:id="rId6"/>
    <sheet name="Result" sheetId="9" r:id="rId7"/>
    <sheet name="Report" sheetId="12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16" i="12" l="1"/>
  <c r="H215" i="12"/>
  <c r="H214" i="12"/>
  <c r="H213" i="12"/>
  <c r="E209" i="12"/>
  <c r="E208" i="12"/>
  <c r="H209" i="12"/>
  <c r="G209" i="12"/>
  <c r="F209" i="12"/>
  <c r="H208" i="12"/>
  <c r="G208" i="12"/>
  <c r="F208" i="12"/>
  <c r="H203" i="12"/>
  <c r="G203" i="12"/>
  <c r="F203" i="12"/>
  <c r="E203" i="12"/>
  <c r="H185" i="12"/>
  <c r="H184" i="12"/>
  <c r="H183" i="12"/>
  <c r="H181" i="12"/>
  <c r="H180" i="12"/>
  <c r="H179" i="12"/>
  <c r="H178" i="12"/>
  <c r="H177" i="12"/>
  <c r="H176" i="12"/>
  <c r="E189" i="12"/>
  <c r="E190" i="12" s="1"/>
  <c r="E191" i="12" s="1"/>
  <c r="E192" i="12" s="1"/>
  <c r="E193" i="12" s="1"/>
  <c r="E194" i="12" s="1"/>
  <c r="H167" i="12"/>
  <c r="F206" i="12" l="1"/>
  <c r="F154" i="10"/>
  <c r="H317" i="10"/>
  <c r="H254" i="10"/>
  <c r="BX166" i="3"/>
  <c r="H7" i="3"/>
  <c r="E24" i="3"/>
  <c r="E25" i="3" s="1"/>
  <c r="E26" i="3" s="1"/>
  <c r="E27" i="3" s="1"/>
  <c r="E28" i="3" s="1"/>
  <c r="E29" i="3" s="1"/>
  <c r="H38" i="12"/>
  <c r="H286" i="12"/>
  <c r="H285" i="12"/>
  <c r="H284" i="12"/>
  <c r="H283" i="12"/>
  <c r="H282" i="12"/>
  <c r="F286" i="12"/>
  <c r="F285" i="12"/>
  <c r="F284" i="12"/>
  <c r="F283" i="12"/>
  <c r="H323" i="10"/>
  <c r="H10" i="9"/>
  <c r="H9" i="9"/>
  <c r="H8" i="9"/>
  <c r="H7" i="9"/>
  <c r="H6" i="9"/>
  <c r="H4" i="9"/>
  <c r="H3" i="9"/>
  <c r="H28" i="9"/>
  <c r="H133" i="12" s="1"/>
  <c r="H27" i="9"/>
  <c r="H132" i="12" s="1"/>
  <c r="H26" i="9"/>
  <c r="H131" i="12" s="1"/>
  <c r="H25" i="9"/>
  <c r="H130" i="12" s="1"/>
  <c r="H24" i="9"/>
  <c r="H129" i="12" s="1"/>
  <c r="F28" i="9"/>
  <c r="F133" i="12" s="1"/>
  <c r="F27" i="9"/>
  <c r="F132" i="12" s="1"/>
  <c r="F26" i="9"/>
  <c r="F131" i="12" s="1"/>
  <c r="F25" i="9"/>
  <c r="F130" i="12" s="1"/>
  <c r="G175" i="10"/>
  <c r="G465" i="12" s="1"/>
  <c r="G174" i="10"/>
  <c r="G464" i="12" s="1"/>
  <c r="G171" i="10"/>
  <c r="G461" i="12" s="1"/>
  <c r="G170" i="10"/>
  <c r="G460" i="12" s="1"/>
  <c r="G86" i="10"/>
  <c r="G372" i="12" s="1"/>
  <c r="G33" i="10"/>
  <c r="G320" i="12" s="1"/>
  <c r="H62" i="6"/>
  <c r="H78" i="3" s="1"/>
  <c r="H247" i="12" s="1"/>
  <c r="H63" i="6"/>
  <c r="H79" i="3" s="1"/>
  <c r="H248" i="12" s="1"/>
  <c r="B55" i="14"/>
  <c r="C55" i="14" s="1"/>
  <c r="B56" i="14"/>
  <c r="C56" i="14" s="1"/>
  <c r="C67" i="14"/>
  <c r="B74" i="14"/>
  <c r="C74" i="14" s="1"/>
  <c r="D74" i="14" s="1"/>
  <c r="B47" i="14"/>
  <c r="C47" i="14" s="1"/>
  <c r="C40" i="14"/>
  <c r="B29" i="14"/>
  <c r="B41" i="14" s="1"/>
  <c r="L34" i="14" s="1"/>
  <c r="M34" i="14" s="1"/>
  <c r="B28" i="14"/>
  <c r="F28" i="14" s="1"/>
  <c r="C16" i="14"/>
  <c r="D16" i="14" s="1"/>
  <c r="B15" i="14"/>
  <c r="B3" i="14"/>
  <c r="C3" i="14" s="1"/>
  <c r="B2" i="14"/>
  <c r="B8" i="14" s="1"/>
  <c r="H59" i="3"/>
  <c r="F409" i="12"/>
  <c r="F408" i="12"/>
  <c r="F407" i="12"/>
  <c r="F406" i="12"/>
  <c r="F354" i="12"/>
  <c r="F353" i="12"/>
  <c r="F352" i="12"/>
  <c r="F351" i="12"/>
  <c r="D118" i="10"/>
  <c r="D407" i="12" s="1"/>
  <c r="D65" i="10"/>
  <c r="D352" i="12" s="1"/>
  <c r="H31" i="10"/>
  <c r="H84" i="10" s="1"/>
  <c r="H168" i="10" s="1"/>
  <c r="H71" i="12" l="1"/>
  <c r="H70" i="12"/>
  <c r="B67" i="14"/>
  <c r="E67" i="14" s="1"/>
  <c r="B61" i="14"/>
  <c r="C61" i="14" s="1"/>
  <c r="D61" i="14" s="1"/>
  <c r="F56" i="14"/>
  <c r="E56" i="14"/>
  <c r="I61" i="14" s="1"/>
  <c r="B75" i="14"/>
  <c r="D56" i="14"/>
  <c r="G61" i="14" s="1"/>
  <c r="D67" i="14"/>
  <c r="E74" i="14"/>
  <c r="D55" i="14"/>
  <c r="H74" i="14"/>
  <c r="B60" i="14"/>
  <c r="F55" i="14"/>
  <c r="B68" i="14"/>
  <c r="E75" i="14"/>
  <c r="J74" i="14"/>
  <c r="B40" i="14"/>
  <c r="B33" i="14"/>
  <c r="C41" i="14"/>
  <c r="H47" i="14"/>
  <c r="D47" i="14"/>
  <c r="F29" i="14"/>
  <c r="B34" i="14"/>
  <c r="E29" i="14"/>
  <c r="C29" i="14"/>
  <c r="C28" i="14"/>
  <c r="F8" i="14"/>
  <c r="G8" i="14" s="1"/>
  <c r="E3" i="14"/>
  <c r="F3" i="14"/>
  <c r="B9" i="14"/>
  <c r="C9" i="14" s="1"/>
  <c r="F22" i="14"/>
  <c r="D3" i="14"/>
  <c r="F9" i="14"/>
  <c r="F15" i="14"/>
  <c r="B21" i="14"/>
  <c r="C15" i="14"/>
  <c r="B16" i="14"/>
  <c r="C2" i="14"/>
  <c r="F2" i="14"/>
  <c r="H370" i="12"/>
  <c r="H318" i="12"/>
  <c r="H197" i="10"/>
  <c r="H68" i="14" l="1"/>
  <c r="E40" i="14"/>
  <c r="M33" i="14" s="1"/>
  <c r="L33" i="14"/>
  <c r="H61" i="14"/>
  <c r="E55" i="14"/>
  <c r="C68" i="14"/>
  <c r="I74" i="14"/>
  <c r="H41" i="14"/>
  <c r="I34" i="14"/>
  <c r="C34" i="14"/>
  <c r="C48" i="14"/>
  <c r="D41" i="14"/>
  <c r="J47" i="14"/>
  <c r="D40" i="14"/>
  <c r="E47" i="14"/>
  <c r="E48" i="14"/>
  <c r="B48" i="14"/>
  <c r="D29" i="14"/>
  <c r="D28" i="14"/>
  <c r="D15" i="14"/>
  <c r="D9" i="14"/>
  <c r="D2" i="14"/>
  <c r="H9" i="14"/>
  <c r="H8" i="14"/>
  <c r="B22" i="14"/>
  <c r="F16" i="14"/>
  <c r="E16" i="14"/>
  <c r="H56" i="3"/>
  <c r="H616" i="12"/>
  <c r="H583" i="12"/>
  <c r="H568" i="12"/>
  <c r="H556" i="12"/>
  <c r="H520" i="12"/>
  <c r="H504" i="12"/>
  <c r="H492" i="12"/>
  <c r="H472" i="12"/>
  <c r="H440" i="12"/>
  <c r="H424" i="12"/>
  <c r="I103" i="12"/>
  <c r="H103" i="12"/>
  <c r="G103" i="12"/>
  <c r="I102" i="12"/>
  <c r="H102" i="12"/>
  <c r="G102" i="12"/>
  <c r="I101" i="12"/>
  <c r="H101" i="12"/>
  <c r="G101" i="12"/>
  <c r="I100" i="12"/>
  <c r="H100" i="12"/>
  <c r="G100" i="12"/>
  <c r="I99" i="12"/>
  <c r="H99" i="12"/>
  <c r="G99" i="12"/>
  <c r="G98" i="12"/>
  <c r="H83" i="12"/>
  <c r="H82" i="12"/>
  <c r="H79" i="12"/>
  <c r="H78" i="12"/>
  <c r="H77" i="12"/>
  <c r="H76" i="12"/>
  <c r="H75" i="12"/>
  <c r="H74" i="12"/>
  <c r="H39" i="12"/>
  <c r="H37" i="12"/>
  <c r="H36" i="12"/>
  <c r="H35" i="12"/>
  <c r="H34" i="12"/>
  <c r="H33" i="12"/>
  <c r="H14" i="12"/>
  <c r="H13" i="12"/>
  <c r="H12" i="12"/>
  <c r="H11" i="12"/>
  <c r="H10" i="12"/>
  <c r="H115" i="12"/>
  <c r="H114" i="12"/>
  <c r="H113" i="12"/>
  <c r="H112" i="12"/>
  <c r="H111" i="12"/>
  <c r="H108" i="12" l="1"/>
  <c r="H109" i="12"/>
  <c r="D68" i="14"/>
  <c r="C75" i="14"/>
  <c r="D60" i="14"/>
  <c r="G60" i="14"/>
  <c r="E41" i="14"/>
  <c r="H48" i="14"/>
  <c r="D48" i="14"/>
  <c r="I47" i="14"/>
  <c r="D34" i="14"/>
  <c r="E28" i="14"/>
  <c r="G34" i="14"/>
  <c r="H22" i="14"/>
  <c r="D8" i="14"/>
  <c r="E2" i="14"/>
  <c r="F21" i="14"/>
  <c r="D21" i="14"/>
  <c r="E15" i="14"/>
  <c r="C22" i="14"/>
  <c r="H67" i="14" l="1"/>
  <c r="I60" i="14"/>
  <c r="H60" i="14" s="1"/>
  <c r="C60" i="14"/>
  <c r="G28" i="14" s="1" a="1"/>
  <c r="G28" i="14" s="1"/>
  <c r="H75" i="14"/>
  <c r="D75" i="14"/>
  <c r="E68" i="14"/>
  <c r="H34" i="14"/>
  <c r="D33" i="14"/>
  <c r="G33" i="14"/>
  <c r="I48" i="14"/>
  <c r="J41" i="14"/>
  <c r="G21" i="14"/>
  <c r="D22" i="14"/>
  <c r="C21" i="14"/>
  <c r="G22" i="14"/>
  <c r="H5" i="10"/>
  <c r="H614" i="12"/>
  <c r="H200" i="10"/>
  <c r="H4" i="10"/>
  <c r="G55" i="14" l="1"/>
  <c r="D77" i="14" s="1"/>
  <c r="L36" i="14"/>
  <c r="M36" i="14"/>
  <c r="L35" i="14"/>
  <c r="M35" i="14"/>
  <c r="E43" i="14"/>
  <c r="J68" i="14"/>
  <c r="I75" i="14"/>
  <c r="J67" i="14"/>
  <c r="I50" i="14"/>
  <c r="J48" i="14"/>
  <c r="J50" i="14" s="1"/>
  <c r="B49" i="14"/>
  <c r="F30" i="14"/>
  <c r="E42" i="14"/>
  <c r="B31" i="14"/>
  <c r="C49" i="14"/>
  <c r="B30" i="14"/>
  <c r="B43" i="14"/>
  <c r="B35" i="14"/>
  <c r="C42" i="14"/>
  <c r="B42" i="14"/>
  <c r="E31" i="14"/>
  <c r="B36" i="14"/>
  <c r="C30" i="14"/>
  <c r="F31" i="14"/>
  <c r="C31" i="14"/>
  <c r="H49" i="14"/>
  <c r="C43" i="14"/>
  <c r="D49" i="14"/>
  <c r="E49" i="14"/>
  <c r="B50" i="14"/>
  <c r="H43" i="14"/>
  <c r="D43" i="14"/>
  <c r="E50" i="14"/>
  <c r="D31" i="14"/>
  <c r="D42" i="14"/>
  <c r="C50" i="14"/>
  <c r="C36" i="14"/>
  <c r="J49" i="14"/>
  <c r="D30" i="14"/>
  <c r="I36" i="14"/>
  <c r="I49" i="14"/>
  <c r="D36" i="14"/>
  <c r="E30" i="14"/>
  <c r="D35" i="14"/>
  <c r="C33" i="14"/>
  <c r="C35" i="14" s="1"/>
  <c r="G36" i="14"/>
  <c r="J43" i="14"/>
  <c r="I41" i="14"/>
  <c r="I43" i="14" s="1"/>
  <c r="H50" i="14"/>
  <c r="D50" i="14"/>
  <c r="G35" i="14"/>
  <c r="H40" i="14"/>
  <c r="I33" i="14"/>
  <c r="I35" i="14" s="1"/>
  <c r="H36" i="14"/>
  <c r="B4" i="14" a="1"/>
  <c r="B4" i="14" s="1"/>
  <c r="C23" i="14" s="1"/>
  <c r="H21" i="14"/>
  <c r="H199" i="10"/>
  <c r="H290" i="12"/>
  <c r="H263" i="10"/>
  <c r="H555" i="12" s="1"/>
  <c r="H491" i="12"/>
  <c r="H320" i="10"/>
  <c r="H611" i="12" s="1"/>
  <c r="H291" i="12"/>
  <c r="H262" i="10"/>
  <c r="J69" i="14" l="1"/>
  <c r="H69" i="14"/>
  <c r="I67" i="14"/>
  <c r="I69" i="14" s="1"/>
  <c r="I62" i="14"/>
  <c r="C62" i="14"/>
  <c r="H77" i="14"/>
  <c r="J75" i="14"/>
  <c r="J77" i="14" s="1"/>
  <c r="I77" i="14"/>
  <c r="H62" i="14"/>
  <c r="G63" i="14"/>
  <c r="B69" i="14"/>
  <c r="C69" i="14"/>
  <c r="B57" i="14"/>
  <c r="B76" i="14"/>
  <c r="H63" i="14"/>
  <c r="B63" i="14"/>
  <c r="I63" i="14"/>
  <c r="E76" i="14"/>
  <c r="D76" i="14"/>
  <c r="B77" i="14"/>
  <c r="E58" i="14"/>
  <c r="C58" i="14"/>
  <c r="C76" i="14"/>
  <c r="E69" i="14"/>
  <c r="C63" i="14"/>
  <c r="F58" i="14"/>
  <c r="C57" i="14"/>
  <c r="D58" i="14"/>
  <c r="B58" i="14"/>
  <c r="D69" i="14"/>
  <c r="J76" i="14"/>
  <c r="H70" i="14"/>
  <c r="D57" i="14"/>
  <c r="B70" i="14"/>
  <c r="B62" i="14"/>
  <c r="H76" i="14"/>
  <c r="E77" i="14"/>
  <c r="F57" i="14"/>
  <c r="D63" i="14"/>
  <c r="C70" i="14"/>
  <c r="I76" i="14"/>
  <c r="E57" i="14"/>
  <c r="G62" i="14"/>
  <c r="D62" i="14"/>
  <c r="C77" i="14"/>
  <c r="D70" i="14"/>
  <c r="E70" i="14"/>
  <c r="J70" i="14"/>
  <c r="I68" i="14"/>
  <c r="I70" i="14" s="1"/>
  <c r="H42" i="14"/>
  <c r="J40" i="14"/>
  <c r="J42" i="14" s="1"/>
  <c r="H33" i="14"/>
  <c r="H35" i="14" s="1"/>
  <c r="G23" i="14"/>
  <c r="D24" i="14"/>
  <c r="H23" i="14"/>
  <c r="C19" i="14"/>
  <c r="C10" i="14"/>
  <c r="B5" i="14"/>
  <c r="F5" i="14" s="1"/>
  <c r="G11" i="14"/>
  <c r="B6" i="14"/>
  <c r="F6" i="14" s="1"/>
  <c r="F24" i="14"/>
  <c r="C6" i="14"/>
  <c r="B10" i="14"/>
  <c r="F10" i="14"/>
  <c r="B11" i="14"/>
  <c r="B18" i="14"/>
  <c r="F18" i="14" s="1"/>
  <c r="E6" i="14"/>
  <c r="D19" i="14"/>
  <c r="C18" i="14"/>
  <c r="B19" i="14"/>
  <c r="F19" i="14" s="1"/>
  <c r="D6" i="14"/>
  <c r="F11" i="14"/>
  <c r="B23" i="14"/>
  <c r="C11" i="14"/>
  <c r="C5" i="14"/>
  <c r="G10" i="14"/>
  <c r="H11" i="14"/>
  <c r="D11" i="14"/>
  <c r="D18" i="14"/>
  <c r="E19" i="14"/>
  <c r="H10" i="14"/>
  <c r="D5" i="14"/>
  <c r="B24" i="14"/>
  <c r="D10" i="14"/>
  <c r="E18" i="14"/>
  <c r="E5" i="14"/>
  <c r="C24" i="14"/>
  <c r="F23" i="14"/>
  <c r="H24" i="14"/>
  <c r="D23" i="14"/>
  <c r="G24" i="14"/>
  <c r="H267" i="10"/>
  <c r="H559" i="12" s="1"/>
  <c r="H554" i="12"/>
  <c r="H204" i="10"/>
  <c r="H495" i="12" s="1"/>
  <c r="H490" i="12"/>
  <c r="I40" i="14" l="1"/>
  <c r="I42" i="14" s="1"/>
  <c r="H274" i="10"/>
  <c r="H566" i="12" s="1"/>
  <c r="F310" i="10"/>
  <c r="F601" i="12" s="1"/>
  <c r="H12" i="10"/>
  <c r="H298" i="12" s="1"/>
  <c r="H11" i="10"/>
  <c r="H297" i="12" s="1"/>
  <c r="H7" i="10"/>
  <c r="H8" i="10"/>
  <c r="H9" i="10"/>
  <c r="H10" i="10"/>
  <c r="D64" i="10" s="1"/>
  <c r="D351" i="12" s="1"/>
  <c r="H6" i="10"/>
  <c r="C109" i="10" l="1"/>
  <c r="C398" i="12" s="1"/>
  <c r="E117" i="10"/>
  <c r="E118" i="10" s="1"/>
  <c r="C56" i="10"/>
  <c r="C343" i="12" s="1"/>
  <c r="H293" i="12"/>
  <c r="C108" i="10"/>
  <c r="C397" i="12" s="1"/>
  <c r="H128" i="10"/>
  <c r="H144" i="10" s="1"/>
  <c r="H176" i="10" s="1"/>
  <c r="H126" i="10"/>
  <c r="H416" i="12" s="1"/>
  <c r="H295" i="12"/>
  <c r="E64" i="10"/>
  <c r="H292" i="12"/>
  <c r="C55" i="10"/>
  <c r="C342" i="12" s="1"/>
  <c r="H32" i="10"/>
  <c r="H319" i="12" s="1"/>
  <c r="C59" i="10"/>
  <c r="H196" i="10"/>
  <c r="H296" i="12"/>
  <c r="H258" i="10"/>
  <c r="H294" i="12"/>
  <c r="H195" i="10"/>
  <c r="H142" i="10"/>
  <c r="H432" i="12" s="1"/>
  <c r="H180" i="10"/>
  <c r="H470" i="12" s="1"/>
  <c r="F247" i="10"/>
  <c r="F539" i="12" s="1"/>
  <c r="H211" i="10"/>
  <c r="H502" i="12" s="1"/>
  <c r="H488" i="12"/>
  <c r="H91" i="3"/>
  <c r="H260" i="12" s="1"/>
  <c r="H90" i="3"/>
  <c r="H259" i="12" s="1"/>
  <c r="H71" i="3"/>
  <c r="H240" i="12" s="1"/>
  <c r="H70" i="3"/>
  <c r="H9" i="3"/>
  <c r="H169" i="12" s="1"/>
  <c r="H8" i="3"/>
  <c r="H55" i="3" s="1"/>
  <c r="E406" i="12" l="1"/>
  <c r="H486" i="12"/>
  <c r="H33" i="10"/>
  <c r="H550" i="12"/>
  <c r="E65" i="10"/>
  <c r="E351" i="12"/>
  <c r="C112" i="10"/>
  <c r="C346" i="12"/>
  <c r="E119" i="10"/>
  <c r="E407" i="12"/>
  <c r="H259" i="10"/>
  <c r="H290" i="10" s="1"/>
  <c r="H198" i="10"/>
  <c r="H489" i="12" s="1"/>
  <c r="C117" i="10"/>
  <c r="C118" i="10"/>
  <c r="F109" i="10"/>
  <c r="F398" i="12" s="1"/>
  <c r="F108" i="10"/>
  <c r="F397" i="12" s="1"/>
  <c r="C120" i="10"/>
  <c r="C409" i="12" s="1"/>
  <c r="C119" i="10"/>
  <c r="C408" i="12" s="1"/>
  <c r="F110" i="10"/>
  <c r="C111" i="10"/>
  <c r="C400" i="12" s="1"/>
  <c r="H127" i="10"/>
  <c r="H132" i="10" s="1"/>
  <c r="H85" i="10"/>
  <c r="C67" i="10"/>
  <c r="C354" i="12" s="1"/>
  <c r="C66" i="10"/>
  <c r="C353" i="12" s="1"/>
  <c r="C65" i="10"/>
  <c r="C64" i="10"/>
  <c r="F56" i="10"/>
  <c r="F343" i="12" s="1"/>
  <c r="F55" i="10"/>
  <c r="F342" i="12" s="1"/>
  <c r="F57" i="10"/>
  <c r="C58" i="10"/>
  <c r="C345" i="12" s="1"/>
  <c r="H418" i="12"/>
  <c r="H227" i="10"/>
  <c r="H519" i="12" s="1"/>
  <c r="H487" i="12"/>
  <c r="H220" i="12"/>
  <c r="H168" i="12"/>
  <c r="H73" i="3"/>
  <c r="H239" i="12"/>
  <c r="H268" i="10"/>
  <c r="H560" i="12" s="1"/>
  <c r="H266" i="10"/>
  <c r="H558" i="12" s="1"/>
  <c r="H273" i="10"/>
  <c r="H280" i="10"/>
  <c r="H572" i="12" s="1"/>
  <c r="H217" i="10"/>
  <c r="H509" i="12" s="1"/>
  <c r="H203" i="10"/>
  <c r="H494" i="12" s="1"/>
  <c r="H205" i="10"/>
  <c r="H496" i="12" s="1"/>
  <c r="H210" i="10"/>
  <c r="H260" i="10"/>
  <c r="H371" i="12" l="1"/>
  <c r="H86" i="10"/>
  <c r="H130" i="10"/>
  <c r="H420" i="12" s="1"/>
  <c r="H551" i="12"/>
  <c r="H242" i="12"/>
  <c r="G118" i="10"/>
  <c r="C407" i="12"/>
  <c r="G65" i="10"/>
  <c r="G352" i="12" s="1"/>
  <c r="C352" i="12"/>
  <c r="F58" i="10"/>
  <c r="F345" i="12" s="1"/>
  <c r="F344" i="12"/>
  <c r="G64" i="10"/>
  <c r="G351" i="12" s="1"/>
  <c r="C351" i="12"/>
  <c r="E120" i="10"/>
  <c r="E409" i="12" s="1"/>
  <c r="E408" i="12"/>
  <c r="F111" i="10"/>
  <c r="F400" i="12" s="1"/>
  <c r="F399" i="12"/>
  <c r="C406" i="12"/>
  <c r="H35" i="10"/>
  <c r="H322" i="12" s="1"/>
  <c r="H320" i="12"/>
  <c r="D117" i="10"/>
  <c r="D406" i="12" s="1"/>
  <c r="C401" i="12"/>
  <c r="E66" i="10"/>
  <c r="E352" i="12"/>
  <c r="H169" i="10"/>
  <c r="H372" i="12"/>
  <c r="H131" i="10"/>
  <c r="H143" i="10"/>
  <c r="H34" i="10"/>
  <c r="H321" i="12" s="1"/>
  <c r="H458" i="12"/>
  <c r="D284" i="10"/>
  <c r="D576" i="12" s="1"/>
  <c r="H565" i="12"/>
  <c r="D221" i="10"/>
  <c r="D513" i="12" s="1"/>
  <c r="H501" i="12"/>
  <c r="H434" i="12"/>
  <c r="H261" i="10"/>
  <c r="H552" i="12"/>
  <c r="H324" i="10"/>
  <c r="H615" i="12" s="1"/>
  <c r="H582" i="12"/>
  <c r="H206" i="10"/>
  <c r="H235" i="10" s="1"/>
  <c r="G238" i="10" s="1"/>
  <c r="H269" i="10"/>
  <c r="H298" i="10" s="1"/>
  <c r="G301" i="10" s="1"/>
  <c r="H321" i="10"/>
  <c r="H326" i="10" s="1"/>
  <c r="H422" i="12"/>
  <c r="H170" i="10" l="1"/>
  <c r="H171" i="10"/>
  <c r="H133" i="10"/>
  <c r="H135" i="10" s="1"/>
  <c r="D138" i="10" s="1"/>
  <c r="H65" i="10"/>
  <c r="H352" i="12" s="1"/>
  <c r="H64" i="10"/>
  <c r="H351" i="12" s="1"/>
  <c r="H118" i="10"/>
  <c r="H407" i="12" s="1"/>
  <c r="G407" i="12"/>
  <c r="G117" i="10"/>
  <c r="E67" i="10"/>
  <c r="E354" i="12" s="1"/>
  <c r="E353" i="12"/>
  <c r="H88" i="10"/>
  <c r="H374" i="12" s="1"/>
  <c r="H87" i="10"/>
  <c r="H617" i="12"/>
  <c r="H612" i="12"/>
  <c r="H178" i="10"/>
  <c r="H468" i="12" s="1"/>
  <c r="H466" i="12"/>
  <c r="H271" i="10"/>
  <c r="H563" i="12" s="1"/>
  <c r="H561" i="12"/>
  <c r="H497" i="12"/>
  <c r="H322" i="10"/>
  <c r="H328" i="10" s="1"/>
  <c r="H553" i="12"/>
  <c r="H421" i="12"/>
  <c r="H417" i="12"/>
  <c r="H208" i="10"/>
  <c r="H459" i="12"/>
  <c r="H433" i="12"/>
  <c r="H175" i="10" l="1"/>
  <c r="H174" i="10"/>
  <c r="H373" i="12"/>
  <c r="G406" i="12"/>
  <c r="H117" i="10"/>
  <c r="H406" i="12" s="1"/>
  <c r="H272" i="10"/>
  <c r="F284" i="10" s="1"/>
  <c r="F576" i="12" s="1"/>
  <c r="H209" i="10"/>
  <c r="H499" i="12"/>
  <c r="H613" i="12"/>
  <c r="G530" i="12"/>
  <c r="H527" i="12"/>
  <c r="G592" i="12"/>
  <c r="H590" i="12"/>
  <c r="H327" i="10"/>
  <c r="H330" i="10" s="1"/>
  <c r="H147" i="10"/>
  <c r="H437" i="12" s="1"/>
  <c r="H148" i="10"/>
  <c r="H438" i="12" s="1"/>
  <c r="H146" i="10"/>
  <c r="H436" i="12" s="1"/>
  <c r="H460" i="12"/>
  <c r="H461" i="12"/>
  <c r="H5" i="3"/>
  <c r="H165" i="12" s="1"/>
  <c r="H224" i="12"/>
  <c r="H14" i="3"/>
  <c r="H171" i="12" s="1"/>
  <c r="H13" i="3"/>
  <c r="H6" i="3"/>
  <c r="F41" i="3" l="1"/>
  <c r="H12" i="3"/>
  <c r="H11" i="3"/>
  <c r="E38" i="3"/>
  <c r="H166" i="12"/>
  <c r="F38" i="3"/>
  <c r="F44" i="3" s="1"/>
  <c r="G38" i="3"/>
  <c r="G44" i="3" s="1"/>
  <c r="H564" i="12"/>
  <c r="H329" i="10"/>
  <c r="H331" i="10" s="1"/>
  <c r="H619" i="12"/>
  <c r="H618" i="12"/>
  <c r="F221" i="10"/>
  <c r="F513" i="12" s="1"/>
  <c r="H500" i="12"/>
  <c r="H423" i="12"/>
  <c r="H16" i="3"/>
  <c r="H173" i="12" s="1"/>
  <c r="H170" i="12"/>
  <c r="H72" i="3"/>
  <c r="H74" i="3" s="1"/>
  <c r="H221" i="12"/>
  <c r="H149" i="10"/>
  <c r="H464" i="12"/>
  <c r="H57" i="3"/>
  <c r="H222" i="12" s="1"/>
  <c r="I222" i="12" s="1"/>
  <c r="H15" i="3"/>
  <c r="H38" i="3" l="1"/>
  <c r="H44" i="3" s="1"/>
  <c r="H49" i="3" s="1"/>
  <c r="E43" i="3"/>
  <c r="H151" i="10"/>
  <c r="H439" i="12"/>
  <c r="H179" i="10"/>
  <c r="H465" i="12"/>
  <c r="H425" i="12"/>
  <c r="H32" i="9"/>
  <c r="H137" i="12" s="1"/>
  <c r="H621" i="12"/>
  <c r="H620" i="12"/>
  <c r="H19" i="3"/>
  <c r="H172" i="12"/>
  <c r="H20" i="3"/>
  <c r="H75" i="3"/>
  <c r="H241" i="12"/>
  <c r="H18" i="3"/>
  <c r="F43" i="3" s="1"/>
  <c r="H58" i="3"/>
  <c r="H60" i="3" s="1"/>
  <c r="I57" i="3"/>
  <c r="G43" i="3" l="1"/>
  <c r="H43" i="3"/>
  <c r="F83" i="3"/>
  <c r="F88" i="3"/>
  <c r="F87" i="3"/>
  <c r="F86" i="3"/>
  <c r="F85" i="3"/>
  <c r="F84" i="3"/>
  <c r="G84" i="3" s="1"/>
  <c r="H61" i="3"/>
  <c r="H622" i="12"/>
  <c r="H33" i="9"/>
  <c r="H138" i="12" s="1"/>
  <c r="D38" i="9"/>
  <c r="D143" i="12" s="1"/>
  <c r="D428" i="12"/>
  <c r="D154" i="10"/>
  <c r="H441" i="12"/>
  <c r="H181" i="10"/>
  <c r="H469" i="12"/>
  <c r="H223" i="12"/>
  <c r="H244" i="12"/>
  <c r="H243" i="12"/>
  <c r="H48" i="3" l="1"/>
  <c r="F257" i="12"/>
  <c r="F20" i="9"/>
  <c r="F125" i="12" s="1"/>
  <c r="F256" i="12"/>
  <c r="F19" i="9"/>
  <c r="F124" i="12" s="1"/>
  <c r="F255" i="12"/>
  <c r="F18" i="9"/>
  <c r="F123" i="12" s="1"/>
  <c r="F17" i="9"/>
  <c r="F122" i="12" s="1"/>
  <c r="F254" i="12"/>
  <c r="H14" i="10"/>
  <c r="H300" i="12" s="1"/>
  <c r="F253" i="12"/>
  <c r="F16" i="9"/>
  <c r="F121" i="12" s="1"/>
  <c r="F252" i="12"/>
  <c r="F15" i="9"/>
  <c r="F120" i="12" s="1"/>
  <c r="H86" i="3"/>
  <c r="G86" i="3"/>
  <c r="H84" i="3"/>
  <c r="G85" i="3"/>
  <c r="H85" i="3"/>
  <c r="G87" i="3"/>
  <c r="H87" i="3"/>
  <c r="H88" i="3"/>
  <c r="G88" i="3"/>
  <c r="H471" i="12"/>
  <c r="H183" i="10"/>
  <c r="D189" i="10" s="1"/>
  <c r="D41" i="9"/>
  <c r="D146" i="12" s="1"/>
  <c r="D444" i="12"/>
  <c r="H225" i="12"/>
  <c r="H50" i="3" l="1"/>
  <c r="H51" i="3" s="1"/>
  <c r="F189" i="10"/>
  <c r="G254" i="12"/>
  <c r="G17" i="9"/>
  <c r="G122" i="12" s="1"/>
  <c r="D108" i="3"/>
  <c r="H19" i="9"/>
  <c r="H124" i="12" s="1"/>
  <c r="H256" i="12"/>
  <c r="H16" i="9"/>
  <c r="H121" i="12" s="1"/>
  <c r="H253" i="12"/>
  <c r="G16" i="9"/>
  <c r="G121" i="12" s="1"/>
  <c r="D107" i="3"/>
  <c r="H16" i="10" s="1"/>
  <c r="G253" i="12"/>
  <c r="H20" i="9"/>
  <c r="H125" i="12" s="1"/>
  <c r="H257" i="12"/>
  <c r="H254" i="12"/>
  <c r="H17" i="9"/>
  <c r="H122" i="12" s="1"/>
  <c r="D109" i="3"/>
  <c r="G255" i="12"/>
  <c r="G18" i="9"/>
  <c r="G123" i="12" s="1"/>
  <c r="D111" i="3"/>
  <c r="G20" i="9"/>
  <c r="G125" i="12" s="1"/>
  <c r="G257" i="12"/>
  <c r="D110" i="3"/>
  <c r="G19" i="9"/>
  <c r="G124" i="12" s="1"/>
  <c r="G256" i="12"/>
  <c r="H255" i="12"/>
  <c r="H18" i="9"/>
  <c r="H123" i="12" s="1"/>
  <c r="F47" i="9"/>
  <c r="F152" i="12" s="1"/>
  <c r="F481" i="12"/>
  <c r="E111" i="3"/>
  <c r="E110" i="3"/>
  <c r="E108" i="3"/>
  <c r="E107" i="3"/>
  <c r="E109" i="3"/>
  <c r="H473" i="12"/>
  <c r="D186" i="10"/>
  <c r="H226" i="12"/>
  <c r="H65" i="3"/>
  <c r="H230" i="12" s="1"/>
  <c r="F107" i="3" l="1"/>
  <c r="H64" i="3"/>
  <c r="D26" i="9"/>
  <c r="D131" i="12" s="1"/>
  <c r="D284" i="12"/>
  <c r="H15" i="10"/>
  <c r="H173" i="10" s="1"/>
  <c r="F186" i="10" s="1"/>
  <c r="E282" i="12"/>
  <c r="E24" i="9"/>
  <c r="E129" i="12" s="1"/>
  <c r="E25" i="9"/>
  <c r="E130" i="12" s="1"/>
  <c r="E283" i="12"/>
  <c r="E286" i="12"/>
  <c r="E28" i="9"/>
  <c r="E133" i="12" s="1"/>
  <c r="D24" i="9"/>
  <c r="D129" i="12" s="1"/>
  <c r="D282" i="12"/>
  <c r="D285" i="12"/>
  <c r="D27" i="9"/>
  <c r="D132" i="12" s="1"/>
  <c r="D25" i="9"/>
  <c r="D130" i="12" s="1"/>
  <c r="D283" i="12"/>
  <c r="E285" i="12"/>
  <c r="E27" i="9"/>
  <c r="E132" i="12" s="1"/>
  <c r="D28" i="9"/>
  <c r="D133" i="12" s="1"/>
  <c r="D286" i="12"/>
  <c r="E284" i="12"/>
  <c r="E26" i="9"/>
  <c r="E131" i="12" s="1"/>
  <c r="D481" i="12"/>
  <c r="D47" i="9"/>
  <c r="E189" i="10"/>
  <c r="H189" i="10"/>
  <c r="D44" i="9"/>
  <c r="D149" i="12" s="1"/>
  <c r="D478" i="12"/>
  <c r="H229" i="12"/>
  <c r="H66" i="3"/>
  <c r="H89" i="10" l="1"/>
  <c r="H91" i="10" s="1"/>
  <c r="H36" i="10"/>
  <c r="H301" i="12"/>
  <c r="E481" i="12"/>
  <c r="H481" i="12"/>
  <c r="D152" i="12"/>
  <c r="E47" i="9"/>
  <c r="H47" i="9"/>
  <c r="H231" i="12"/>
  <c r="H302" i="12"/>
  <c r="G111" i="3" l="1"/>
  <c r="G286" i="12" s="1"/>
  <c r="F24" i="9"/>
  <c r="F129" i="12" s="1"/>
  <c r="F282" i="12"/>
  <c r="H375" i="12"/>
  <c r="H90" i="10"/>
  <c r="H92" i="10" s="1"/>
  <c r="G109" i="3"/>
  <c r="G110" i="3"/>
  <c r="G107" i="3"/>
  <c r="G108" i="3"/>
  <c r="D66" i="10"/>
  <c r="G66" i="10" s="1"/>
  <c r="D67" i="10"/>
  <c r="G67" i="10" s="1"/>
  <c r="H67" i="10" s="1"/>
  <c r="H377" i="12"/>
  <c r="D120" i="10"/>
  <c r="D409" i="12" s="1"/>
  <c r="D119" i="10"/>
  <c r="D408" i="12" s="1"/>
  <c r="H323" i="12"/>
  <c r="H38" i="10"/>
  <c r="H325" i="12" s="1"/>
  <c r="H37" i="10"/>
  <c r="H324" i="12" s="1"/>
  <c r="H152" i="12"/>
  <c r="E152" i="12"/>
  <c r="H414" i="12"/>
  <c r="H463" i="12"/>
  <c r="G28" i="9" l="1"/>
  <c r="G133" i="12" s="1"/>
  <c r="H376" i="12"/>
  <c r="G25" i="9"/>
  <c r="G130" i="12" s="1"/>
  <c r="G283" i="12"/>
  <c r="G24" i="9"/>
  <c r="G129" i="12" s="1"/>
  <c r="G282" i="12"/>
  <c r="G27" i="9"/>
  <c r="G132" i="12" s="1"/>
  <c r="G285" i="12"/>
  <c r="G284" i="12"/>
  <c r="G26" i="9"/>
  <c r="G131" i="12" s="1"/>
  <c r="G68" i="10"/>
  <c r="H66" i="10"/>
  <c r="H69" i="10" s="1"/>
  <c r="H194" i="10" s="1"/>
  <c r="D354" i="12"/>
  <c r="D353" i="12"/>
  <c r="H39" i="10"/>
  <c r="H186" i="10"/>
  <c r="F478" i="12"/>
  <c r="F44" i="9"/>
  <c r="E186" i="10"/>
  <c r="G355" i="12" l="1"/>
  <c r="H125" i="10"/>
  <c r="F138" i="10" s="1"/>
  <c r="E138" i="10" s="1"/>
  <c r="H326" i="12"/>
  <c r="G353" i="12"/>
  <c r="H354" i="12"/>
  <c r="G354" i="12"/>
  <c r="G119" i="10"/>
  <c r="G408" i="12" s="1"/>
  <c r="G120" i="10"/>
  <c r="F149" i="12"/>
  <c r="E44" i="9"/>
  <c r="H44" i="9"/>
  <c r="E478" i="12"/>
  <c r="H478" i="12"/>
  <c r="H415" i="12" l="1"/>
  <c r="F38" i="9"/>
  <c r="F143" i="12" s="1"/>
  <c r="H138" i="10"/>
  <c r="F428" i="12"/>
  <c r="E428" i="12" s="1"/>
  <c r="H120" i="10"/>
  <c r="H409" i="12" s="1"/>
  <c r="G409" i="12"/>
  <c r="H353" i="12"/>
  <c r="H119" i="10"/>
  <c r="G121" i="10"/>
  <c r="G410" i="12" s="1"/>
  <c r="E149" i="12"/>
  <c r="H149" i="12"/>
  <c r="H38" i="9"/>
  <c r="H428" i="12" l="1"/>
  <c r="E38" i="9"/>
  <c r="H122" i="10"/>
  <c r="H408" i="12"/>
  <c r="H141" i="10"/>
  <c r="H431" i="12" s="1"/>
  <c r="H378" i="12"/>
  <c r="H356" i="12"/>
  <c r="E143" i="12"/>
  <c r="H143" i="12"/>
  <c r="F444" i="12" l="1"/>
  <c r="H214" i="10"/>
  <c r="H485" i="12"/>
  <c r="H257" i="10"/>
  <c r="H411" i="12"/>
  <c r="F41" i="9" l="1"/>
  <c r="H41" i="9" s="1"/>
  <c r="H154" i="10"/>
  <c r="E154" i="10"/>
  <c r="F317" i="10"/>
  <c r="H277" i="10"/>
  <c r="H549" i="12"/>
  <c r="H505" i="12"/>
  <c r="F254" i="10"/>
  <c r="H215" i="10"/>
  <c r="E444" i="12"/>
  <c r="H444" i="12"/>
  <c r="F146" i="12" l="1"/>
  <c r="H146" i="12" s="1"/>
  <c r="E41" i="9"/>
  <c r="H506" i="12"/>
  <c r="H216" i="10"/>
  <c r="H569" i="12"/>
  <c r="H278" i="10"/>
  <c r="F546" i="12"/>
  <c r="F52" i="9"/>
  <c r="F157" i="12" s="1"/>
  <c r="F608" i="12"/>
  <c r="F55" i="9"/>
  <c r="F160" i="12" s="1"/>
  <c r="E146" i="12" l="1"/>
  <c r="H279" i="10"/>
  <c r="H570" i="12"/>
  <c r="H507" i="12"/>
  <c r="H218" i="10"/>
  <c r="H510" i="12" l="1"/>
  <c r="E221" i="10"/>
  <c r="H571" i="12"/>
  <c r="H281" i="10"/>
  <c r="E284" i="10" l="1"/>
  <c r="H573" i="12"/>
  <c r="H221" i="10"/>
  <c r="E513" i="12"/>
  <c r="H513" i="12" s="1"/>
  <c r="H223" i="10"/>
  <c r="H225" i="10" l="1"/>
  <c r="H515" i="12"/>
  <c r="H286" i="10"/>
  <c r="H284" i="10"/>
  <c r="E576" i="12"/>
  <c r="H576" i="12" s="1"/>
  <c r="H517" i="12" l="1"/>
  <c r="H226" i="10"/>
  <c r="H288" i="10"/>
  <c r="H289" i="10" s="1"/>
  <c r="H578" i="12"/>
  <c r="H580" i="12" l="1"/>
  <c r="H229" i="10"/>
  <c r="H518" i="12"/>
  <c r="H230" i="10" l="1"/>
  <c r="H231" i="10" s="1"/>
  <c r="H521" i="12"/>
  <c r="H292" i="10"/>
  <c r="H581" i="12"/>
  <c r="H232" i="10" l="1"/>
  <c r="H293" i="10"/>
  <c r="H294" i="10" s="1"/>
  <c r="H584" i="12"/>
  <c r="H522" i="12"/>
  <c r="H523" i="12" l="1"/>
  <c r="H30" i="9"/>
  <c r="H135" i="12" s="1"/>
  <c r="H295" i="10"/>
  <c r="H585" i="12"/>
  <c r="H586" i="12" l="1"/>
  <c r="H31" i="9"/>
  <c r="H136" i="12" s="1"/>
  <c r="H524" i="12"/>
  <c r="H234" i="10"/>
  <c r="H238" i="10" l="1"/>
  <c r="H240" i="10" s="1"/>
  <c r="H241" i="10" s="1"/>
  <c r="H526" i="12"/>
  <c r="H242" i="10"/>
  <c r="H534" i="12" s="1"/>
  <c r="H297" i="10"/>
  <c r="H305" i="10"/>
  <c r="H596" i="12" s="1"/>
  <c r="H587" i="12"/>
  <c r="H301" i="10" l="1"/>
  <c r="H303" i="10" s="1"/>
  <c r="H304" i="10" s="1"/>
  <c r="H589" i="12"/>
  <c r="H530" i="12"/>
  <c r="H592" i="12" l="1"/>
  <c r="D247" i="10"/>
  <c r="H532" i="12"/>
  <c r="H533" i="12" l="1"/>
  <c r="H251" i="10"/>
  <c r="H543" i="12" s="1"/>
  <c r="H248" i="10"/>
  <c r="H247" i="10"/>
  <c r="H250" i="10"/>
  <c r="E247" i="10"/>
  <c r="G250" i="10"/>
  <c r="D539" i="12"/>
  <c r="D310" i="10"/>
  <c r="H594" i="12"/>
  <c r="H314" i="10" l="1"/>
  <c r="H605" i="12" s="1"/>
  <c r="H595" i="12"/>
  <c r="H311" i="10"/>
  <c r="G313" i="10"/>
  <c r="E310" i="10"/>
  <c r="H310" i="10"/>
  <c r="D601" i="12"/>
  <c r="H313" i="10"/>
  <c r="H542" i="12"/>
  <c r="D254" i="10"/>
  <c r="H539" i="12"/>
  <c r="G542" i="12"/>
  <c r="E539" i="12"/>
  <c r="H540" i="12"/>
  <c r="D317" i="10" l="1"/>
  <c r="H604" i="12"/>
  <c r="G604" i="12"/>
  <c r="E601" i="12"/>
  <c r="H601" i="12"/>
  <c r="H602" i="12"/>
  <c r="D546" i="12"/>
  <c r="D52" i="9"/>
  <c r="E254" i="10"/>
  <c r="E546" i="12" l="1"/>
  <c r="H546" i="12"/>
  <c r="E52" i="9"/>
  <c r="H52" i="9"/>
  <c r="D157" i="12"/>
  <c r="E317" i="10"/>
  <c r="D608" i="12"/>
  <c r="D55" i="9"/>
  <c r="E608" i="12" l="1"/>
  <c r="H608" i="12"/>
  <c r="E157" i="12"/>
  <c r="H157" i="12"/>
  <c r="D160" i="12"/>
  <c r="H55" i="9"/>
  <c r="E55" i="9"/>
  <c r="H160" i="12" l="1"/>
  <c r="E160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<sst xmlns="http://schemas.openxmlformats.org/spreadsheetml/2006/main" count="2123" uniqueCount="539">
  <si>
    <t>mm</t>
  </si>
  <si>
    <t>D =</t>
  </si>
  <si>
    <t>kN.m</t>
  </si>
  <si>
    <t>→</t>
  </si>
  <si>
    <t>Syarat :</t>
  </si>
  <si>
    <t>kN</t>
  </si>
  <si>
    <t>c =</t>
  </si>
  <si>
    <t>Kedalaman fondasi,</t>
  </si>
  <si>
    <r>
      <t>D</t>
    </r>
    <r>
      <rPr>
        <vertAlign val="subscript"/>
        <sz val="11"/>
        <rFont val="Calibri"/>
        <family val="2"/>
        <scheme val="minor"/>
      </rPr>
      <t>f</t>
    </r>
    <r>
      <rPr>
        <sz val="11"/>
        <rFont val="Calibri"/>
        <family val="2"/>
        <scheme val="minor"/>
      </rPr>
      <t xml:space="preserve"> =</t>
    </r>
  </si>
  <si>
    <t>m</t>
  </si>
  <si>
    <t>Berat volume tanah,</t>
  </si>
  <si>
    <r>
      <t xml:space="preserve"> </t>
    </r>
    <r>
      <rPr>
        <sz val="11"/>
        <rFont val="Symbol"/>
        <family val="1"/>
        <charset val="2"/>
      </rPr>
      <t xml:space="preserve">g </t>
    </r>
    <r>
      <rPr>
        <sz val="11"/>
        <rFont val="Arial"/>
        <family val="2"/>
      </rPr>
      <t>=</t>
    </r>
  </si>
  <si>
    <r>
      <t>kN/m</t>
    </r>
    <r>
      <rPr>
        <vertAlign val="superscript"/>
        <sz val="11"/>
        <rFont val="Calibri"/>
        <family val="2"/>
        <scheme val="minor"/>
      </rPr>
      <t>3</t>
    </r>
  </si>
  <si>
    <t>Sudut gesek dalam,</t>
  </si>
  <si>
    <r>
      <t xml:space="preserve"> </t>
    </r>
    <r>
      <rPr>
        <sz val="11"/>
        <rFont val="Symbol"/>
        <family val="1"/>
        <charset val="2"/>
      </rPr>
      <t xml:space="preserve">f </t>
    </r>
    <r>
      <rPr>
        <sz val="11"/>
        <rFont val="Arial"/>
        <family val="2"/>
      </rPr>
      <t>=</t>
    </r>
  </si>
  <si>
    <t>°</t>
  </si>
  <si>
    <t>Kohesi,</t>
  </si>
  <si>
    <t>kPa</t>
  </si>
  <si>
    <t>Tahanan konus rata-rata (hasil pengujian sondir),</t>
  </si>
  <si>
    <r>
      <t>q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</t>
    </r>
  </si>
  <si>
    <r>
      <t>kg/cm</t>
    </r>
    <r>
      <rPr>
        <vertAlign val="superscript"/>
        <sz val="11"/>
        <rFont val="Calibri"/>
        <family val="2"/>
        <scheme val="minor"/>
      </rPr>
      <t>2</t>
    </r>
  </si>
  <si>
    <r>
      <t>kN/m</t>
    </r>
    <r>
      <rPr>
        <vertAlign val="superscript"/>
        <sz val="11"/>
        <rFont val="Calibri"/>
        <family val="2"/>
        <scheme val="minor"/>
      </rPr>
      <t>2</t>
    </r>
  </si>
  <si>
    <t>Kedalaman fondasi (m)</t>
  </si>
  <si>
    <t>B =</t>
  </si>
  <si>
    <t>lebar fondasi (m)</t>
  </si>
  <si>
    <t>L =</t>
  </si>
  <si>
    <t>rad</t>
  </si>
  <si>
    <t>Faktor kapasitas dukung tanah menurut Terzaghi :</t>
  </si>
  <si>
    <t>Kapasitas dukung ultimit tanah menurut Terzaghi :</t>
  </si>
  <si>
    <t>Kapasitas dukung tanah,</t>
  </si>
  <si>
    <r>
      <t>tahanan konus rata-rata hasil sondir pada dasar fondasi ( kg/cm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)</t>
    </r>
  </si>
  <si>
    <t>B  =</t>
  </si>
  <si>
    <t>diambil,</t>
  </si>
  <si>
    <r>
      <t>K</t>
    </r>
    <r>
      <rPr>
        <vertAlign val="subscript"/>
        <sz val="11"/>
        <rFont val="Calibri"/>
        <family val="2"/>
        <scheme val="minor"/>
      </rPr>
      <t>d</t>
    </r>
    <r>
      <rPr>
        <sz val="11"/>
        <rFont val="Calibri"/>
        <family val="2"/>
        <scheme val="minor"/>
      </rPr>
      <t xml:space="preserve"> =</t>
    </r>
  </si>
  <si>
    <t>Tahanan konus rata-rata hasil sondir pada dasar fondasi,</t>
  </si>
  <si>
    <t>Kapasitas dukung ijin tanah,</t>
  </si>
  <si>
    <r>
      <t>q</t>
    </r>
    <r>
      <rPr>
        <vertAlign val="subscript"/>
        <sz val="11"/>
        <rFont val="Calibri"/>
        <family val="2"/>
        <scheme val="minor"/>
      </rPr>
      <t>a</t>
    </r>
    <r>
      <rPr>
        <sz val="11"/>
        <rFont val="Calibri"/>
        <family val="2"/>
        <scheme val="minor"/>
      </rPr>
      <t xml:space="preserve"> =</t>
    </r>
  </si>
  <si>
    <t>Kapasitas dukung tanah menurut Terzaghi dan Peck :</t>
  </si>
  <si>
    <t>Kapasitas dukung tanah tanah menurut Meyerhof :</t>
  </si>
  <si>
    <t>Kapasitas dukung tanah yang dipakai :</t>
  </si>
  <si>
    <r>
      <t>m</t>
    </r>
    <r>
      <rPr>
        <vertAlign val="superscript"/>
        <sz val="11"/>
        <rFont val="Calibri"/>
        <family val="2"/>
        <scheme val="minor"/>
      </rPr>
      <t>2</t>
    </r>
  </si>
  <si>
    <r>
      <t>m</t>
    </r>
    <r>
      <rPr>
        <vertAlign val="superscript"/>
        <sz val="11"/>
        <rFont val="Calibri"/>
        <family val="2"/>
        <scheme val="minor"/>
      </rPr>
      <t>3</t>
    </r>
  </si>
  <si>
    <t>Max</t>
  </si>
  <si>
    <t>Min</t>
  </si>
  <si>
    <t>&gt;</t>
  </si>
  <si>
    <r>
      <t>K</t>
    </r>
    <r>
      <rPr>
        <vertAlign val="subscript"/>
        <sz val="11"/>
        <rFont val="Calibri"/>
        <family val="2"/>
        <scheme val="minor"/>
      </rPr>
      <t>d</t>
    </r>
    <r>
      <rPr>
        <sz val="11"/>
        <rFont val="Calibri"/>
        <family val="2"/>
        <scheme val="minor"/>
      </rPr>
      <t xml:space="preserve"> = 1 + 0,33 * D</t>
    </r>
    <r>
      <rPr>
        <vertAlign val="subscript"/>
        <sz val="11"/>
        <rFont val="Calibri"/>
        <family val="2"/>
        <scheme val="minor"/>
      </rPr>
      <t>f</t>
    </r>
    <r>
      <rPr>
        <sz val="11"/>
        <rFont val="Calibri"/>
        <family val="2"/>
        <scheme val="minor"/>
      </rPr>
      <t xml:space="preserve"> / B =</t>
    </r>
  </si>
  <si>
    <r>
      <t>q</t>
    </r>
    <r>
      <rPr>
        <vertAlign val="subscript"/>
        <sz val="11"/>
        <rFont val="Calibri"/>
        <family val="2"/>
        <scheme val="minor"/>
      </rPr>
      <t>a</t>
    </r>
    <r>
      <rPr>
        <sz val="11"/>
        <rFont val="Calibri"/>
        <family val="2"/>
        <scheme val="minor"/>
      </rPr>
      <t xml:space="preserve"> = q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/ 33 * [ ( B + 0,3 ) / B ]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* K</t>
    </r>
    <r>
      <rPr>
        <vertAlign val="subscript"/>
        <sz val="11"/>
        <rFont val="Calibri"/>
        <family val="2"/>
        <scheme val="minor"/>
      </rPr>
      <t>d</t>
    </r>
    <r>
      <rPr>
        <sz val="11"/>
        <rFont val="Calibri"/>
        <family val="2"/>
        <scheme val="minor"/>
      </rPr>
      <t xml:space="preserve"> =</t>
    </r>
  </si>
  <si>
    <t>NO.</t>
  </si>
  <si>
    <t>OUTPUT CASE</t>
  </si>
  <si>
    <t>CASE TYPE</t>
  </si>
  <si>
    <t>STEP TYPE</t>
  </si>
  <si>
    <t>Combination</t>
  </si>
  <si>
    <t>A.1.</t>
  </si>
  <si>
    <t>A.2.</t>
  </si>
  <si>
    <t>INPUT DATA TANAH</t>
  </si>
  <si>
    <t>INPUT DIMENSI FONDASI</t>
  </si>
  <si>
    <t>Lebar fondasi pilecap arah X,</t>
  </si>
  <si>
    <t>Lebar fondasi pilecap arah Y,</t>
  </si>
  <si>
    <t>Lebar kolom arah X,</t>
  </si>
  <si>
    <t>Lebar kolom arah Y,</t>
  </si>
  <si>
    <t>KOMB. GEMPA X</t>
  </si>
  <si>
    <t>ENVE KOMB. BEBAN TERFAKTOR</t>
  </si>
  <si>
    <t>KOMB. GEMPA Y</t>
  </si>
  <si>
    <t>Tebal total pilecap,</t>
  </si>
  <si>
    <t>A.3.</t>
  </si>
  <si>
    <t>Mutu beton pakai,</t>
  </si>
  <si>
    <t>Kuat tekan beton,</t>
  </si>
  <si>
    <t>MPa</t>
  </si>
  <si>
    <t>Tegangan leleh baja tulangan ulir (deform),</t>
  </si>
  <si>
    <r>
      <t>f</t>
    </r>
    <r>
      <rPr>
        <vertAlign val="subscript"/>
        <sz val="11"/>
        <color theme="1"/>
        <rFont val="Calibri"/>
        <family val="2"/>
        <scheme val="minor"/>
      </rPr>
      <t xml:space="preserve">y </t>
    </r>
    <r>
      <rPr>
        <sz val="11"/>
        <color theme="1"/>
        <rFont val="Calibri"/>
        <family val="2"/>
        <scheme val="minor"/>
      </rPr>
      <t>=</t>
    </r>
  </si>
  <si>
    <t xml:space="preserve">Tegangan leleh baja tulangan polos, </t>
  </si>
  <si>
    <t>Modulus elastis baja,</t>
  </si>
  <si>
    <r>
      <t>E</t>
    </r>
    <r>
      <rPr>
        <vertAlign val="subscript"/>
        <sz val="11"/>
        <color theme="1"/>
        <rFont val="Calibri"/>
        <family val="2"/>
        <scheme val="minor"/>
      </rPr>
      <t xml:space="preserve">s </t>
    </r>
    <r>
      <rPr>
        <sz val="11"/>
        <color theme="1"/>
        <rFont val="Calibri"/>
        <family val="2"/>
        <scheme val="minor"/>
      </rPr>
      <t>=</t>
    </r>
  </si>
  <si>
    <t>Diameter tulangan utama,</t>
  </si>
  <si>
    <t>Diameter tulangan susut,</t>
  </si>
  <si>
    <t>A.5.</t>
  </si>
  <si>
    <t>DATA BERAT VOLUME MATERIAL</t>
  </si>
  <si>
    <t>Berat volume tanah di atas pilecap,</t>
  </si>
  <si>
    <r>
      <t>w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=</t>
    </r>
  </si>
  <si>
    <t>Berat volume beton bertulang,</t>
  </si>
  <si>
    <r>
      <t>w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</t>
    </r>
  </si>
  <si>
    <t>KOMB. LAYAN</t>
  </si>
  <si>
    <t>D.1.</t>
  </si>
  <si>
    <t>KAPASITAS DUKUNG TANAH</t>
  </si>
  <si>
    <t>MENURUT TERZAGHI DAN PECK (1943)</t>
  </si>
  <si>
    <t>MENURUT MEYERHOF (1956)</t>
  </si>
  <si>
    <t>KAPASITAS DUKUNG TANAH YANG DIPAKAI</t>
  </si>
  <si>
    <t>Tebal total pilecap fondasi,</t>
  </si>
  <si>
    <t>D.2.</t>
  </si>
  <si>
    <t>Volume tanah di atas pilecap,</t>
  </si>
  <si>
    <t>KONTROL TEGANGAN TANAH</t>
  </si>
  <si>
    <t>Berat total pilecap,</t>
  </si>
  <si>
    <t>Berat total tanah di atas pilecap,</t>
  </si>
  <si>
    <r>
      <t>Q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charset val="1"/>
        <scheme val="minor"/>
      </rPr>
      <t xml:space="preserve"> = W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charset val="1"/>
        <scheme val="minor"/>
      </rPr>
      <t xml:space="preserve"> * V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charset val="1"/>
        <scheme val="minor"/>
      </rPr>
      <t xml:space="preserve"> =</t>
    </r>
  </si>
  <si>
    <t>Tahanan momen X (M1),</t>
  </si>
  <si>
    <t>Tahanan momen Y (M2),</t>
  </si>
  <si>
    <t xml:space="preserve"> φ = φ / 180 * π =</t>
  </si>
  <si>
    <r>
      <t>a = e</t>
    </r>
    <r>
      <rPr>
        <vertAlign val="superscript"/>
        <sz val="11"/>
        <rFont val="Calibri"/>
        <family val="2"/>
        <scheme val="minor"/>
      </rPr>
      <t xml:space="preserve">(3*π / 4 - φ/2)*tan φ </t>
    </r>
    <r>
      <rPr>
        <sz val="11"/>
        <rFont val="Calibri"/>
        <family val="2"/>
        <scheme val="minor"/>
      </rPr>
      <t>=</t>
    </r>
  </si>
  <si>
    <r>
      <t>K</t>
    </r>
    <r>
      <rPr>
        <vertAlign val="subscript"/>
        <sz val="11"/>
        <rFont val="Calibri"/>
        <family val="2"/>
        <scheme val="minor"/>
      </rPr>
      <t>pϒ</t>
    </r>
    <r>
      <rPr>
        <sz val="11"/>
        <rFont val="Calibri"/>
        <family val="2"/>
        <scheme val="minor"/>
      </rPr>
      <t xml:space="preserve"> = 3 * tan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[ 45° + 1/2*( φ + 33°) ] =</t>
    </r>
  </si>
  <si>
    <r>
      <t>N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 1/ tan φ * [ a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/ (2 * cos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(45 + φ/2) - 1 ] =</t>
    </r>
  </si>
  <si>
    <r>
      <t>N</t>
    </r>
    <r>
      <rPr>
        <vertAlign val="subscript"/>
        <sz val="11"/>
        <rFont val="Calibri"/>
        <family val="2"/>
        <scheme val="minor"/>
      </rPr>
      <t>q</t>
    </r>
    <r>
      <rPr>
        <sz val="11"/>
        <rFont val="Calibri"/>
        <family val="2"/>
        <scheme val="minor"/>
      </rPr>
      <t xml:space="preserve"> = a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/ [ (2 * cos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(45 + φ/2) ] = N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* tan φ  + 1 =</t>
    </r>
  </si>
  <si>
    <r>
      <t>N</t>
    </r>
    <r>
      <rPr>
        <vertAlign val="subscript"/>
        <sz val="11"/>
        <rFont val="Calibri"/>
        <family val="2"/>
        <scheme val="minor"/>
      </rPr>
      <t>ϒ</t>
    </r>
    <r>
      <rPr>
        <sz val="11"/>
        <rFont val="Calibri"/>
        <family val="2"/>
        <scheme val="minor"/>
      </rPr>
      <t xml:space="preserve"> = 1/2 * tan φ * [ K</t>
    </r>
    <r>
      <rPr>
        <vertAlign val="subscript"/>
        <sz val="11"/>
        <rFont val="Calibri"/>
        <family val="2"/>
        <scheme val="minor"/>
      </rPr>
      <t>pϒ</t>
    </r>
    <r>
      <rPr>
        <sz val="11"/>
        <rFont val="Calibri"/>
        <family val="2"/>
        <scheme val="minor"/>
      </rPr>
      <t xml:space="preserve"> / cos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φ - 1 ] =</t>
    </r>
  </si>
  <si>
    <t>ϒ =</t>
  </si>
  <si>
    <t xml:space="preserve"> φ =</t>
  </si>
  <si>
    <t>Luas dasar fondasi pilecap,</t>
  </si>
  <si>
    <t>Nilai kohesi tanah,</t>
  </si>
  <si>
    <t>Kedalaman dasar pilecap,</t>
  </si>
  <si>
    <t>Berat volume tanah pada dasar pilecap,</t>
  </si>
  <si>
    <t>Panjang rencana pilecap,</t>
  </si>
  <si>
    <t>Lebar rencana pilecap,</t>
  </si>
  <si>
    <t>Jarak pusat tulangan terhadap sisi luar beton,</t>
  </si>
  <si>
    <t>d = h - d' =</t>
  </si>
  <si>
    <t>Tegangan tanah pada bidang kritis geser arah x,</t>
  </si>
  <si>
    <t>Gaya geser arah x,</t>
  </si>
  <si>
    <t xml:space="preserve">kN </t>
  </si>
  <si>
    <t>Lebar bidang geser untuk tinjauan arah x,</t>
  </si>
  <si>
    <t>Tebal efektif footplat,</t>
  </si>
  <si>
    <t>d =</t>
  </si>
  <si>
    <t>Rasio sisi panjang thd. sisi pendek kolom,</t>
  </si>
  <si>
    <t>Faktor reduksi kekuatan geser,</t>
  </si>
  <si>
    <t>≥</t>
  </si>
  <si>
    <t>Gaya geser arah y,</t>
  </si>
  <si>
    <t>Lebar bidang geser untuk tinjauan arah y,</t>
  </si>
  <si>
    <t>Lebar bidang geser pons arah x,</t>
  </si>
  <si>
    <t>Lebar bidang geser pons arah y,</t>
  </si>
  <si>
    <t>Gaya geser pons yang terjadi,</t>
  </si>
  <si>
    <t>Luas bidang geser pons,</t>
  </si>
  <si>
    <t>Lebar bidang geser pons,</t>
  </si>
  <si>
    <t xml:space="preserve">m </t>
  </si>
  <si>
    <t>Tegangan geser pons yang disyaratkan,</t>
  </si>
  <si>
    <t>Faktor reduksi kekuatan geser pons,</t>
  </si>
  <si>
    <t>Kuat geser pons,</t>
  </si>
  <si>
    <r>
      <t>V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 1 / 3 * √ f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>' * b * d  * 10</t>
    </r>
    <r>
      <rPr>
        <vertAlign val="superscript"/>
        <sz val="11"/>
        <rFont val="Calibri"/>
        <family val="2"/>
        <scheme val="minor"/>
      </rPr>
      <t>-3</t>
    </r>
    <r>
      <rPr>
        <sz val="11"/>
        <rFont val="Calibri"/>
        <family val="2"/>
        <scheme val="minor"/>
      </rPr>
      <t xml:space="preserve"> =</t>
    </r>
  </si>
  <si>
    <r>
      <t>V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</t>
    </r>
  </si>
  <si>
    <r>
      <t>V</t>
    </r>
    <r>
      <rPr>
        <vertAlign val="subscript"/>
        <sz val="11"/>
        <rFont val="Calibri"/>
        <family val="2"/>
        <scheme val="minor"/>
      </rPr>
      <t xml:space="preserve">ux  </t>
    </r>
  </si>
  <si>
    <r>
      <t>V</t>
    </r>
    <r>
      <rPr>
        <vertAlign val="subscript"/>
        <sz val="11"/>
        <rFont val="Calibri"/>
        <family val="2"/>
        <scheme val="minor"/>
      </rPr>
      <t>up</t>
    </r>
    <r>
      <rPr>
        <sz val="11"/>
        <rFont val="Calibri"/>
        <family val="2"/>
        <scheme val="minor"/>
      </rPr>
      <t xml:space="preserve"> </t>
    </r>
  </si>
  <si>
    <r>
      <t>P</t>
    </r>
    <r>
      <rPr>
        <vertAlign val="subscript"/>
        <sz val="11"/>
        <rFont val="Calibri"/>
        <family val="2"/>
        <scheme val="minor"/>
      </rPr>
      <t>u</t>
    </r>
  </si>
  <si>
    <t>TINJAUAN GESER ARAH X</t>
  </si>
  <si>
    <r>
      <t>q</t>
    </r>
    <r>
      <rPr>
        <vertAlign val="subscript"/>
        <sz val="11"/>
        <rFont val="Calibri"/>
        <family val="2"/>
        <scheme val="minor"/>
      </rPr>
      <t>max</t>
    </r>
    <r>
      <rPr>
        <sz val="11"/>
        <rFont val="Calibri"/>
        <family val="2"/>
        <charset val="1"/>
        <scheme val="minor"/>
      </rPr>
      <t xml:space="preserve"> =</t>
    </r>
  </si>
  <si>
    <r>
      <t>q</t>
    </r>
    <r>
      <rPr>
        <vertAlign val="subscript"/>
        <sz val="11"/>
        <rFont val="Calibri"/>
        <family val="2"/>
        <scheme val="minor"/>
      </rPr>
      <t>min</t>
    </r>
    <r>
      <rPr>
        <sz val="11"/>
        <rFont val="Calibri"/>
        <family val="2"/>
        <charset val="1"/>
        <scheme val="minor"/>
      </rPr>
      <t xml:space="preserve"> =</t>
    </r>
  </si>
  <si>
    <t>DATA ANALISA GESER PADA STRUKTUR</t>
  </si>
  <si>
    <t>Tegangan tanah maksimum yang terjadi,</t>
  </si>
  <si>
    <t>Tegangan tanah minimum yang terjadi,</t>
  </si>
  <si>
    <t>Berat total tanah dan pilecap,</t>
  </si>
  <si>
    <r>
      <t>Q</t>
    </r>
    <r>
      <rPr>
        <vertAlign val="subscript"/>
        <sz val="11"/>
        <rFont val="Calibri"/>
        <family val="2"/>
        <scheme val="minor"/>
      </rPr>
      <t>TOT</t>
    </r>
    <r>
      <rPr>
        <sz val="11"/>
        <rFont val="Calibri"/>
        <family val="2"/>
        <charset val="1"/>
        <scheme val="minor"/>
      </rPr>
      <t xml:space="preserve"> = Q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charset val="1"/>
        <scheme val="minor"/>
      </rPr>
      <t xml:space="preserve"> * Q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charset val="1"/>
        <scheme val="minor"/>
      </rPr>
      <t xml:space="preserve"> =</t>
    </r>
  </si>
  <si>
    <r>
      <t>V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 [ 1 + 2 / </t>
    </r>
    <r>
      <rPr>
        <sz val="11"/>
        <rFont val="Calibri"/>
        <family val="2"/>
      </rPr>
      <t>β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] * √ f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>' * b * d  / 6 * 10</t>
    </r>
    <r>
      <rPr>
        <vertAlign val="superscript"/>
        <sz val="11"/>
        <rFont val="Calibri"/>
        <family val="2"/>
        <scheme val="minor"/>
      </rPr>
      <t>-3</t>
    </r>
    <r>
      <rPr>
        <sz val="11"/>
        <rFont val="Calibri"/>
        <family val="2"/>
        <scheme val="minor"/>
      </rPr>
      <t xml:space="preserve"> =</t>
    </r>
  </si>
  <si>
    <r>
      <t>V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 [ </t>
    </r>
    <r>
      <rPr>
        <sz val="11"/>
        <rFont val="Calibri"/>
        <family val="2"/>
      </rPr>
      <t>α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* d / b + 2 ] * √ f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>' * b * d  / 12 * 10</t>
    </r>
    <r>
      <rPr>
        <vertAlign val="superscript"/>
        <sz val="11"/>
        <rFont val="Calibri"/>
        <family val="2"/>
        <scheme val="minor"/>
      </rPr>
      <t>-3</t>
    </r>
    <r>
      <rPr>
        <sz val="11"/>
        <rFont val="Calibri"/>
        <family val="2"/>
        <scheme val="minor"/>
      </rPr>
      <t xml:space="preserve"> =</t>
    </r>
  </si>
  <si>
    <t>Posisi kolom (dalam = 40, tepi = 30, sudut = 20),</t>
  </si>
  <si>
    <r>
      <rPr>
        <sz val="11"/>
        <rFont val="Calibri"/>
        <family val="2"/>
      </rPr>
      <t>α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=</t>
    </r>
  </si>
  <si>
    <r>
      <rPr>
        <sz val="11"/>
        <rFont val="Calibri"/>
        <family val="2"/>
      </rPr>
      <t>φ</t>
    </r>
    <r>
      <rPr>
        <sz val="11"/>
        <rFont val="Calibri"/>
        <family val="2"/>
        <scheme val="minor"/>
      </rPr>
      <t xml:space="preserve"> * V</t>
    </r>
    <r>
      <rPr>
        <vertAlign val="subscript"/>
        <sz val="11"/>
        <rFont val="Calibri"/>
        <family val="2"/>
        <scheme val="minor"/>
      </rPr>
      <t>c</t>
    </r>
  </si>
  <si>
    <r>
      <t>φ * V</t>
    </r>
    <r>
      <rPr>
        <vertAlign val="subscript"/>
        <sz val="11"/>
        <rFont val="Calibri"/>
        <family val="2"/>
        <scheme val="minor"/>
      </rPr>
      <t>np</t>
    </r>
  </si>
  <si>
    <t>Gaya aksial maksimum yang terjadi,</t>
  </si>
  <si>
    <r>
      <t>P</t>
    </r>
    <r>
      <rPr>
        <vertAlign val="subscript"/>
        <sz val="11"/>
        <rFont val="Calibri"/>
        <family val="2"/>
        <scheme val="minor"/>
      </rPr>
      <t>u</t>
    </r>
    <r>
      <rPr>
        <sz val="11"/>
        <rFont val="Calibri"/>
        <family val="2"/>
        <charset val="1"/>
        <scheme val="minor"/>
      </rPr>
      <t xml:space="preserve"> =</t>
    </r>
  </si>
  <si>
    <t>TINJAUAN GESER ARAH Y</t>
  </si>
  <si>
    <t>TINJAUAN GESER DUA ARAH (PONS)</t>
  </si>
  <si>
    <t>Tulangan Lentur Arah X</t>
  </si>
  <si>
    <t>kNm</t>
  </si>
  <si>
    <t>Lebar pilecap yang ditinjau,</t>
  </si>
  <si>
    <t>Tebal pilecap,</t>
  </si>
  <si>
    <t>h =</t>
  </si>
  <si>
    <t>Jarak pusat tulangan thd. sisi luar beton,</t>
  </si>
  <si>
    <t>Tebal efektif plat,</t>
  </si>
  <si>
    <t xml:space="preserve">Kuat tekan beton,         </t>
  </si>
  <si>
    <r>
      <t>f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>' =</t>
    </r>
  </si>
  <si>
    <t xml:space="preserve">Kuat leleh baja tulangan,  </t>
  </si>
  <si>
    <r>
      <t>f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=</t>
    </r>
  </si>
  <si>
    <r>
      <t>E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=</t>
    </r>
  </si>
  <si>
    <r>
      <t>Untuk   :  17  ≤  f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>'  ≤  28 MPa,</t>
    </r>
  </si>
  <si>
    <r>
      <t>β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=          </t>
    </r>
  </si>
  <si>
    <r>
      <t>Untuk   :  28  &lt;  f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>'  &lt;  55 MPa,</t>
    </r>
  </si>
  <si>
    <r>
      <t>Untuk   :  f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'  </t>
    </r>
    <r>
      <rPr>
        <sz val="11"/>
        <rFont val="Calibri"/>
        <family val="2"/>
      </rPr>
      <t>≥</t>
    </r>
    <r>
      <rPr>
        <sz val="11"/>
        <rFont val="Calibri"/>
        <family val="2"/>
        <scheme val="minor"/>
      </rPr>
      <t xml:space="preserve">  55 MPa,</t>
    </r>
  </si>
  <si>
    <t xml:space="preserve">Faktor bentuk distribusi tegangan beton,            </t>
  </si>
  <si>
    <r>
      <t xml:space="preserve">Rasio tulangan pada kondisi </t>
    </r>
    <r>
      <rPr>
        <i/>
        <sz val="11"/>
        <rFont val="Calibri"/>
        <family val="2"/>
        <scheme val="minor"/>
      </rPr>
      <t>balance</t>
    </r>
    <r>
      <rPr>
        <sz val="11"/>
        <rFont val="Calibri"/>
        <family val="2"/>
        <scheme val="minor"/>
      </rPr>
      <t>,</t>
    </r>
  </si>
  <si>
    <r>
      <t>ρ</t>
    </r>
    <r>
      <rPr>
        <vertAlign val="subscript"/>
        <sz val="11"/>
        <rFont val="Calibri"/>
        <family val="2"/>
        <scheme val="minor"/>
      </rPr>
      <t>b</t>
    </r>
    <r>
      <rPr>
        <sz val="11"/>
        <rFont val="Calibri"/>
        <family val="2"/>
        <scheme val="minor"/>
      </rPr>
      <t xml:space="preserve"> = β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>* 0,85 * f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>'/ f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* 600 / ( 600 + f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)  =                  </t>
    </r>
  </si>
  <si>
    <t>Rasio tulangan maksimum,</t>
  </si>
  <si>
    <r>
      <t>ρ</t>
    </r>
    <r>
      <rPr>
        <vertAlign val="subscript"/>
        <sz val="11"/>
        <rFont val="Calibri"/>
        <family val="2"/>
        <scheme val="minor"/>
      </rPr>
      <t>maks</t>
    </r>
    <r>
      <rPr>
        <sz val="11"/>
        <rFont val="Calibri"/>
        <family val="2"/>
        <scheme val="minor"/>
      </rPr>
      <t xml:space="preserve"> = 0,75 * ρ</t>
    </r>
    <r>
      <rPr>
        <vertAlign val="subscript"/>
        <sz val="11"/>
        <rFont val="Calibri"/>
        <family val="2"/>
        <scheme val="minor"/>
      </rPr>
      <t>b</t>
    </r>
    <r>
      <rPr>
        <sz val="11"/>
        <rFont val="Calibri"/>
        <family val="2"/>
        <scheme val="minor"/>
      </rPr>
      <t xml:space="preserve">  =                  </t>
    </r>
  </si>
  <si>
    <t>Rasio tulangan minimum,</t>
  </si>
  <si>
    <t>syarat 1 :</t>
  </si>
  <si>
    <r>
      <t>ρ</t>
    </r>
    <r>
      <rPr>
        <vertAlign val="subscript"/>
        <sz val="11"/>
        <rFont val="Calibri"/>
        <family val="2"/>
        <scheme val="minor"/>
      </rPr>
      <t>min</t>
    </r>
    <r>
      <rPr>
        <sz val="11"/>
        <rFont val="Calibri"/>
        <family val="2"/>
        <scheme val="minor"/>
      </rPr>
      <t xml:space="preserve"> = √ f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>' / ( 4 * f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) = </t>
    </r>
  </si>
  <si>
    <t>syarat 2 :</t>
  </si>
  <si>
    <r>
      <t>ρ</t>
    </r>
    <r>
      <rPr>
        <vertAlign val="subscript"/>
        <sz val="11"/>
        <rFont val="Calibri"/>
        <family val="2"/>
        <scheme val="minor"/>
      </rPr>
      <t>min</t>
    </r>
    <r>
      <rPr>
        <sz val="11"/>
        <rFont val="Calibri"/>
        <family val="2"/>
        <scheme val="minor"/>
      </rPr>
      <t xml:space="preserve"> = 1,4 / f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 =                  </t>
    </r>
  </si>
  <si>
    <t>Asumsi faktor reduksi kekuatan gaya momen,</t>
  </si>
  <si>
    <r>
      <rPr>
        <i/>
        <sz val="11"/>
        <rFont val="Calibri"/>
        <family val="2"/>
        <scheme val="minor"/>
      </rPr>
      <t>φ</t>
    </r>
    <r>
      <rPr>
        <sz val="11"/>
        <rFont val="Calibri"/>
        <family val="2"/>
        <scheme val="minor"/>
      </rPr>
      <t xml:space="preserve"> =</t>
    </r>
  </si>
  <si>
    <t>Nilai momen maksimum pada daerah tumpuan,</t>
  </si>
  <si>
    <r>
      <t>M</t>
    </r>
    <r>
      <rPr>
        <vertAlign val="subscript"/>
        <sz val="11"/>
        <rFont val="Calibri"/>
        <family val="2"/>
        <scheme val="minor"/>
      </rPr>
      <t>u</t>
    </r>
    <r>
      <rPr>
        <sz val="11"/>
        <rFont val="Calibri"/>
        <family val="2"/>
        <scheme val="minor"/>
      </rPr>
      <t xml:space="preserve"> = M</t>
    </r>
    <r>
      <rPr>
        <vertAlign val="subscript"/>
        <sz val="11"/>
        <rFont val="Calibri"/>
        <family val="2"/>
        <scheme val="minor"/>
      </rPr>
      <t>ux</t>
    </r>
    <r>
      <rPr>
        <sz val="11"/>
        <rFont val="Calibri"/>
        <family val="2"/>
        <scheme val="minor"/>
      </rPr>
      <t xml:space="preserve"> =</t>
    </r>
  </si>
  <si>
    <t>Nilai minimum momen rencana pada daerah tumpuan,</t>
  </si>
  <si>
    <r>
      <t>M</t>
    </r>
    <r>
      <rPr>
        <vertAlign val="subscript"/>
        <sz val="11"/>
        <rFont val="Calibri"/>
        <family val="2"/>
        <scheme val="minor"/>
      </rPr>
      <t>n</t>
    </r>
    <r>
      <rPr>
        <sz val="11"/>
        <rFont val="Calibri"/>
        <family val="2"/>
        <scheme val="minor"/>
      </rPr>
      <t xml:space="preserve"> = M</t>
    </r>
    <r>
      <rPr>
        <vertAlign val="subscript"/>
        <sz val="11"/>
        <rFont val="Calibri"/>
        <family val="2"/>
        <scheme val="minor"/>
      </rPr>
      <t>u</t>
    </r>
    <r>
      <rPr>
        <sz val="11"/>
        <rFont val="Calibri"/>
        <family val="2"/>
        <scheme val="minor"/>
      </rPr>
      <t xml:space="preserve"> / </t>
    </r>
    <r>
      <rPr>
        <i/>
        <sz val="11"/>
        <rFont val="Calibri"/>
        <family val="2"/>
        <scheme val="minor"/>
      </rPr>
      <t>φ</t>
    </r>
    <r>
      <rPr>
        <sz val="11"/>
        <rFont val="Calibri"/>
        <family val="2"/>
        <scheme val="minor"/>
      </rPr>
      <t xml:space="preserve"> =</t>
    </r>
  </si>
  <si>
    <t>faktor tahanan momen,</t>
  </si>
  <si>
    <r>
      <t>R</t>
    </r>
    <r>
      <rPr>
        <i/>
        <vertAlign val="subscript"/>
        <sz val="11"/>
        <rFont val="Calibri"/>
        <family val="2"/>
        <scheme val="minor"/>
      </rPr>
      <t>n</t>
    </r>
    <r>
      <rPr>
        <i/>
        <sz val="11"/>
        <rFont val="Calibri"/>
        <family val="2"/>
        <scheme val="minor"/>
      </rPr>
      <t xml:space="preserve">  = M</t>
    </r>
    <r>
      <rPr>
        <i/>
        <vertAlign val="subscript"/>
        <sz val="11"/>
        <rFont val="Calibri"/>
        <family val="2"/>
        <scheme val="minor"/>
      </rPr>
      <t>n</t>
    </r>
    <r>
      <rPr>
        <i/>
        <sz val="11"/>
        <rFont val="Calibri"/>
        <family val="2"/>
        <scheme val="minor"/>
      </rPr>
      <t xml:space="preserve"> / (</t>
    </r>
    <r>
      <rPr>
        <sz val="11"/>
        <rFont val="Calibri"/>
        <family val="2"/>
        <scheme val="minor"/>
      </rPr>
      <t xml:space="preserve"> b * d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) =</t>
    </r>
  </si>
  <si>
    <t>Rasio tegangan leleh baja dengan kuat tekan efektif beton,</t>
  </si>
  <si>
    <r>
      <t>m = f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/ ( 0,85 *f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>' ) =</t>
    </r>
  </si>
  <si>
    <t>Rasio tulangan perlu,</t>
  </si>
  <si>
    <r>
      <t>ρ</t>
    </r>
    <r>
      <rPr>
        <sz val="11"/>
        <rFont val="Calibri"/>
        <family val="2"/>
        <scheme val="minor"/>
      </rPr>
      <t xml:space="preserve"> = 1 / m * ( 1 - [ 1 - 2 * m * Rn / fy ]</t>
    </r>
    <r>
      <rPr>
        <vertAlign val="superscript"/>
        <sz val="11"/>
        <rFont val="Calibri"/>
        <family val="2"/>
        <scheme val="minor"/>
      </rPr>
      <t>0,5</t>
    </r>
    <r>
      <rPr>
        <sz val="11"/>
        <rFont val="Calibri"/>
        <family val="2"/>
        <scheme val="minor"/>
      </rPr>
      <t xml:space="preserve"> ) =</t>
    </r>
  </si>
  <si>
    <t>Kontrol nilai rasio tulangan perlu,</t>
  </si>
  <si>
    <r>
      <t>ρ</t>
    </r>
    <r>
      <rPr>
        <vertAlign val="subscript"/>
        <sz val="11"/>
        <rFont val="Calibri"/>
        <family val="2"/>
        <scheme val="minor"/>
      </rPr>
      <t>min</t>
    </r>
  </si>
  <si>
    <t>ρ</t>
  </si>
  <si>
    <r>
      <t>ρ</t>
    </r>
    <r>
      <rPr>
        <vertAlign val="subscript"/>
        <sz val="11"/>
        <rFont val="Calibri"/>
        <family val="2"/>
        <scheme val="minor"/>
      </rPr>
      <t>maks</t>
    </r>
  </si>
  <si>
    <t>Nilai rasio tulangan pakai,</t>
  </si>
  <si>
    <t>ρ =</t>
  </si>
  <si>
    <t>Luas tulangan yang diperlukan,</t>
  </si>
  <si>
    <r>
      <t>A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=  ρ * b * d = </t>
    </r>
  </si>
  <si>
    <r>
      <t>mm</t>
    </r>
    <r>
      <rPr>
        <vertAlign val="superscript"/>
        <sz val="11"/>
        <rFont val="Calibri"/>
        <family val="2"/>
        <scheme val="minor"/>
      </rPr>
      <t>2</t>
    </r>
  </si>
  <si>
    <t>Jarak tulangan yang diperlukan,</t>
  </si>
  <si>
    <r>
      <t xml:space="preserve">s = 1 / 4 * </t>
    </r>
    <r>
      <rPr>
        <sz val="11"/>
        <rFont val="Calibri"/>
        <family val="2"/>
      </rPr>
      <t>π</t>
    </r>
    <r>
      <rPr>
        <sz val="11"/>
        <rFont val="Calibri"/>
        <family val="2"/>
        <scheme val="minor"/>
      </rPr>
      <t xml:space="preserve"> * D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* b / A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=</t>
    </r>
  </si>
  <si>
    <t>Jarak tulangan maksimum,</t>
  </si>
  <si>
    <r>
      <t>s</t>
    </r>
    <r>
      <rPr>
        <vertAlign val="subscript"/>
        <sz val="11"/>
        <rFont val="Calibri"/>
        <family val="2"/>
        <scheme val="minor"/>
      </rPr>
      <t>max</t>
    </r>
    <r>
      <rPr>
        <sz val="11"/>
        <rFont val="Calibri"/>
        <family val="2"/>
        <scheme val="minor"/>
      </rPr>
      <t xml:space="preserve"> = </t>
    </r>
  </si>
  <si>
    <t>Jarak sengkang yang  harus digunakan,</t>
  </si>
  <si>
    <t>s =</t>
  </si>
  <si>
    <t>Diambil jarak sengkang :</t>
  </si>
  <si>
    <t>Digunakan tulangan,</t>
  </si>
  <si>
    <t>Luas tulangan terpakai,</t>
  </si>
  <si>
    <r>
      <t xml:space="preserve">     A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= 1 / 4 * </t>
    </r>
    <r>
      <rPr>
        <sz val="11"/>
        <rFont val="Calibri"/>
        <family val="2"/>
      </rPr>
      <t xml:space="preserve">π </t>
    </r>
    <r>
      <rPr>
        <sz val="11"/>
        <rFont val="Calibri"/>
        <family val="2"/>
        <scheme val="minor"/>
      </rPr>
      <t>* D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* b / s</t>
    </r>
    <r>
      <rPr>
        <vertAlign val="subscript"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=</t>
    </r>
  </si>
  <si>
    <t>Gaya dalam kondisi tarik pada tulangan tarik sudah leleh,</t>
  </si>
  <si>
    <r>
      <t>T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= A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* f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=</t>
    </r>
  </si>
  <si>
    <t>Gaya dalam kondisi tekan pada beton,</t>
  </si>
  <si>
    <r>
      <t>C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  0,85 * fc' * β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* c * b =</t>
    </r>
  </si>
  <si>
    <t>Kesetimbangan gaya dalam,</t>
  </si>
  <si>
    <t>Cc =</t>
  </si>
  <si>
    <t>Persamaan kuadrat untuk nilai c,</t>
  </si>
  <si>
    <t>Nilai c berdasarkan persamaan linier,</t>
  </si>
  <si>
    <r>
      <t>C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</t>
    </r>
  </si>
  <si>
    <r>
      <t>T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=</t>
    </r>
  </si>
  <si>
    <t>Pengecekan hasil perhitungan terhadap asumsi awal,</t>
  </si>
  <si>
    <t>Syarat untuk tulangan tarik:</t>
  </si>
  <si>
    <r>
      <t>ε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>' = (d - c)/c * ε</t>
    </r>
    <r>
      <rPr>
        <vertAlign val="subscript"/>
        <sz val="11"/>
        <rFont val="Calibri"/>
        <family val="2"/>
        <scheme val="minor"/>
      </rPr>
      <t>cu</t>
    </r>
  </si>
  <si>
    <r>
      <t>ε</t>
    </r>
    <r>
      <rPr>
        <vertAlign val="subscript"/>
        <sz val="11"/>
        <rFont val="Calibri"/>
        <family val="2"/>
        <scheme val="minor"/>
      </rPr>
      <t>s-yield</t>
    </r>
    <r>
      <rPr>
        <sz val="11"/>
        <rFont val="Calibri"/>
        <family val="2"/>
        <scheme val="minor"/>
      </rPr>
      <t xml:space="preserve"> = f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/ E</t>
    </r>
    <r>
      <rPr>
        <vertAlign val="subscript"/>
        <sz val="11"/>
        <rFont val="Calibri"/>
        <family val="2"/>
        <scheme val="minor"/>
      </rPr>
      <t>s</t>
    </r>
  </si>
  <si>
    <t>Klasifikasi regangan tarik netto,</t>
  </si>
  <si>
    <t>Faktor reduksi kekuatan gaya momen,</t>
  </si>
  <si>
    <t>Kapasitas momen terhadap T,</t>
  </si>
  <si>
    <r>
      <t>M</t>
    </r>
    <r>
      <rPr>
        <vertAlign val="subscript"/>
        <sz val="11"/>
        <rFont val="Calibri"/>
        <family val="2"/>
        <scheme val="minor"/>
      </rPr>
      <t>n</t>
    </r>
    <r>
      <rPr>
        <sz val="11"/>
        <rFont val="Calibri"/>
        <family val="2"/>
        <scheme val="minor"/>
      </rPr>
      <t xml:space="preserve"> = C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* (d - β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* c/2) =</t>
    </r>
  </si>
  <si>
    <r>
      <rPr>
        <i/>
        <sz val="11"/>
        <rFont val="Calibri"/>
        <family val="2"/>
        <scheme val="minor"/>
      </rPr>
      <t>φ</t>
    </r>
    <r>
      <rPr>
        <sz val="11"/>
        <rFont val="Calibri"/>
        <family val="2"/>
        <scheme val="minor"/>
      </rPr>
      <t xml:space="preserve"> * M</t>
    </r>
    <r>
      <rPr>
        <vertAlign val="subscript"/>
        <sz val="11"/>
        <rFont val="Calibri"/>
        <family val="2"/>
        <scheme val="minor"/>
      </rPr>
      <t>n</t>
    </r>
  </si>
  <si>
    <r>
      <t>M</t>
    </r>
    <r>
      <rPr>
        <vertAlign val="subscript"/>
        <sz val="11"/>
        <rFont val="Calibri"/>
        <family val="2"/>
        <scheme val="minor"/>
      </rPr>
      <t>u</t>
    </r>
  </si>
  <si>
    <r>
      <t>M</t>
    </r>
    <r>
      <rPr>
        <vertAlign val="subscript"/>
        <sz val="11"/>
        <rFont val="Calibri"/>
        <family val="2"/>
        <scheme val="minor"/>
      </rPr>
      <t>u</t>
    </r>
    <r>
      <rPr>
        <sz val="11"/>
        <rFont val="Calibri"/>
        <family val="2"/>
        <scheme val="minor"/>
      </rPr>
      <t xml:space="preserve"> = M</t>
    </r>
    <r>
      <rPr>
        <vertAlign val="subscript"/>
        <sz val="11"/>
        <rFont val="Calibri"/>
        <family val="2"/>
        <scheme val="minor"/>
      </rPr>
      <t>uy</t>
    </r>
    <r>
      <rPr>
        <sz val="11"/>
        <rFont val="Calibri"/>
        <family val="2"/>
        <scheme val="minor"/>
      </rPr>
      <t xml:space="preserve"> =</t>
    </r>
  </si>
  <si>
    <t>D.3.</t>
  </si>
  <si>
    <t>Rasio tulangan susut minimum,</t>
  </si>
  <si>
    <r>
      <rPr>
        <sz val="11"/>
        <rFont val="Calibri"/>
        <family val="2"/>
      </rPr>
      <t>ρ</t>
    </r>
    <r>
      <rPr>
        <vertAlign val="subscript"/>
        <sz val="11"/>
        <rFont val="Calibri"/>
        <family val="2"/>
        <scheme val="minor"/>
      </rPr>
      <t>smin</t>
    </r>
    <r>
      <rPr>
        <sz val="11"/>
        <rFont val="Calibri"/>
        <family val="2"/>
        <scheme val="minor"/>
      </rPr>
      <t xml:space="preserve"> = </t>
    </r>
  </si>
  <si>
    <t>Luas tulangan susut arah x,</t>
  </si>
  <si>
    <r>
      <t xml:space="preserve">     A</t>
    </r>
    <r>
      <rPr>
        <vertAlign val="subscript"/>
        <sz val="11"/>
        <rFont val="Calibri"/>
        <family val="2"/>
        <scheme val="minor"/>
      </rPr>
      <t>sx</t>
    </r>
    <r>
      <rPr>
        <sz val="11"/>
        <rFont val="Calibri"/>
        <family val="2"/>
        <scheme val="minor"/>
      </rPr>
      <t xml:space="preserve"> = </t>
    </r>
    <r>
      <rPr>
        <sz val="11"/>
        <rFont val="Calibri"/>
        <family val="2"/>
      </rPr>
      <t>ρ</t>
    </r>
    <r>
      <rPr>
        <vertAlign val="subscript"/>
        <sz val="11"/>
        <rFont val="Calibri"/>
        <family val="2"/>
        <scheme val="minor"/>
      </rPr>
      <t>smin</t>
    </r>
    <r>
      <rPr>
        <sz val="11"/>
        <rFont val="Calibri"/>
        <family val="2"/>
        <scheme val="minor"/>
      </rPr>
      <t>* b * d =</t>
    </r>
  </si>
  <si>
    <t>Luas tulangan susut arah y,</t>
  </si>
  <si>
    <r>
      <t xml:space="preserve">     A</t>
    </r>
    <r>
      <rPr>
        <vertAlign val="subscript"/>
        <sz val="11"/>
        <rFont val="Calibri"/>
        <family val="2"/>
        <scheme val="minor"/>
      </rPr>
      <t>sy</t>
    </r>
    <r>
      <rPr>
        <sz val="11"/>
        <rFont val="Calibri"/>
        <family val="2"/>
        <scheme val="minor"/>
      </rPr>
      <t xml:space="preserve"> = </t>
    </r>
    <r>
      <rPr>
        <sz val="11"/>
        <rFont val="Calibri"/>
        <family val="2"/>
      </rPr>
      <t>ρ</t>
    </r>
    <r>
      <rPr>
        <vertAlign val="subscript"/>
        <sz val="11"/>
        <rFont val="Calibri"/>
        <family val="2"/>
        <scheme val="minor"/>
      </rPr>
      <t>smin</t>
    </r>
    <r>
      <rPr>
        <sz val="11"/>
        <rFont val="Calibri"/>
        <family val="2"/>
        <scheme val="minor"/>
      </rPr>
      <t>* b * d =</t>
    </r>
  </si>
  <si>
    <t>Diameter tulangan yang digunakan,</t>
  </si>
  <si>
    <t>Jarak tulangan susut arah x,</t>
  </si>
  <si>
    <r>
      <t xml:space="preserve">     s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= </t>
    </r>
    <r>
      <rPr>
        <sz val="11"/>
        <rFont val="Calibri"/>
        <family val="2"/>
      </rPr>
      <t>π</t>
    </r>
    <r>
      <rPr>
        <sz val="11"/>
        <rFont val="Calibri"/>
        <family val="2"/>
        <scheme val="minor"/>
      </rPr>
      <t xml:space="preserve"> / 4 * P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* b / A</t>
    </r>
    <r>
      <rPr>
        <vertAlign val="subscript"/>
        <sz val="11"/>
        <rFont val="Calibri"/>
        <family val="2"/>
        <scheme val="minor"/>
      </rPr>
      <t>sx</t>
    </r>
    <r>
      <rPr>
        <sz val="11"/>
        <rFont val="Calibri"/>
        <family val="2"/>
        <scheme val="minor"/>
      </rPr>
      <t xml:space="preserve"> =</t>
    </r>
  </si>
  <si>
    <t>Jarak tulangan susut maksimum arah x,</t>
  </si>
  <si>
    <t>Jarak tulangan susut arah x yang digunakan,</t>
  </si>
  <si>
    <r>
      <t>s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= </t>
    </r>
  </si>
  <si>
    <t>Jarak tulangan susut arah y,</t>
  </si>
  <si>
    <r>
      <t xml:space="preserve">     s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= </t>
    </r>
    <r>
      <rPr>
        <sz val="11"/>
        <rFont val="Calibri"/>
        <family val="2"/>
      </rPr>
      <t>π</t>
    </r>
    <r>
      <rPr>
        <sz val="11"/>
        <rFont val="Calibri"/>
        <family val="2"/>
        <scheme val="minor"/>
      </rPr>
      <t xml:space="preserve"> / 4 * P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* b / A</t>
    </r>
    <r>
      <rPr>
        <vertAlign val="subscript"/>
        <sz val="11"/>
        <rFont val="Calibri"/>
        <family val="2"/>
        <scheme val="minor"/>
      </rPr>
      <t>sy</t>
    </r>
    <r>
      <rPr>
        <sz val="11"/>
        <rFont val="Calibri"/>
        <family val="2"/>
        <scheme val="minor"/>
      </rPr>
      <t xml:space="preserve"> =</t>
    </r>
  </si>
  <si>
    <t>Jarak tulangan susut arah y yang digunakan,</t>
  </si>
  <si>
    <r>
      <t>s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= </t>
    </r>
  </si>
  <si>
    <t>Digunakan tulangan susut arah x,</t>
  </si>
  <si>
    <t>Digunakan tulangan susut arah y,</t>
  </si>
  <si>
    <t>Momen yang terjadi pada plat fondasi akibat tegangan tanah,</t>
  </si>
  <si>
    <t>EXPLANATORY</t>
  </si>
  <si>
    <t>FORMULA</t>
  </si>
  <si>
    <t>VALUE</t>
  </si>
  <si>
    <t>UNIT</t>
  </si>
  <si>
    <t>A.</t>
  </si>
  <si>
    <t>INPUT DATA PERENCANAAN FONDASI DANGKAL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</si>
  <si>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Y</t>
    </r>
  </si>
  <si>
    <r>
      <t>T</t>
    </r>
    <r>
      <rPr>
        <b/>
        <vertAlign val="subscript"/>
        <sz val="11"/>
        <color theme="0"/>
        <rFont val="Calibri"/>
        <family val="2"/>
        <scheme val="minor"/>
      </rPr>
      <t>X</t>
    </r>
  </si>
  <si>
    <r>
      <t>P</t>
    </r>
    <r>
      <rPr>
        <b/>
        <vertAlign val="subscript"/>
        <sz val="11"/>
        <color theme="0"/>
        <rFont val="Calibri"/>
        <family val="2"/>
        <scheme val="minor"/>
      </rPr>
      <t>uk</t>
    </r>
  </si>
  <si>
    <r>
      <t>M</t>
    </r>
    <r>
      <rPr>
        <b/>
        <vertAlign val="subscript"/>
        <sz val="11"/>
        <color theme="0"/>
        <rFont val="Calibri"/>
        <family val="2"/>
        <scheme val="minor"/>
      </rPr>
      <t>X</t>
    </r>
  </si>
  <si>
    <r>
      <t>M</t>
    </r>
    <r>
      <rPr>
        <b/>
        <vertAlign val="subscript"/>
        <sz val="11"/>
        <color theme="0"/>
        <rFont val="Calibri"/>
        <family val="2"/>
        <scheme val="minor"/>
      </rPr>
      <t>Y</t>
    </r>
  </si>
  <si>
    <t>B.</t>
  </si>
  <si>
    <t>D.</t>
  </si>
  <si>
    <t>a.</t>
  </si>
  <si>
    <t>b.</t>
  </si>
  <si>
    <t>c.</t>
  </si>
  <si>
    <t>C.</t>
  </si>
  <si>
    <t>C.1.</t>
  </si>
  <si>
    <t>C.2.</t>
  </si>
  <si>
    <t>KAPASITAS TEGANGAN TERHADAP DAYA DUKUNG TANAH</t>
  </si>
  <si>
    <r>
      <t>H</t>
    </r>
    <r>
      <rPr>
        <vertAlign val="subscript"/>
        <sz val="11"/>
        <rFont val="Calibri"/>
        <family val="2"/>
        <scheme val="minor"/>
      </rPr>
      <t>p</t>
    </r>
    <r>
      <rPr>
        <sz val="11"/>
        <rFont val="Calibri"/>
        <family val="2"/>
        <scheme val="minor"/>
      </rPr>
      <t xml:space="preserve"> =</t>
    </r>
  </si>
  <si>
    <t>DATA MATERIAL BETON &amp; DIMENSI TULANGAN PILECAP</t>
  </si>
  <si>
    <r>
      <t>σ</t>
    </r>
    <r>
      <rPr>
        <vertAlign val="subscript"/>
        <sz val="11"/>
        <rFont val="Calibri"/>
        <family val="2"/>
        <scheme val="minor"/>
      </rPr>
      <t>p</t>
    </r>
    <r>
      <rPr>
        <sz val="11"/>
        <rFont val="Calibri"/>
        <family val="2"/>
        <scheme val="minor"/>
      </rPr>
      <t xml:space="preserve"> = [ 1 + 2 / </t>
    </r>
    <r>
      <rPr>
        <sz val="11"/>
        <rFont val="Calibri"/>
        <family val="2"/>
      </rPr>
      <t>β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] * √ f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>' / 6 =</t>
    </r>
  </si>
  <si>
    <r>
      <t>σ</t>
    </r>
    <r>
      <rPr>
        <vertAlign val="subscript"/>
        <sz val="11"/>
        <rFont val="Calibri"/>
        <family val="2"/>
        <scheme val="minor"/>
      </rPr>
      <t>p</t>
    </r>
    <r>
      <rPr>
        <sz val="11"/>
        <rFont val="Calibri"/>
        <family val="2"/>
        <scheme val="minor"/>
      </rPr>
      <t xml:space="preserve"> = [ </t>
    </r>
    <r>
      <rPr>
        <sz val="11"/>
        <rFont val="Calibri"/>
        <family val="2"/>
      </rPr>
      <t>α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* d / b</t>
    </r>
    <r>
      <rPr>
        <vertAlign val="subscript"/>
        <sz val="11"/>
        <rFont val="Calibri"/>
        <family val="2"/>
        <scheme val="minor"/>
      </rPr>
      <t>p</t>
    </r>
    <r>
      <rPr>
        <sz val="11"/>
        <rFont val="Calibri"/>
        <family val="2"/>
        <scheme val="minor"/>
      </rPr>
      <t xml:space="preserve"> + 2 ] * √ f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>' / 12 =</t>
    </r>
  </si>
  <si>
    <r>
      <t>σ</t>
    </r>
    <r>
      <rPr>
        <vertAlign val="subscript"/>
        <sz val="11"/>
        <rFont val="Calibri"/>
        <family val="2"/>
        <scheme val="minor"/>
      </rPr>
      <t>p</t>
    </r>
    <r>
      <rPr>
        <sz val="11"/>
        <rFont val="Calibri"/>
        <family val="2"/>
        <scheme val="minor"/>
      </rPr>
      <t xml:space="preserve"> = 1 / 3 * √ f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>' =</t>
    </r>
  </si>
  <si>
    <r>
      <t>σ</t>
    </r>
    <r>
      <rPr>
        <vertAlign val="subscript"/>
        <sz val="11"/>
        <rFont val="Calibri"/>
        <family val="2"/>
        <scheme val="minor"/>
      </rPr>
      <t>p</t>
    </r>
    <r>
      <rPr>
        <sz val="11"/>
        <rFont val="Calibri"/>
        <family val="2"/>
        <scheme val="minor"/>
      </rPr>
      <t xml:space="preserve"> = </t>
    </r>
  </si>
  <si>
    <r>
      <t>β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= 0,85 - 0,05 * ( f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>' - 28) / 7 =</t>
    </r>
  </si>
  <si>
    <t>ANALISA GESER PADA FONDASI PILECAP</t>
  </si>
  <si>
    <t>D.4.</t>
  </si>
  <si>
    <t>E.</t>
  </si>
  <si>
    <t>PENULANGAN UTAMA DAN SUSUT PADA FONDASI PILECAP</t>
  </si>
  <si>
    <t>E.1.</t>
  </si>
  <si>
    <t>E.2.</t>
  </si>
  <si>
    <t>TULANGAN LENTUR ARAH Y</t>
  </si>
  <si>
    <t>E.3.</t>
  </si>
  <si>
    <t>TULANGAN SUSUT</t>
  </si>
  <si>
    <r>
      <t>f</t>
    </r>
    <r>
      <rPr>
        <vertAlign val="subscript"/>
        <sz val="11"/>
        <rFont val="Calibri"/>
        <family val="2"/>
        <scheme val="minor"/>
      </rPr>
      <t>c'</t>
    </r>
    <r>
      <rPr>
        <sz val="11"/>
        <rFont val="Calibri"/>
        <family val="2"/>
        <scheme val="minor"/>
      </rPr>
      <t xml:space="preserve"> =</t>
    </r>
  </si>
  <si>
    <r>
      <t>s</t>
    </r>
    <r>
      <rPr>
        <vertAlign val="subscript"/>
        <sz val="11"/>
        <rFont val="Calibri"/>
        <family val="2"/>
        <scheme val="minor"/>
      </rPr>
      <t>max</t>
    </r>
    <r>
      <rPr>
        <sz val="11"/>
        <rFont val="Calibri"/>
        <family val="2"/>
        <scheme val="minor"/>
      </rPr>
      <t xml:space="preserve"> = 3 * h =</t>
    </r>
  </si>
  <si>
    <r>
      <t>s</t>
    </r>
    <r>
      <rPr>
        <vertAlign val="subscript"/>
        <sz val="11"/>
        <rFont val="Calibri"/>
        <family val="2"/>
        <scheme val="minor"/>
      </rPr>
      <t>max</t>
    </r>
    <r>
      <rPr>
        <sz val="11"/>
        <rFont val="Calibri"/>
        <family val="2"/>
        <scheme val="minor"/>
      </rPr>
      <t xml:space="preserve"> =</t>
    </r>
  </si>
  <si>
    <r>
      <t>d' = t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+ 3/2 * D =</t>
    </r>
  </si>
  <si>
    <t>Tebal bersih selimut beton,</t>
  </si>
  <si>
    <r>
      <t>t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=</t>
    </r>
  </si>
  <si>
    <r>
      <rPr>
        <i/>
        <sz val="11"/>
        <rFont val="Calibri"/>
        <family val="2"/>
      </rPr>
      <t>φ</t>
    </r>
    <r>
      <rPr>
        <sz val="11"/>
        <rFont val="Calibri"/>
        <family val="2"/>
        <scheme val="minor"/>
      </rPr>
      <t xml:space="preserve">  =</t>
    </r>
  </si>
  <si>
    <r>
      <rPr>
        <i/>
        <sz val="11"/>
        <rFont val="Calibri"/>
        <family val="2"/>
      </rPr>
      <t>φ</t>
    </r>
    <r>
      <rPr>
        <sz val="11"/>
        <rFont val="Calibri"/>
        <family val="2"/>
        <scheme val="minor"/>
      </rPr>
      <t xml:space="preserve"> * V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</t>
    </r>
  </si>
  <si>
    <r>
      <rPr>
        <i/>
        <sz val="11"/>
        <rFont val="Calibri"/>
        <family val="2"/>
      </rPr>
      <t>φ</t>
    </r>
    <r>
      <rPr>
        <sz val="11"/>
        <rFont val="Calibri"/>
        <family val="2"/>
        <scheme val="minor"/>
      </rPr>
      <t xml:space="preserve"> * V</t>
    </r>
    <r>
      <rPr>
        <vertAlign val="subscript"/>
        <sz val="11"/>
        <rFont val="Calibri"/>
        <family val="2"/>
        <scheme val="minor"/>
      </rPr>
      <t>c</t>
    </r>
  </si>
  <si>
    <r>
      <rPr>
        <i/>
        <sz val="11"/>
        <rFont val="Calibri"/>
        <family val="2"/>
        <scheme val="minor"/>
      </rPr>
      <t>φ</t>
    </r>
    <r>
      <rPr>
        <sz val="11"/>
        <rFont val="Calibri"/>
        <family val="2"/>
        <scheme val="minor"/>
      </rPr>
      <t xml:space="preserve"> * V</t>
    </r>
    <r>
      <rPr>
        <vertAlign val="subscript"/>
        <sz val="11"/>
        <rFont val="Calibri"/>
        <family val="2"/>
        <scheme val="minor"/>
      </rPr>
      <t>np</t>
    </r>
    <r>
      <rPr>
        <sz val="11"/>
        <rFont val="Calibri"/>
        <family val="2"/>
        <scheme val="minor"/>
      </rPr>
      <t xml:space="preserve"> = </t>
    </r>
    <r>
      <rPr>
        <i/>
        <sz val="11"/>
        <rFont val="Calibri"/>
        <family val="2"/>
        <scheme val="minor"/>
      </rPr>
      <t>φ</t>
    </r>
    <r>
      <rPr>
        <sz val="11"/>
        <rFont val="Calibri"/>
        <family val="2"/>
        <scheme val="minor"/>
      </rPr>
      <t xml:space="preserve"> * A</t>
    </r>
    <r>
      <rPr>
        <vertAlign val="subscript"/>
        <sz val="11"/>
        <rFont val="Calibri"/>
        <family val="2"/>
        <scheme val="minor"/>
      </rPr>
      <t>p</t>
    </r>
    <r>
      <rPr>
        <sz val="11"/>
        <rFont val="Calibri"/>
        <family val="2"/>
        <scheme val="minor"/>
      </rPr>
      <t xml:space="preserve"> * σ</t>
    </r>
    <r>
      <rPr>
        <vertAlign val="subscript"/>
        <sz val="11"/>
        <rFont val="Calibri"/>
        <family val="2"/>
        <scheme val="minor"/>
      </rPr>
      <t>p</t>
    </r>
    <r>
      <rPr>
        <sz val="11"/>
        <rFont val="Calibri"/>
        <family val="2"/>
        <scheme val="minor"/>
      </rPr>
      <t xml:space="preserve"> * 10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 xml:space="preserve"> =</t>
    </r>
  </si>
  <si>
    <r>
      <rPr>
        <i/>
        <sz val="11"/>
        <rFont val="Calibri"/>
        <family val="2"/>
        <scheme val="minor"/>
      </rPr>
      <t>φ</t>
    </r>
    <r>
      <rPr>
        <sz val="11"/>
        <rFont val="Calibri"/>
        <family val="2"/>
        <scheme val="minor"/>
      </rPr>
      <t xml:space="preserve"> * V</t>
    </r>
    <r>
      <rPr>
        <vertAlign val="subscript"/>
        <sz val="11"/>
        <rFont val="Calibri"/>
        <family val="2"/>
        <scheme val="minor"/>
      </rPr>
      <t>np</t>
    </r>
  </si>
  <si>
    <t>Kuat geser pilecap,</t>
  </si>
  <si>
    <t>Tebal efektif pilecap,</t>
  </si>
  <si>
    <t>Diambil, kuat geser pilecap,</t>
  </si>
  <si>
    <t>Kontrol kuat geser pilecap terhadap gaya geser arah x,</t>
  </si>
  <si>
    <t>Kontrol kuat geser pilecap terhadap gaya geser arah y,</t>
  </si>
  <si>
    <t>Kontrol kuat geser pilecap terhadap gaya geser pons yang terjadi,</t>
  </si>
  <si>
    <t>Kontrol kuat geser pilecap terhadap gaya aksial yang terjadi,</t>
  </si>
  <si>
    <t>Kontrol kapasitas momen terhadap momen maksimum yang terjadi,</t>
  </si>
  <si>
    <t>Dimensi dan penulangan pilecap</t>
  </si>
  <si>
    <t>Lebar kolom arah x,</t>
  </si>
  <si>
    <t>Lebar kolom arah y,</t>
  </si>
  <si>
    <t>Tinggi fondasi pilecap,</t>
  </si>
  <si>
    <r>
      <t>h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=</t>
    </r>
  </si>
  <si>
    <t>Lebar arah x fondasi pilecap,</t>
  </si>
  <si>
    <r>
      <t>L</t>
    </r>
    <r>
      <rPr>
        <vertAlign val="subscript"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 xml:space="preserve"> =</t>
    </r>
  </si>
  <si>
    <t>Lebar arah y fondasi pilecap,</t>
  </si>
  <si>
    <r>
      <t>L</t>
    </r>
    <r>
      <rPr>
        <vertAlign val="subscript"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 xml:space="preserve"> =</t>
    </r>
  </si>
  <si>
    <t>Tebal selimut beton pada pilecap,</t>
  </si>
  <si>
    <r>
      <t>t</t>
    </r>
    <r>
      <rPr>
        <vertAlign val="subscript"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 xml:space="preserve"> =</t>
    </r>
  </si>
  <si>
    <t>Elevasi dasar fondasi pilecap,</t>
  </si>
  <si>
    <r>
      <t>E</t>
    </r>
    <r>
      <rPr>
        <vertAlign val="subscript"/>
        <sz val="11"/>
        <color theme="1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 xml:space="preserve"> =</t>
    </r>
  </si>
  <si>
    <t>*m (m.t.a) : meter dari muka tanah asli</t>
  </si>
  <si>
    <t>Penulangan utama arah x,</t>
  </si>
  <si>
    <t>Penulangan utama arah y,</t>
  </si>
  <si>
    <t>Penulangan susut arah x,</t>
  </si>
  <si>
    <t>Penulangan susut arah y,</t>
  </si>
  <si>
    <t>Rekapitulasi kontrol geser dan geser pons pada pilecap,</t>
  </si>
  <si>
    <t>Kontrol kapasitas geser pilecap terhadap geser ultimit se arah X,</t>
  </si>
  <si>
    <t xml:space="preserve">Syarat : </t>
  </si>
  <si>
    <t>Kontrol kapasitas geser pilecap terhadap geser ultimit se arah Y,</t>
  </si>
  <si>
    <r>
      <t>P</t>
    </r>
    <r>
      <rPr>
        <vertAlign val="subscript"/>
        <sz val="11"/>
        <rFont val="Calibri"/>
        <family val="2"/>
        <scheme val="minor"/>
      </rPr>
      <t>uk</t>
    </r>
  </si>
  <si>
    <r>
      <t>ɸ * P</t>
    </r>
    <r>
      <rPr>
        <vertAlign val="subscript"/>
        <sz val="11"/>
        <color theme="1"/>
        <rFont val="Calibri"/>
        <family val="2"/>
        <scheme val="minor"/>
      </rPr>
      <t>n</t>
    </r>
  </si>
  <si>
    <r>
      <t>P</t>
    </r>
    <r>
      <rPr>
        <vertAlign val="subscript"/>
        <sz val="11"/>
        <color theme="1"/>
        <rFont val="Calibri"/>
        <family val="2"/>
        <scheme val="minor"/>
      </rPr>
      <t>umax</t>
    </r>
  </si>
  <si>
    <t>Rekapitulasi kontrol momen pada pilecap</t>
  </si>
  <si>
    <t>Kontrol kapasitas momen pilecap terhadap momen ultimit arah X,</t>
  </si>
  <si>
    <t>Kontrol kapasitas momen pilecap terhadap momen ultimit arah Y,</t>
  </si>
  <si>
    <t xml:space="preserve">REPORT OUTPUT EXCEL SPREADSHEET </t>
  </si>
  <si>
    <t>• Nama Program</t>
  </si>
  <si>
    <t xml:space="preserve">• Versi </t>
  </si>
  <si>
    <t>• Penyusun</t>
  </si>
  <si>
    <t>Indra K Raj Suweda</t>
  </si>
  <si>
    <t>• email</t>
  </si>
  <si>
    <t>DATA PERENCANAAN</t>
  </si>
  <si>
    <t>HASIL PERHITUNGAN PROGRAM BANTU SPREADSHEET</t>
  </si>
  <si>
    <t>Rekapitulasi kontrol geser dan geser pons pada pilecap</t>
  </si>
  <si>
    <t>C.3.</t>
  </si>
  <si>
    <t>Kuat geser pilecap arah x,</t>
  </si>
  <si>
    <t>Kuat geser pilecap arah y,</t>
  </si>
  <si>
    <t>Tegangan geser pons,</t>
  </si>
  <si>
    <t>Perencanaan Fondasi Dangkal Struktur Beton Bertulang</t>
  </si>
  <si>
    <t>DATA TANAH</t>
  </si>
  <si>
    <t>DIMENSI FONDASI</t>
  </si>
  <si>
    <t>GAYA REAKSI PADA PILECAP</t>
  </si>
  <si>
    <r>
      <t>b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</t>
    </r>
  </si>
  <si>
    <r>
      <t>L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=</t>
    </r>
  </si>
  <si>
    <r>
      <t>L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=</t>
    </r>
  </si>
  <si>
    <t>fc' =</t>
  </si>
  <si>
    <t>Elevasi dasar fondasi dari muka tanah,</t>
  </si>
  <si>
    <r>
      <t>A  =  L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* L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=</t>
    </r>
  </si>
  <si>
    <r>
      <t>H</t>
    </r>
    <r>
      <rPr>
        <vertAlign val="subscript"/>
        <sz val="11"/>
        <rFont val="Calibri"/>
        <family val="2"/>
        <scheme val="minor"/>
      </rPr>
      <t>p</t>
    </r>
    <r>
      <rPr>
        <sz val="11"/>
        <rFont val="Calibri"/>
        <family val="2"/>
        <charset val="1"/>
        <scheme val="minor"/>
      </rPr>
      <t xml:space="preserve"> =</t>
    </r>
  </si>
  <si>
    <r>
      <t>V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charset val="1"/>
        <scheme val="minor"/>
      </rPr>
      <t xml:space="preserve"> = (D</t>
    </r>
    <r>
      <rPr>
        <vertAlign val="subscript"/>
        <sz val="11"/>
        <rFont val="Calibri"/>
        <family val="2"/>
        <scheme val="minor"/>
      </rPr>
      <t>f</t>
    </r>
    <r>
      <rPr>
        <sz val="11"/>
        <rFont val="Calibri"/>
        <family val="2"/>
        <scheme val="minor"/>
      </rPr>
      <t xml:space="preserve"> - H</t>
    </r>
    <r>
      <rPr>
        <vertAlign val="subscript"/>
        <sz val="11"/>
        <rFont val="Calibri"/>
        <family val="2"/>
        <scheme val="minor"/>
      </rPr>
      <t>T</t>
    </r>
    <r>
      <rPr>
        <sz val="11"/>
        <rFont val="Calibri"/>
        <family val="2"/>
        <scheme val="minor"/>
      </rPr>
      <t>)</t>
    </r>
    <r>
      <rPr>
        <sz val="11"/>
        <rFont val="Calibri"/>
        <family val="2"/>
        <charset val="1"/>
        <scheme val="minor"/>
      </rPr>
      <t xml:space="preserve"> * ( A - b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charset val="1"/>
        <scheme val="minor"/>
      </rPr>
      <t xml:space="preserve"> * w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charset val="1"/>
        <scheme val="minor"/>
      </rPr>
      <t xml:space="preserve"> ) =</t>
    </r>
  </si>
  <si>
    <r>
      <t>Q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charset val="1"/>
        <scheme val="minor"/>
      </rPr>
      <t xml:space="preserve"> = W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charset val="1"/>
        <scheme val="minor"/>
      </rPr>
      <t xml:space="preserve"> * A * H</t>
    </r>
    <r>
      <rPr>
        <vertAlign val="subscript"/>
        <sz val="11"/>
        <rFont val="Calibri"/>
        <family val="2"/>
        <scheme val="minor"/>
      </rPr>
      <t>p</t>
    </r>
    <r>
      <rPr>
        <sz val="11"/>
        <rFont val="Calibri"/>
        <family val="2"/>
        <charset val="1"/>
        <scheme val="minor"/>
      </rPr>
      <t xml:space="preserve"> =</t>
    </r>
  </si>
  <si>
    <r>
      <t>W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charset val="1"/>
        <scheme val="minor"/>
      </rPr>
      <t xml:space="preserve"> = 1/6 * L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charset val="1"/>
        <scheme val="minor"/>
      </rPr>
      <t xml:space="preserve"> * L</t>
    </r>
    <r>
      <rPr>
        <vertAlign val="subscript"/>
        <sz val="11"/>
        <rFont val="Calibri"/>
        <family val="2"/>
        <scheme val="minor"/>
      </rPr>
      <t>X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charset val="1"/>
        <scheme val="minor"/>
      </rPr>
      <t xml:space="preserve"> =</t>
    </r>
  </si>
  <si>
    <r>
      <t>W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charset val="1"/>
        <scheme val="minor"/>
      </rPr>
      <t xml:space="preserve"> = 1/6 * L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charset val="1"/>
        <scheme val="minor"/>
      </rPr>
      <t xml:space="preserve"> * L</t>
    </r>
    <r>
      <rPr>
        <vertAlign val="subscript"/>
        <sz val="11"/>
        <rFont val="Calibri"/>
        <family val="2"/>
        <scheme val="minor"/>
      </rPr>
      <t>Y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charset val="1"/>
        <scheme val="minor"/>
      </rPr>
      <t xml:space="preserve"> =</t>
    </r>
  </si>
  <si>
    <r>
      <t>b = L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=</t>
    </r>
  </si>
  <si>
    <r>
      <rPr>
        <sz val="11"/>
        <rFont val="Calibri"/>
        <family val="2"/>
      </rPr>
      <t>β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</t>
    </r>
  </si>
  <si>
    <r>
      <t>b = L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=</t>
    </r>
  </si>
  <si>
    <r>
      <t>V</t>
    </r>
    <r>
      <rPr>
        <vertAlign val="subscript"/>
        <sz val="11"/>
        <rFont val="Calibri"/>
        <family val="2"/>
        <scheme val="minor"/>
      </rPr>
      <t>up</t>
    </r>
    <r>
      <rPr>
        <sz val="11"/>
        <rFont val="Calibri"/>
        <family val="2"/>
        <scheme val="minor"/>
      </rPr>
      <t xml:space="preserve"> = ( L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* L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- c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* c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) * [ ( q</t>
    </r>
    <r>
      <rPr>
        <vertAlign val="subscript"/>
        <sz val="11"/>
        <rFont val="Calibri"/>
        <family val="2"/>
        <scheme val="minor"/>
      </rPr>
      <t>max</t>
    </r>
    <r>
      <rPr>
        <sz val="11"/>
        <rFont val="Calibri"/>
        <family val="2"/>
        <scheme val="minor"/>
      </rPr>
      <t xml:space="preserve"> + q</t>
    </r>
    <r>
      <rPr>
        <vertAlign val="subscript"/>
        <sz val="11"/>
        <rFont val="Calibri"/>
        <family val="2"/>
        <scheme val="minor"/>
      </rPr>
      <t>min</t>
    </r>
    <r>
      <rPr>
        <sz val="11"/>
        <rFont val="Calibri"/>
        <family val="2"/>
        <scheme val="minor"/>
      </rPr>
      <t xml:space="preserve"> ) / 2 - q ] =</t>
    </r>
  </si>
  <si>
    <r>
      <t>q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= q</t>
    </r>
    <r>
      <rPr>
        <vertAlign val="subscript"/>
        <sz val="11"/>
        <rFont val="Calibri"/>
        <family val="2"/>
        <scheme val="minor"/>
      </rPr>
      <t>min</t>
    </r>
    <r>
      <rPr>
        <sz val="11"/>
        <rFont val="Calibri"/>
        <family val="2"/>
        <scheme val="minor"/>
      </rPr>
      <t xml:space="preserve"> + (L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- c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>) / L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* (q</t>
    </r>
    <r>
      <rPr>
        <vertAlign val="subscript"/>
        <sz val="11"/>
        <rFont val="Calibri"/>
        <family val="2"/>
        <scheme val="minor"/>
      </rPr>
      <t>max</t>
    </r>
    <r>
      <rPr>
        <sz val="11"/>
        <rFont val="Calibri"/>
        <family val="2"/>
        <scheme val="minor"/>
      </rPr>
      <t xml:space="preserve"> - q</t>
    </r>
    <r>
      <rPr>
        <vertAlign val="subscript"/>
        <sz val="11"/>
        <rFont val="Calibri"/>
        <family val="2"/>
        <scheme val="minor"/>
      </rPr>
      <t>min</t>
    </r>
    <r>
      <rPr>
        <sz val="11"/>
        <rFont val="Calibri"/>
        <family val="2"/>
        <scheme val="minor"/>
      </rPr>
      <t>) =</t>
    </r>
  </si>
  <si>
    <r>
      <t>q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= q</t>
    </r>
    <r>
      <rPr>
        <vertAlign val="subscript"/>
        <sz val="11"/>
        <rFont val="Calibri"/>
        <family val="2"/>
        <scheme val="minor"/>
      </rPr>
      <t>min</t>
    </r>
    <r>
      <rPr>
        <sz val="11"/>
        <rFont val="Calibri"/>
        <family val="2"/>
        <scheme val="minor"/>
      </rPr>
      <t xml:space="preserve"> + (L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- c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>) / L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* (q</t>
    </r>
    <r>
      <rPr>
        <vertAlign val="subscript"/>
        <sz val="11"/>
        <rFont val="Calibri"/>
        <family val="2"/>
        <scheme val="minor"/>
      </rPr>
      <t>max</t>
    </r>
    <r>
      <rPr>
        <sz val="11"/>
        <rFont val="Calibri"/>
        <family val="2"/>
        <scheme val="minor"/>
      </rPr>
      <t xml:space="preserve"> - q</t>
    </r>
    <r>
      <rPr>
        <vertAlign val="subscript"/>
        <sz val="11"/>
        <rFont val="Calibri"/>
        <family val="2"/>
        <scheme val="minor"/>
      </rPr>
      <t>min</t>
    </r>
    <r>
      <rPr>
        <sz val="11"/>
        <rFont val="Calibri"/>
        <family val="2"/>
        <scheme val="minor"/>
      </rPr>
      <t>) =</t>
    </r>
  </si>
  <si>
    <r>
      <t>V</t>
    </r>
    <r>
      <rPr>
        <vertAlign val="subscript"/>
        <sz val="11"/>
        <rFont val="Calibri"/>
        <family val="2"/>
        <scheme val="minor"/>
      </rPr>
      <t>ux</t>
    </r>
    <r>
      <rPr>
        <sz val="11"/>
        <rFont val="Calibri"/>
        <family val="2"/>
        <scheme val="minor"/>
      </rPr>
      <t xml:space="preserve"> = [ q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+ ( q</t>
    </r>
    <r>
      <rPr>
        <vertAlign val="subscript"/>
        <sz val="11"/>
        <rFont val="Calibri"/>
        <family val="2"/>
        <scheme val="minor"/>
      </rPr>
      <t>max</t>
    </r>
    <r>
      <rPr>
        <sz val="11"/>
        <rFont val="Calibri"/>
        <family val="2"/>
        <scheme val="minor"/>
      </rPr>
      <t xml:space="preserve"> - q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) / 2 - Q</t>
    </r>
    <r>
      <rPr>
        <vertAlign val="subscript"/>
        <sz val="11"/>
        <rFont val="Calibri"/>
        <family val="2"/>
        <scheme val="minor"/>
      </rPr>
      <t>TOT</t>
    </r>
    <r>
      <rPr>
        <sz val="11"/>
        <rFont val="Calibri"/>
        <family val="2"/>
        <scheme val="minor"/>
      </rPr>
      <t xml:space="preserve"> / (L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* L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>) ] * a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* L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=</t>
    </r>
  </si>
  <si>
    <t>Nilai geser pada pilecap untuk arah X</t>
  </si>
  <si>
    <t>Jarak bid. kritis terhadap sisi luar,</t>
  </si>
  <si>
    <t>Berat beton pilecap,</t>
  </si>
  <si>
    <t>Berat tanah di atas pilecap,</t>
  </si>
  <si>
    <r>
      <t>W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= c</t>
    </r>
    <r>
      <rPr>
        <vertAlign val="subscript"/>
        <sz val="11"/>
        <rFont val="Calibri"/>
        <family val="2"/>
        <scheme val="minor"/>
      </rPr>
      <t xml:space="preserve">x </t>
    </r>
    <r>
      <rPr>
        <sz val="11"/>
        <rFont val="Calibri"/>
        <family val="2"/>
        <scheme val="minor"/>
      </rPr>
      <t>* L</t>
    </r>
    <r>
      <rPr>
        <vertAlign val="subscript"/>
        <sz val="11"/>
        <rFont val="Calibri"/>
        <family val="2"/>
        <scheme val="minor"/>
      </rPr>
      <t xml:space="preserve">y </t>
    </r>
    <r>
      <rPr>
        <sz val="11"/>
        <rFont val="Calibri"/>
        <family val="2"/>
        <scheme val="minor"/>
      </rPr>
      <t>* z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* w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=</t>
    </r>
  </si>
  <si>
    <t>(kN)</t>
  </si>
  <si>
    <t>Nilai momen pada pilecap untuk arah X</t>
  </si>
  <si>
    <t>Gaya ultimit maksimum (rencana) tiang bor</t>
  </si>
  <si>
    <r>
      <t>L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=</t>
    </r>
  </si>
  <si>
    <r>
      <t>X</t>
    </r>
    <r>
      <rPr>
        <vertAlign val="subscript"/>
        <sz val="11"/>
        <color theme="1"/>
        <rFont val="Calibri"/>
        <family val="2"/>
        <scheme val="minor"/>
      </rPr>
      <t>w1</t>
    </r>
    <r>
      <rPr>
        <sz val="11"/>
        <color theme="1"/>
        <rFont val="Calibri"/>
        <family val="2"/>
        <scheme val="minor"/>
      </rPr>
      <t xml:space="preserve"> =</t>
    </r>
  </si>
  <si>
    <r>
      <t>X</t>
    </r>
    <r>
      <rPr>
        <vertAlign val="subscript"/>
        <sz val="11"/>
        <color theme="1"/>
        <rFont val="Calibri"/>
        <family val="2"/>
        <scheme val="minor"/>
      </rPr>
      <t>w2</t>
    </r>
    <r>
      <rPr>
        <sz val="11"/>
        <color theme="1"/>
        <rFont val="Calibri"/>
        <family val="2"/>
        <scheme val="minor"/>
      </rPr>
      <t xml:space="preserve"> =</t>
    </r>
  </si>
  <si>
    <r>
      <t>L</t>
    </r>
    <r>
      <rPr>
        <vertAlign val="subscript"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 xml:space="preserve"> =</t>
    </r>
  </si>
  <si>
    <r>
      <t>H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=</t>
    </r>
  </si>
  <si>
    <t>KODE</t>
  </si>
  <si>
    <t>PARAMETER BERAT BAGIAN BETON</t>
  </si>
  <si>
    <t>BERAT</t>
  </si>
  <si>
    <t>MOMEN</t>
  </si>
  <si>
    <r>
      <t>b (L</t>
    </r>
    <r>
      <rPr>
        <b/>
        <vertAlign val="sub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>)</t>
    </r>
  </si>
  <si>
    <t>h</t>
  </si>
  <si>
    <r>
      <t>Panjang (L</t>
    </r>
    <r>
      <rPr>
        <b/>
        <vertAlign val="subscript"/>
        <sz val="11"/>
        <color theme="1"/>
        <rFont val="Calibri"/>
        <family val="2"/>
        <scheme val="minor"/>
      </rPr>
      <t>y</t>
    </r>
    <r>
      <rPr>
        <b/>
        <sz val="11"/>
        <color theme="1"/>
        <rFont val="Calibri"/>
        <family val="2"/>
        <scheme val="minor"/>
      </rPr>
      <t>)</t>
    </r>
  </si>
  <si>
    <t>(m)</t>
  </si>
  <si>
    <t>(kN.m)</t>
  </si>
  <si>
    <r>
      <t>w</t>
    </r>
    <r>
      <rPr>
        <vertAlign val="subscript"/>
        <sz val="11"/>
        <color theme="1"/>
        <rFont val="Calibri"/>
        <family val="2"/>
        <scheme val="minor"/>
      </rPr>
      <t>1</t>
    </r>
  </si>
  <si>
    <r>
      <t>w</t>
    </r>
    <r>
      <rPr>
        <vertAlign val="subscript"/>
        <sz val="11"/>
        <color theme="1"/>
        <rFont val="Calibri"/>
        <family val="2"/>
        <scheme val="minor"/>
      </rPr>
      <t>2</t>
    </r>
  </si>
  <si>
    <t>Faktor beban ultimit</t>
  </si>
  <si>
    <t>Nilai geser pada pilecap untuk arah Y</t>
  </si>
  <si>
    <r>
      <t>W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= c</t>
    </r>
    <r>
      <rPr>
        <vertAlign val="subscript"/>
        <sz val="11"/>
        <rFont val="Calibri"/>
        <family val="2"/>
        <scheme val="minor"/>
      </rPr>
      <t xml:space="preserve">y </t>
    </r>
    <r>
      <rPr>
        <sz val="11"/>
        <rFont val="Calibri"/>
        <family val="2"/>
        <scheme val="minor"/>
      </rPr>
      <t>* L</t>
    </r>
    <r>
      <rPr>
        <vertAlign val="subscript"/>
        <sz val="11"/>
        <rFont val="Calibri"/>
        <family val="2"/>
        <scheme val="minor"/>
      </rPr>
      <t xml:space="preserve">x </t>
    </r>
    <r>
      <rPr>
        <sz val="11"/>
        <rFont val="Calibri"/>
        <family val="2"/>
        <scheme val="minor"/>
      </rPr>
      <t>* z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* w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=</t>
    </r>
  </si>
  <si>
    <t>Nilai momen pada pilecap untuk arah Y</t>
  </si>
  <si>
    <r>
      <t>L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</t>
    </r>
  </si>
  <si>
    <r>
      <t>Y</t>
    </r>
    <r>
      <rPr>
        <vertAlign val="subscript"/>
        <sz val="11"/>
        <color theme="1"/>
        <rFont val="Calibri"/>
        <family val="2"/>
        <scheme val="minor"/>
      </rPr>
      <t>w1</t>
    </r>
    <r>
      <rPr>
        <sz val="11"/>
        <color theme="1"/>
        <rFont val="Calibri"/>
        <family val="2"/>
        <scheme val="minor"/>
      </rPr>
      <t xml:space="preserve"> =</t>
    </r>
  </si>
  <si>
    <r>
      <t>Y</t>
    </r>
    <r>
      <rPr>
        <vertAlign val="subscript"/>
        <sz val="11"/>
        <color theme="1"/>
        <rFont val="Calibri"/>
        <family val="2"/>
        <scheme val="minor"/>
      </rPr>
      <t>w2</t>
    </r>
    <r>
      <rPr>
        <sz val="11"/>
        <color theme="1"/>
        <rFont val="Calibri"/>
        <family val="2"/>
        <scheme val="minor"/>
      </rPr>
      <t xml:space="preserve"> =</t>
    </r>
  </si>
  <si>
    <r>
      <t>L</t>
    </r>
    <r>
      <rPr>
        <vertAlign val="subscript"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 xml:space="preserve"> =</t>
    </r>
  </si>
  <si>
    <r>
      <t>b (L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)</t>
    </r>
  </si>
  <si>
    <r>
      <t>Panjang (L</t>
    </r>
    <r>
      <rPr>
        <b/>
        <vertAlign val="subscript"/>
        <sz val="11"/>
        <color theme="1"/>
        <rFont val="Calibri"/>
        <family val="2"/>
        <scheme val="minor"/>
      </rPr>
      <t>x</t>
    </r>
    <r>
      <rPr>
        <b/>
        <sz val="11"/>
        <color theme="1"/>
        <rFont val="Calibri"/>
        <family val="2"/>
        <scheme val="minor"/>
      </rPr>
      <t>)</t>
    </r>
  </si>
  <si>
    <r>
      <t>V</t>
    </r>
    <r>
      <rPr>
        <vertAlign val="subscript"/>
        <sz val="11"/>
        <rFont val="Calibri"/>
        <family val="2"/>
        <scheme val="minor"/>
      </rPr>
      <t>ux</t>
    </r>
    <r>
      <rPr>
        <sz val="11"/>
        <rFont val="Calibri"/>
        <family val="2"/>
        <scheme val="minor"/>
      </rPr>
      <t xml:space="preserve"> =</t>
    </r>
  </si>
  <si>
    <r>
      <t>Nilai tegangan q</t>
    </r>
    <r>
      <rPr>
        <vertAlign val="subscript"/>
        <sz val="11"/>
        <rFont val="Calibri"/>
        <family val="2"/>
        <scheme val="minor"/>
      </rPr>
      <t xml:space="preserve">x </t>
    </r>
    <r>
      <rPr>
        <sz val="11"/>
        <rFont val="Calibri"/>
        <family val="2"/>
        <scheme val="minor"/>
      </rPr>
      <t>,</t>
    </r>
  </si>
  <si>
    <r>
      <t>Nilai gaya geser V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>,</t>
    </r>
  </si>
  <si>
    <r>
      <t>V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= q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* c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 * L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=</t>
    </r>
  </si>
  <si>
    <r>
      <t>Nilai gaya geser V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,</t>
    </r>
  </si>
  <si>
    <r>
      <t>V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= 0,5 * (q</t>
    </r>
    <r>
      <rPr>
        <vertAlign val="subscript"/>
        <sz val="11"/>
        <rFont val="Calibri"/>
        <family val="2"/>
        <scheme val="minor"/>
      </rPr>
      <t>max</t>
    </r>
    <r>
      <rPr>
        <sz val="11"/>
        <rFont val="Calibri"/>
        <family val="2"/>
        <scheme val="minor"/>
      </rPr>
      <t xml:space="preserve"> - q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>) * c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* L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=</t>
    </r>
  </si>
  <si>
    <r>
      <t>V</t>
    </r>
    <r>
      <rPr>
        <vertAlign val="subscript"/>
        <sz val="11"/>
        <rFont val="Calibri"/>
        <family val="2"/>
        <scheme val="minor"/>
      </rPr>
      <t>ux</t>
    </r>
    <r>
      <rPr>
        <sz val="11"/>
        <rFont val="Calibri"/>
        <family val="2"/>
        <scheme val="minor"/>
      </rPr>
      <t xml:space="preserve"> = </t>
    </r>
    <r>
      <rPr>
        <sz val="11"/>
        <rFont val="Calibri"/>
        <family val="2"/>
      </rPr>
      <t>V</t>
    </r>
    <r>
      <rPr>
        <vertAlign val="subscript"/>
        <sz val="11"/>
        <rFont val="Calibri"/>
        <family val="2"/>
      </rPr>
      <t>1</t>
    </r>
    <r>
      <rPr>
        <sz val="11"/>
        <rFont val="Calibri"/>
        <family val="2"/>
      </rPr>
      <t xml:space="preserve"> + V</t>
    </r>
    <r>
      <rPr>
        <vertAlign val="subscript"/>
        <sz val="11"/>
        <rFont val="Calibri"/>
        <family val="2"/>
      </rPr>
      <t>2</t>
    </r>
    <r>
      <rPr>
        <sz val="11"/>
        <rFont val="Calibri"/>
        <family val="2"/>
        <scheme val="minor"/>
      </rPr>
      <t xml:space="preserve"> - W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- W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=</t>
    </r>
  </si>
  <si>
    <r>
      <t>b = b</t>
    </r>
    <r>
      <rPr>
        <vertAlign val="sub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=</t>
    </r>
  </si>
  <si>
    <r>
      <t>X</t>
    </r>
    <r>
      <rPr>
        <vertAlign val="subscript"/>
        <sz val="11"/>
        <color theme="1"/>
        <rFont val="Calibri"/>
        <family val="2"/>
        <scheme val="minor"/>
      </rPr>
      <t>V1</t>
    </r>
    <r>
      <rPr>
        <sz val="11"/>
        <color theme="1"/>
        <rFont val="Calibri"/>
        <family val="2"/>
        <scheme val="minor"/>
      </rPr>
      <t xml:space="preserve"> =</t>
    </r>
  </si>
  <si>
    <r>
      <t>X</t>
    </r>
    <r>
      <rPr>
        <vertAlign val="subscript"/>
        <sz val="11"/>
        <color theme="1"/>
        <rFont val="Calibri"/>
        <family val="2"/>
        <scheme val="minor"/>
      </rPr>
      <t>V2</t>
    </r>
    <r>
      <rPr>
        <sz val="11"/>
        <color theme="1"/>
        <rFont val="Calibri"/>
        <family val="2"/>
        <scheme val="minor"/>
      </rPr>
      <t xml:space="preserve"> =</t>
    </r>
  </si>
  <si>
    <r>
      <t>d = H</t>
    </r>
    <r>
      <rPr>
        <vertAlign val="subscript"/>
        <sz val="11"/>
        <rFont val="Calibri"/>
        <family val="2"/>
        <scheme val="minor"/>
      </rPr>
      <t>p</t>
    </r>
    <r>
      <rPr>
        <sz val="11"/>
        <rFont val="Calibri"/>
        <family val="2"/>
        <scheme val="minor"/>
      </rPr>
      <t xml:space="preserve"> - d' =</t>
    </r>
  </si>
  <si>
    <r>
      <t>W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= c</t>
    </r>
    <r>
      <rPr>
        <vertAlign val="subscript"/>
        <sz val="11"/>
        <rFont val="Calibri"/>
        <family val="2"/>
        <scheme val="minor"/>
      </rPr>
      <t xml:space="preserve">x </t>
    </r>
    <r>
      <rPr>
        <sz val="11"/>
        <rFont val="Calibri"/>
        <family val="2"/>
        <scheme val="minor"/>
      </rPr>
      <t>* L</t>
    </r>
    <r>
      <rPr>
        <vertAlign val="subscript"/>
        <sz val="11"/>
        <rFont val="Calibri"/>
        <family val="2"/>
        <scheme val="minor"/>
      </rPr>
      <t xml:space="preserve">y </t>
    </r>
    <r>
      <rPr>
        <sz val="11"/>
        <rFont val="Calibri"/>
        <family val="2"/>
        <scheme val="minor"/>
      </rPr>
      <t>* H</t>
    </r>
    <r>
      <rPr>
        <vertAlign val="subscript"/>
        <sz val="11"/>
        <rFont val="Calibri"/>
        <family val="2"/>
        <scheme val="minor"/>
      </rPr>
      <t>p</t>
    </r>
    <r>
      <rPr>
        <sz val="11"/>
        <rFont val="Calibri"/>
        <family val="2"/>
        <scheme val="minor"/>
      </rPr>
      <t xml:space="preserve"> * w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</t>
    </r>
  </si>
  <si>
    <r>
      <t>V</t>
    </r>
    <r>
      <rPr>
        <vertAlign val="subscript"/>
        <sz val="11"/>
        <color theme="1"/>
        <rFont val="Calibri"/>
        <family val="2"/>
        <scheme val="minor"/>
      </rPr>
      <t>1</t>
    </r>
  </si>
  <si>
    <r>
      <t>V</t>
    </r>
    <r>
      <rPr>
        <vertAlign val="subscript"/>
        <sz val="11"/>
        <color theme="1"/>
        <rFont val="Calibri"/>
        <family val="2"/>
        <scheme val="minor"/>
      </rPr>
      <t>2</t>
    </r>
  </si>
  <si>
    <r>
      <t>M</t>
    </r>
    <r>
      <rPr>
        <b/>
        <vertAlign val="subscript"/>
        <sz val="11"/>
        <color theme="1"/>
        <rFont val="Calibri"/>
        <family val="2"/>
        <scheme val="minor"/>
      </rPr>
      <t>u</t>
    </r>
    <r>
      <rPr>
        <b/>
        <sz val="11"/>
        <color theme="1"/>
        <rFont val="Calibri"/>
        <family val="2"/>
        <scheme val="minor"/>
      </rPr>
      <t xml:space="preserve"> =</t>
    </r>
  </si>
  <si>
    <r>
      <t>W</t>
    </r>
    <r>
      <rPr>
        <b/>
        <vertAlign val="subscript"/>
        <sz val="11"/>
        <color theme="1"/>
        <rFont val="Calibri"/>
        <family val="2"/>
        <scheme val="minor"/>
      </rPr>
      <t xml:space="preserve">u </t>
    </r>
    <r>
      <rPr>
        <b/>
        <sz val="11"/>
        <color theme="1"/>
        <rFont val="Calibri"/>
        <family val="2"/>
        <scheme val="minor"/>
      </rPr>
      <t>=</t>
    </r>
  </si>
  <si>
    <r>
      <t>V</t>
    </r>
    <r>
      <rPr>
        <vertAlign val="subscript"/>
        <sz val="11"/>
        <rFont val="Calibri"/>
        <family val="2"/>
        <scheme val="minor"/>
      </rPr>
      <t>uy</t>
    </r>
    <r>
      <rPr>
        <sz val="11"/>
        <rFont val="Calibri"/>
        <family val="2"/>
        <scheme val="minor"/>
      </rPr>
      <t xml:space="preserve"> =</t>
    </r>
  </si>
  <si>
    <r>
      <t>W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= c</t>
    </r>
    <r>
      <rPr>
        <vertAlign val="subscript"/>
        <sz val="11"/>
        <rFont val="Calibri"/>
        <family val="2"/>
        <scheme val="minor"/>
      </rPr>
      <t xml:space="preserve">y </t>
    </r>
    <r>
      <rPr>
        <sz val="11"/>
        <rFont val="Calibri"/>
        <family val="2"/>
        <scheme val="minor"/>
      </rPr>
      <t>* L</t>
    </r>
    <r>
      <rPr>
        <vertAlign val="subscript"/>
        <sz val="11"/>
        <rFont val="Calibri"/>
        <family val="2"/>
        <scheme val="minor"/>
      </rPr>
      <t xml:space="preserve">x </t>
    </r>
    <r>
      <rPr>
        <sz val="11"/>
        <rFont val="Calibri"/>
        <family val="2"/>
        <scheme val="minor"/>
      </rPr>
      <t>* H</t>
    </r>
    <r>
      <rPr>
        <vertAlign val="subscript"/>
        <sz val="11"/>
        <rFont val="Calibri"/>
        <family val="2"/>
        <scheme val="minor"/>
      </rPr>
      <t>p</t>
    </r>
    <r>
      <rPr>
        <sz val="11"/>
        <rFont val="Calibri"/>
        <family val="2"/>
        <scheme val="minor"/>
      </rPr>
      <t xml:space="preserve"> * w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</t>
    </r>
  </si>
  <si>
    <r>
      <t>V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= q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* c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 * L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=</t>
    </r>
  </si>
  <si>
    <r>
      <t>V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= 0,5 * (q</t>
    </r>
    <r>
      <rPr>
        <vertAlign val="subscript"/>
        <sz val="11"/>
        <rFont val="Calibri"/>
        <family val="2"/>
        <scheme val="minor"/>
      </rPr>
      <t>max</t>
    </r>
    <r>
      <rPr>
        <sz val="11"/>
        <rFont val="Calibri"/>
        <family val="2"/>
        <scheme val="minor"/>
      </rPr>
      <t xml:space="preserve"> - q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>) * c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* L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=</t>
    </r>
  </si>
  <si>
    <r>
      <t>M</t>
    </r>
    <r>
      <rPr>
        <vertAlign val="subscript"/>
        <sz val="11"/>
        <rFont val="Calibri"/>
        <family val="2"/>
        <scheme val="minor"/>
      </rPr>
      <t>ux</t>
    </r>
    <r>
      <rPr>
        <sz val="11"/>
        <rFont val="Calibri"/>
        <family val="2"/>
        <scheme val="minor"/>
      </rPr>
      <t xml:space="preserve"> =</t>
    </r>
  </si>
  <si>
    <r>
      <t>M</t>
    </r>
    <r>
      <rPr>
        <vertAlign val="subscript"/>
        <sz val="11"/>
        <rFont val="Calibri"/>
        <family val="2"/>
        <scheme val="minor"/>
      </rPr>
      <t>uy</t>
    </r>
    <r>
      <rPr>
        <sz val="11"/>
        <rFont val="Calibri"/>
        <family val="2"/>
        <scheme val="minor"/>
      </rPr>
      <t xml:space="preserve"> =</t>
    </r>
  </si>
  <si>
    <r>
      <t>b = w</t>
    </r>
    <r>
      <rPr>
        <vertAlign val="sub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=</t>
    </r>
  </si>
  <si>
    <r>
      <t>Y</t>
    </r>
    <r>
      <rPr>
        <vertAlign val="subscript"/>
        <sz val="11"/>
        <color theme="1"/>
        <rFont val="Calibri"/>
        <family val="2"/>
        <scheme val="minor"/>
      </rPr>
      <t>V1</t>
    </r>
    <r>
      <rPr>
        <sz val="11"/>
        <color theme="1"/>
        <rFont val="Calibri"/>
        <family val="2"/>
        <scheme val="minor"/>
      </rPr>
      <t xml:space="preserve"> =</t>
    </r>
  </si>
  <si>
    <r>
      <t>Y</t>
    </r>
    <r>
      <rPr>
        <vertAlign val="subscript"/>
        <sz val="11"/>
        <color theme="1"/>
        <rFont val="Calibri"/>
        <family val="2"/>
        <scheme val="minor"/>
      </rPr>
      <t>V2</t>
    </r>
    <r>
      <rPr>
        <sz val="11"/>
        <color theme="1"/>
        <rFont val="Calibri"/>
        <family val="2"/>
        <scheme val="minor"/>
      </rPr>
      <t xml:space="preserve"> =</t>
    </r>
  </si>
  <si>
    <r>
      <t>V</t>
    </r>
    <r>
      <rPr>
        <vertAlign val="subscript"/>
        <sz val="11"/>
        <rFont val="Calibri"/>
        <family val="2"/>
        <scheme val="minor"/>
      </rPr>
      <t>up</t>
    </r>
    <r>
      <rPr>
        <sz val="11"/>
        <rFont val="Calibri"/>
        <family val="2"/>
        <scheme val="minor"/>
      </rPr>
      <t xml:space="preserve"> = ( L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* L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- B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* B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) * [ ( q</t>
    </r>
    <r>
      <rPr>
        <vertAlign val="subscript"/>
        <sz val="11"/>
        <rFont val="Calibri"/>
        <family val="2"/>
        <scheme val="minor"/>
      </rPr>
      <t>max</t>
    </r>
    <r>
      <rPr>
        <sz val="11"/>
        <rFont val="Calibri"/>
        <family val="2"/>
        <scheme val="minor"/>
      </rPr>
      <t xml:space="preserve"> + q</t>
    </r>
    <r>
      <rPr>
        <vertAlign val="subscript"/>
        <sz val="11"/>
        <rFont val="Calibri"/>
        <family val="2"/>
        <scheme val="minor"/>
      </rPr>
      <t>min</t>
    </r>
    <r>
      <rPr>
        <sz val="11"/>
        <rFont val="Calibri"/>
        <family val="2"/>
        <scheme val="minor"/>
      </rPr>
      <t xml:space="preserve"> ) / 2 - q ] =</t>
    </r>
  </si>
  <si>
    <r>
      <t>q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=</t>
    </r>
  </si>
  <si>
    <t>E.4.</t>
  </si>
  <si>
    <t>E.5.</t>
  </si>
  <si>
    <t>E.6.</t>
  </si>
  <si>
    <t>E.7.</t>
  </si>
  <si>
    <t>E.8.</t>
  </si>
  <si>
    <t>F.</t>
  </si>
  <si>
    <t>F.1.</t>
  </si>
  <si>
    <t>F.2.</t>
  </si>
  <si>
    <t>F.3.</t>
  </si>
  <si>
    <t>D.5.</t>
  </si>
  <si>
    <t>D.6.</t>
  </si>
  <si>
    <t>D.7.</t>
  </si>
  <si>
    <t>D.8.</t>
  </si>
  <si>
    <t>A</t>
  </si>
  <si>
    <t>B</t>
  </si>
  <si>
    <t>C</t>
  </si>
  <si>
    <t>D</t>
  </si>
  <si>
    <t>X</t>
  </si>
  <si>
    <t>Y</t>
  </si>
  <si>
    <t>X'</t>
  </si>
  <si>
    <t>Y'</t>
  </si>
  <si>
    <t>E</t>
  </si>
  <si>
    <t>Fondasi</t>
  </si>
  <si>
    <t>Kolom</t>
  </si>
  <si>
    <t>a</t>
  </si>
  <si>
    <t>b</t>
  </si>
  <si>
    <t>c</t>
  </si>
  <si>
    <t>d</t>
  </si>
  <si>
    <t>e</t>
  </si>
  <si>
    <t>Garis X</t>
  </si>
  <si>
    <t>Garis Y</t>
  </si>
  <si>
    <t>I</t>
  </si>
  <si>
    <t>J</t>
  </si>
  <si>
    <t>K</t>
  </si>
  <si>
    <t>L</t>
  </si>
  <si>
    <t>F</t>
  </si>
  <si>
    <t>G</t>
  </si>
  <si>
    <t>H</t>
  </si>
  <si>
    <t>MAX</t>
  </si>
  <si>
    <t>SCALE</t>
  </si>
  <si>
    <t>FONDASI</t>
  </si>
  <si>
    <t>KOLOM</t>
  </si>
  <si>
    <t>TANAH</t>
  </si>
  <si>
    <r>
      <t>Garis L</t>
    </r>
    <r>
      <rPr>
        <vertAlign val="subscript"/>
        <sz val="11"/>
        <color theme="1"/>
        <rFont val="Calibri"/>
        <family val="2"/>
        <scheme val="minor"/>
      </rPr>
      <t>x</t>
    </r>
  </si>
  <si>
    <t>Garis Hp</t>
  </si>
  <si>
    <t>Garis Df</t>
  </si>
  <si>
    <t>Garis bc</t>
  </si>
  <si>
    <r>
      <t>Garis L</t>
    </r>
    <r>
      <rPr>
        <vertAlign val="subscript"/>
        <sz val="11"/>
        <color theme="1"/>
        <rFont val="Calibri"/>
        <family val="2"/>
        <scheme val="minor"/>
      </rPr>
      <t>y</t>
    </r>
  </si>
  <si>
    <t>Garis wc</t>
  </si>
  <si>
    <t>Tampak Atas Denah Fondasi Dangkal</t>
  </si>
  <si>
    <t>Potongan 1-1</t>
  </si>
  <si>
    <t>Potongan 2-2</t>
  </si>
  <si>
    <r>
      <t>e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=</t>
    </r>
  </si>
  <si>
    <r>
      <t>e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=</t>
    </r>
  </si>
  <si>
    <t>Nilai eksentrisitas c.g. kolom terhadap c.g. fondasi,</t>
  </si>
  <si>
    <t>INPUT GAYA AKSI PADA PILECAP</t>
  </si>
  <si>
    <t>1. ENVE KOMB. BEBAN TERFAKTOR</t>
  </si>
  <si>
    <t>2. KOMB. LAYAN</t>
  </si>
  <si>
    <t>3. KOMB. GEMPA X</t>
  </si>
  <si>
    <t>4. KOMB. GEMPA X</t>
  </si>
  <si>
    <t>5. KOMB. GEMPA Y</t>
  </si>
  <si>
    <t>6. KOMB. GEMPA Y</t>
  </si>
  <si>
    <t>Penyesuaian gaya aksi akibat eksentrisitas pada c.g. kolom dan fondasi:</t>
  </si>
  <si>
    <r>
      <t>Tahanan momen X (M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charset val="1"/>
        <scheme val="minor"/>
      </rPr>
      <t>),</t>
    </r>
  </si>
  <si>
    <r>
      <t>Tahanan momen Y (M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charset val="1"/>
        <scheme val="minor"/>
      </rPr>
      <t>),</t>
    </r>
  </si>
  <si>
    <r>
      <t>q</t>
    </r>
    <r>
      <rPr>
        <b/>
        <vertAlign val="subscript"/>
        <sz val="11"/>
        <color theme="0"/>
        <rFont val="Calibri"/>
        <family val="2"/>
        <scheme val="minor"/>
      </rPr>
      <t>max</t>
    </r>
  </si>
  <si>
    <r>
      <t>kN/m</t>
    </r>
    <r>
      <rPr>
        <b/>
        <vertAlign val="superscript"/>
        <sz val="10"/>
        <color theme="0"/>
        <rFont val="Calibri"/>
        <family val="2"/>
        <scheme val="minor"/>
      </rPr>
      <t>2</t>
    </r>
  </si>
  <si>
    <t>Ket.</t>
  </si>
  <si>
    <r>
      <t>q</t>
    </r>
    <r>
      <rPr>
        <vertAlign val="subscript"/>
        <sz val="10"/>
        <rFont val="Calibri"/>
        <family val="2"/>
        <scheme val="minor"/>
      </rPr>
      <t>max</t>
    </r>
    <r>
      <rPr>
        <sz val="10"/>
        <rFont val="Calibri"/>
        <family val="2"/>
        <scheme val="minor"/>
      </rPr>
      <t xml:space="preserve"> =  P</t>
    </r>
    <r>
      <rPr>
        <vertAlign val="subscript"/>
        <sz val="10"/>
        <rFont val="Calibri"/>
        <family val="2"/>
        <scheme val="minor"/>
      </rPr>
      <t>u</t>
    </r>
    <r>
      <rPr>
        <sz val="10"/>
        <rFont val="Calibri"/>
        <family val="2"/>
        <scheme val="minor"/>
      </rPr>
      <t xml:space="preserve"> / A + M</t>
    </r>
    <r>
      <rPr>
        <vertAlign val="subscript"/>
        <sz val="10"/>
        <rFont val="Calibri"/>
        <family val="2"/>
        <scheme val="minor"/>
      </rPr>
      <t>ux</t>
    </r>
    <r>
      <rPr>
        <sz val="10"/>
        <rFont val="Calibri"/>
        <family val="2"/>
        <scheme val="minor"/>
      </rPr>
      <t xml:space="preserve"> / W</t>
    </r>
    <r>
      <rPr>
        <vertAlign val="subscript"/>
        <sz val="10"/>
        <rFont val="Calibri"/>
        <family val="2"/>
        <scheme val="minor"/>
      </rPr>
      <t xml:space="preserve">y </t>
    </r>
    <r>
      <rPr>
        <sz val="10"/>
        <rFont val="Calibri"/>
        <family val="2"/>
        <scheme val="minor"/>
      </rPr>
      <t>+ M</t>
    </r>
    <r>
      <rPr>
        <vertAlign val="subscript"/>
        <sz val="10"/>
        <rFont val="Calibri"/>
        <family val="2"/>
        <scheme val="minor"/>
      </rPr>
      <t>uy</t>
    </r>
    <r>
      <rPr>
        <sz val="10"/>
        <rFont val="Calibri"/>
        <family val="2"/>
        <scheme val="minor"/>
      </rPr>
      <t xml:space="preserve"> / W</t>
    </r>
    <r>
      <rPr>
        <vertAlign val="subscript"/>
        <sz val="10"/>
        <rFont val="Calibri"/>
        <family val="2"/>
        <scheme val="minor"/>
      </rPr>
      <t>x</t>
    </r>
  </si>
  <si>
    <r>
      <t>q</t>
    </r>
    <r>
      <rPr>
        <b/>
        <vertAlign val="subscript"/>
        <sz val="11"/>
        <color theme="0"/>
        <rFont val="Calibri"/>
        <family val="2"/>
        <scheme val="minor"/>
      </rPr>
      <t>a</t>
    </r>
  </si>
  <si>
    <r>
      <t>q</t>
    </r>
    <r>
      <rPr>
        <b/>
        <vertAlign val="subscript"/>
        <sz val="11"/>
        <color theme="0"/>
        <rFont val="Calibri"/>
        <family val="2"/>
        <scheme val="minor"/>
      </rPr>
      <t>min</t>
    </r>
  </si>
  <si>
    <r>
      <t>q</t>
    </r>
    <r>
      <rPr>
        <vertAlign val="subscript"/>
        <sz val="10"/>
        <rFont val="Calibri"/>
        <family val="2"/>
        <scheme val="minor"/>
      </rPr>
      <t>min</t>
    </r>
    <r>
      <rPr>
        <sz val="10"/>
        <rFont val="Calibri"/>
        <family val="2"/>
        <scheme val="minor"/>
      </rPr>
      <t xml:space="preserve"> =  P</t>
    </r>
    <r>
      <rPr>
        <vertAlign val="subscript"/>
        <sz val="10"/>
        <rFont val="Calibri"/>
        <family val="2"/>
        <scheme val="minor"/>
      </rPr>
      <t>u</t>
    </r>
    <r>
      <rPr>
        <sz val="10"/>
        <rFont val="Calibri"/>
        <family val="2"/>
        <scheme val="minor"/>
      </rPr>
      <t xml:space="preserve"> / A - M</t>
    </r>
    <r>
      <rPr>
        <vertAlign val="subscript"/>
        <sz val="10"/>
        <rFont val="Calibri"/>
        <family val="2"/>
        <scheme val="minor"/>
      </rPr>
      <t>ux</t>
    </r>
    <r>
      <rPr>
        <sz val="10"/>
        <rFont val="Calibri"/>
        <family val="2"/>
        <scheme val="minor"/>
      </rPr>
      <t xml:space="preserve"> / W</t>
    </r>
    <r>
      <rPr>
        <vertAlign val="subscript"/>
        <sz val="10"/>
        <rFont val="Calibri"/>
        <family val="2"/>
        <scheme val="minor"/>
      </rPr>
      <t xml:space="preserve">y </t>
    </r>
    <r>
      <rPr>
        <sz val="10"/>
        <rFont val="Calibri"/>
        <family val="2"/>
        <scheme val="minor"/>
      </rPr>
      <t>- M</t>
    </r>
    <r>
      <rPr>
        <vertAlign val="subscript"/>
        <sz val="10"/>
        <rFont val="Calibri"/>
        <family val="2"/>
        <scheme val="minor"/>
      </rPr>
      <t>uy</t>
    </r>
    <r>
      <rPr>
        <sz val="10"/>
        <rFont val="Calibri"/>
        <family val="2"/>
        <scheme val="minor"/>
      </rPr>
      <t xml:space="preserve"> / W</t>
    </r>
    <r>
      <rPr>
        <vertAlign val="subscript"/>
        <sz val="10"/>
        <rFont val="Calibri"/>
        <family val="2"/>
        <scheme val="minor"/>
      </rPr>
      <t>x</t>
    </r>
  </si>
  <si>
    <t>Ts</t>
  </si>
  <si>
    <t>1.1.0</t>
  </si>
  <si>
    <r>
      <t>q</t>
    </r>
    <r>
      <rPr>
        <vertAlign val="subscript"/>
        <sz val="11"/>
        <rFont val="Calibri"/>
        <family val="2"/>
        <scheme val="minor"/>
      </rPr>
      <t>a</t>
    </r>
    <r>
      <rPr>
        <sz val="11"/>
        <rFont val="Calibri"/>
        <family val="2"/>
        <scheme val="minor"/>
      </rPr>
      <t xml:space="preserve"> = q</t>
    </r>
    <r>
      <rPr>
        <vertAlign val="subscript"/>
        <sz val="11"/>
        <rFont val="Calibri"/>
        <family val="2"/>
        <scheme val="minor"/>
      </rPr>
      <t>u</t>
    </r>
    <r>
      <rPr>
        <sz val="11"/>
        <rFont val="Calibri"/>
        <family val="2"/>
        <scheme val="minor"/>
      </rPr>
      <t xml:space="preserve"> / 3 + ϒ * D</t>
    </r>
    <r>
      <rPr>
        <vertAlign val="subscript"/>
        <sz val="11"/>
        <rFont val="Calibri"/>
        <family val="2"/>
        <scheme val="minor"/>
      </rPr>
      <t>f</t>
    </r>
    <r>
      <rPr>
        <sz val="11"/>
        <rFont val="Calibri"/>
        <family val="2"/>
        <scheme val="minor"/>
      </rPr>
      <t xml:space="preserve"> =</t>
    </r>
  </si>
  <si>
    <t>Garis MAT</t>
  </si>
  <si>
    <t>Elevasi muka air tanah (M.A.T) dari permukaan tanah,</t>
  </si>
  <si>
    <t>Zw =</t>
  </si>
  <si>
    <t>M.A.T</t>
  </si>
  <si>
    <t>Berat volume tanah basah,</t>
  </si>
  <si>
    <r>
      <t xml:space="preserve"> </t>
    </r>
    <r>
      <rPr>
        <sz val="11"/>
        <rFont val="Symbol"/>
        <family val="1"/>
        <charset val="2"/>
      </rPr>
      <t>g</t>
    </r>
    <r>
      <rPr>
        <vertAlign val="subscript"/>
        <sz val="11"/>
        <rFont val="Calibri"/>
        <family val="2"/>
        <scheme val="minor"/>
      </rPr>
      <t>sat</t>
    </r>
    <r>
      <rPr>
        <sz val="11"/>
        <rFont val="Symbol"/>
        <family val="1"/>
        <charset val="2"/>
      </rPr>
      <t xml:space="preserve"> </t>
    </r>
    <r>
      <rPr>
        <sz val="11"/>
        <rFont val="Arial"/>
        <family val="2"/>
      </rPr>
      <t>=</t>
    </r>
  </si>
  <si>
    <t>Berat volume tanah di atas pilecap (tanah urug),</t>
  </si>
  <si>
    <t>φ</t>
  </si>
  <si>
    <t>Kegagalan geser umum:</t>
  </si>
  <si>
    <t>Kegagalan geser lokal:</t>
  </si>
  <si>
    <r>
      <t>N'</t>
    </r>
    <r>
      <rPr>
        <vertAlign val="subscript"/>
        <sz val="11"/>
        <color theme="0"/>
        <rFont val="Calibri"/>
        <family val="2"/>
        <scheme val="minor"/>
      </rPr>
      <t>c</t>
    </r>
  </si>
  <si>
    <r>
      <t>N'</t>
    </r>
    <r>
      <rPr>
        <vertAlign val="subscript"/>
        <sz val="11"/>
        <color theme="0"/>
        <rFont val="Calibri"/>
        <family val="2"/>
        <scheme val="minor"/>
      </rPr>
      <t>q</t>
    </r>
  </si>
  <si>
    <r>
      <t>N'</t>
    </r>
    <r>
      <rPr>
        <vertAlign val="subscript"/>
        <sz val="11"/>
        <color theme="0"/>
        <rFont val="Calibri"/>
        <family val="2"/>
        <scheme val="minor"/>
      </rPr>
      <t>ϒ</t>
    </r>
  </si>
  <si>
    <r>
      <t>N'</t>
    </r>
    <r>
      <rPr>
        <b/>
        <vertAlign val="subscript"/>
        <sz val="11"/>
        <color theme="0"/>
        <rFont val="Calibri"/>
        <family val="2"/>
        <scheme val="minor"/>
      </rPr>
      <t>c</t>
    </r>
  </si>
  <si>
    <r>
      <t>N'</t>
    </r>
    <r>
      <rPr>
        <b/>
        <vertAlign val="subscript"/>
        <sz val="11"/>
        <color theme="0"/>
        <rFont val="Calibri"/>
        <family val="2"/>
        <scheme val="minor"/>
      </rPr>
      <t>q</t>
    </r>
  </si>
  <si>
    <r>
      <t>N'</t>
    </r>
    <r>
      <rPr>
        <b/>
        <vertAlign val="subscript"/>
        <sz val="11"/>
        <color theme="0"/>
        <rFont val="Calibri"/>
        <family val="2"/>
        <scheme val="minor"/>
      </rPr>
      <t>ϒ</t>
    </r>
  </si>
  <si>
    <t>Kecendrungan kegagalan geser:</t>
  </si>
  <si>
    <t>Zw1 =</t>
  </si>
  <si>
    <t>Zw2 =</t>
  </si>
  <si>
    <r>
      <t>R</t>
    </r>
    <r>
      <rPr>
        <vertAlign val="subscript"/>
        <sz val="11"/>
        <rFont val="Calibri"/>
        <family val="2"/>
        <scheme val="minor"/>
      </rPr>
      <t>w1</t>
    </r>
    <r>
      <rPr>
        <sz val="11"/>
        <rFont val="Calibri"/>
        <family val="2"/>
        <scheme val="minor"/>
      </rPr>
      <t xml:space="preserve"> = 0,5 * (1 + Z</t>
    </r>
    <r>
      <rPr>
        <vertAlign val="subscript"/>
        <sz val="11"/>
        <rFont val="Calibri"/>
        <family val="2"/>
        <scheme val="minor"/>
      </rPr>
      <t>w1</t>
    </r>
    <r>
      <rPr>
        <sz val="11"/>
        <rFont val="Calibri"/>
        <family val="2"/>
        <scheme val="minor"/>
      </rPr>
      <t xml:space="preserve"> / D) =</t>
    </r>
  </si>
  <si>
    <r>
      <t>R</t>
    </r>
    <r>
      <rPr>
        <vertAlign val="subscript"/>
        <sz val="11"/>
        <rFont val="Calibri"/>
        <family val="2"/>
        <scheme val="minor"/>
      </rPr>
      <t>w2</t>
    </r>
    <r>
      <rPr>
        <sz val="11"/>
        <rFont val="Calibri"/>
        <family val="2"/>
        <scheme val="minor"/>
      </rPr>
      <t xml:space="preserve"> = 0,5 * (1 + Z</t>
    </r>
    <r>
      <rPr>
        <vertAlign val="subscript"/>
        <sz val="11"/>
        <rFont val="Calibri"/>
        <family val="2"/>
        <scheme val="minor"/>
      </rPr>
      <t>w2</t>
    </r>
    <r>
      <rPr>
        <sz val="11"/>
        <rFont val="Calibri"/>
        <family val="2"/>
        <scheme val="minor"/>
      </rPr>
      <t xml:space="preserve"> / D) =</t>
    </r>
  </si>
  <si>
    <t>Faktor akibat elevasi permukaan air terhadap sisi bawah fondasi,</t>
  </si>
  <si>
    <t>Faktor kapasitas dukung tanah pakai:</t>
  </si>
  <si>
    <r>
      <t>N</t>
    </r>
    <r>
      <rPr>
        <vertAlign val="subscript"/>
        <sz val="11"/>
        <color theme="0"/>
        <rFont val="Calibri"/>
        <family val="2"/>
        <scheme val="minor"/>
      </rPr>
      <t>c</t>
    </r>
  </si>
  <si>
    <r>
      <t>N</t>
    </r>
    <r>
      <rPr>
        <vertAlign val="subscript"/>
        <sz val="11"/>
        <color theme="0"/>
        <rFont val="Calibri"/>
        <family val="2"/>
        <scheme val="minor"/>
      </rPr>
      <t>q</t>
    </r>
  </si>
  <si>
    <r>
      <t>N</t>
    </r>
    <r>
      <rPr>
        <vertAlign val="subscript"/>
        <sz val="11"/>
        <color theme="0"/>
        <rFont val="Calibri"/>
        <family val="2"/>
        <scheme val="minor"/>
      </rPr>
      <t>ϒ</t>
    </r>
  </si>
  <si>
    <t>Berat volume tanah rata-rata pada dasar pilecap,</t>
  </si>
  <si>
    <r>
      <t>q</t>
    </r>
    <r>
      <rPr>
        <vertAlign val="subscript"/>
        <sz val="11"/>
        <rFont val="Calibri"/>
        <family val="2"/>
        <scheme val="minor"/>
      </rPr>
      <t>u</t>
    </r>
    <r>
      <rPr>
        <sz val="11"/>
        <rFont val="Calibri"/>
        <family val="2"/>
        <scheme val="minor"/>
      </rPr>
      <t xml:space="preserve"> = c * N</t>
    </r>
    <r>
      <rPr>
        <vertAlign val="subscript"/>
        <sz val="11"/>
        <rFont val="Calibri"/>
        <family val="2"/>
        <scheme val="minor"/>
      </rPr>
      <t xml:space="preserve">c </t>
    </r>
    <r>
      <rPr>
        <sz val="11"/>
        <rFont val="Calibri"/>
        <family val="2"/>
        <scheme val="minor"/>
      </rPr>
      <t>* (1 + 0,3 * B/L) + D</t>
    </r>
    <r>
      <rPr>
        <vertAlign val="subscript"/>
        <sz val="11"/>
        <rFont val="Calibri"/>
        <family val="2"/>
        <scheme val="minor"/>
      </rPr>
      <t xml:space="preserve">f </t>
    </r>
    <r>
      <rPr>
        <sz val="11"/>
        <rFont val="Calibri"/>
        <family val="2"/>
        <scheme val="minor"/>
      </rPr>
      <t>* ϒ * (N</t>
    </r>
    <r>
      <rPr>
        <vertAlign val="subscript"/>
        <sz val="11"/>
        <rFont val="Calibri"/>
        <family val="2"/>
        <scheme val="minor"/>
      </rPr>
      <t>q</t>
    </r>
    <r>
      <rPr>
        <sz val="11"/>
        <rFont val="Calibri"/>
        <family val="2"/>
        <scheme val="minor"/>
      </rPr>
      <t xml:space="preserve"> - 1) * R</t>
    </r>
    <r>
      <rPr>
        <vertAlign val="subscript"/>
        <sz val="11"/>
        <rFont val="Calibri"/>
        <family val="2"/>
        <scheme val="minor"/>
      </rPr>
      <t>w1</t>
    </r>
    <r>
      <rPr>
        <sz val="11"/>
        <rFont val="Calibri"/>
        <family val="2"/>
        <scheme val="minor"/>
      </rPr>
      <t xml:space="preserve"> + 0,5 * B * ϒ * N</t>
    </r>
    <r>
      <rPr>
        <vertAlign val="subscript"/>
        <sz val="11"/>
        <rFont val="Calibri"/>
        <family val="2"/>
        <scheme val="minor"/>
      </rPr>
      <t xml:space="preserve">ϒ </t>
    </r>
    <r>
      <rPr>
        <sz val="11"/>
        <rFont val="Calibri"/>
        <family val="2"/>
        <scheme val="minor"/>
      </rPr>
      <t>* (1 - 0,2 * B/L) * R</t>
    </r>
    <r>
      <rPr>
        <vertAlign val="subscript"/>
        <sz val="11"/>
        <rFont val="Calibri"/>
        <family val="2"/>
        <scheme val="minor"/>
      </rPr>
      <t>w2</t>
    </r>
  </si>
  <si>
    <r>
      <t>q</t>
    </r>
    <r>
      <rPr>
        <vertAlign val="subscript"/>
        <sz val="11"/>
        <rFont val="Calibri"/>
        <family val="2"/>
        <scheme val="minor"/>
      </rPr>
      <t>u (umum)</t>
    </r>
    <r>
      <rPr>
        <sz val="11"/>
        <rFont val="Calibri"/>
        <family val="2"/>
        <scheme val="minor"/>
      </rPr>
      <t xml:space="preserve"> =</t>
    </r>
  </si>
  <si>
    <r>
      <t>q</t>
    </r>
    <r>
      <rPr>
        <vertAlign val="subscript"/>
        <sz val="11"/>
        <rFont val="Calibri"/>
        <family val="2"/>
        <scheme val="minor"/>
      </rPr>
      <t>u (lokal)</t>
    </r>
    <r>
      <rPr>
        <sz val="11"/>
        <rFont val="Calibri"/>
        <family val="2"/>
        <scheme val="minor"/>
      </rPr>
      <t>=</t>
    </r>
  </si>
  <si>
    <r>
      <t>q</t>
    </r>
    <r>
      <rPr>
        <vertAlign val="subscript"/>
        <sz val="11"/>
        <rFont val="Calibri"/>
        <family val="2"/>
        <scheme val="minor"/>
      </rPr>
      <t>u-pakai</t>
    </r>
    <r>
      <rPr>
        <sz val="11"/>
        <rFont val="Calibri"/>
        <family val="2"/>
        <scheme val="minor"/>
      </rPr>
      <t xml:space="preserve"> =</t>
    </r>
  </si>
  <si>
    <t>info@inpetra.id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</si>
</sst>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vertAlign val="subscript"/>
      <sz val="1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1"/>
      <name val="Calibri"/>
      <family val="2"/>
    </font>
    <font>
      <sz val="11"/>
      <name val="Arial"/>
      <family val="2"/>
    </font>
    <font>
      <sz val="11"/>
      <name val="Arial"/>
      <family val="2"/>
      <charset val="1"/>
    </font>
    <font>
      <sz val="11"/>
      <name val="Symbol"/>
      <family val="1"/>
      <charset val="2"/>
    </font>
    <font>
      <sz val="11"/>
      <color indexed="10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name val="Calibri"/>
      <family val="2"/>
      <charset val="1"/>
      <scheme val="minor"/>
    </font>
    <font>
      <sz val="11"/>
      <name val="Calibri"/>
      <family val="2"/>
      <charset val="1"/>
    </font>
    <font>
      <b/>
      <sz val="11"/>
      <name val="Calibri"/>
      <family val="2"/>
      <charset val="1"/>
      <scheme val="minor"/>
    </font>
    <font>
      <b/>
      <sz val="11"/>
      <name val="Arial"/>
      <family val="2"/>
      <charset val="1"/>
    </font>
    <font>
      <sz val="11"/>
      <color theme="0" tint="-0.14999847407452621"/>
      <name val="Arial"/>
      <family val="2"/>
    </font>
    <font>
      <sz val="11"/>
      <color theme="0" tint="-0.14999847407452621"/>
      <name val="Calibri"/>
      <family val="2"/>
      <scheme val="minor"/>
    </font>
    <font>
      <b/>
      <sz val="11"/>
      <color theme="0" tint="-0.14999847407452621"/>
      <name val="Arial"/>
      <family val="2"/>
      <charset val="1"/>
    </font>
    <font>
      <sz val="11"/>
      <color theme="0" tint="-0.14999847407452621"/>
      <name val="Arial"/>
      <family val="2"/>
      <charset val="1"/>
    </font>
    <font>
      <sz val="11"/>
      <color theme="0" tint="-0.14999847407452621"/>
      <name val="Calibri"/>
      <family val="2"/>
      <charset val="1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rgb="FF0000FF"/>
      <name val="Calibri"/>
      <family val="2"/>
    </font>
    <font>
      <sz val="11"/>
      <color rgb="FF0000FF"/>
      <name val="Calibri"/>
      <family val="2"/>
      <scheme val="minor"/>
    </font>
    <font>
      <i/>
      <sz val="11"/>
      <name val="Calibri"/>
      <family val="2"/>
      <scheme val="minor"/>
    </font>
    <font>
      <i/>
      <vertAlign val="subscript"/>
      <sz val="11"/>
      <name val="Calibri"/>
      <family val="2"/>
      <scheme val="minor"/>
    </font>
    <font>
      <i/>
      <sz val="10"/>
      <name val="Calibri"/>
      <family val="2"/>
      <scheme val="minor"/>
    </font>
    <font>
      <b/>
      <sz val="11"/>
      <color theme="1"/>
      <name val="Calibri"/>
      <family val="2"/>
      <charset val="1"/>
      <scheme val="minor"/>
    </font>
    <font>
      <b/>
      <sz val="12"/>
      <color theme="0"/>
      <name val="Calibri Light"/>
      <family val="2"/>
      <scheme val="maj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vertAlign val="subscript"/>
      <sz val="11"/>
      <color theme="0"/>
      <name val="Calibri"/>
      <family val="2"/>
      <scheme val="minor"/>
    </font>
    <font>
      <b/>
      <sz val="11"/>
      <name val="Calibri"/>
      <family val="2"/>
    </font>
    <font>
      <b/>
      <sz val="12"/>
      <color theme="0"/>
      <name val="Calibri Light"/>
      <family val="2"/>
      <charset val="1"/>
      <scheme val="major"/>
    </font>
    <font>
      <i/>
      <sz val="11"/>
      <name val="Calibri"/>
      <family val="2"/>
    </font>
    <font>
      <b/>
      <sz val="11"/>
      <color theme="4"/>
      <name val="Calibri"/>
      <family val="2"/>
      <scheme val="minor"/>
    </font>
    <font>
      <b/>
      <sz val="11"/>
      <color theme="0"/>
      <name val="Calibri"/>
      <family val="2"/>
      <charset val="1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Arial"/>
      <family val="2"/>
      <charset val="1"/>
    </font>
    <font>
      <b/>
      <vertAlign val="subscript"/>
      <sz val="11"/>
      <color theme="1"/>
      <name val="Calibri"/>
      <family val="2"/>
      <scheme val="minor"/>
    </font>
    <font>
      <vertAlign val="subscript"/>
      <sz val="11"/>
      <name val="Calibri"/>
      <family val="2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vertAlign val="subscript"/>
      <sz val="1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</font>
    <font>
      <vertAlign val="subscript"/>
      <sz val="11"/>
      <color theme="0"/>
      <name val="Calibri"/>
      <family val="2"/>
      <scheme val="minor"/>
    </font>
    <font>
      <i/>
      <sz val="11"/>
      <name val="Arial"/>
      <family val="2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7030A0"/>
        <bgColor indexed="64"/>
      </patternFill>
    </fill>
  </fills>
  <borders count="2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 diagonalUp="1" diagonalDown="1"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 style="dotted">
        <color theme="0" tint="-0.24994659260841701"/>
      </diagonal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</borders>
  <cellStyleXfs count="3">
    <xf numFmtId="0" fontId="0" fillId="0" borderId="0"/>
    <xf numFmtId="0" fontId="3" fillId="0" borderId="0"/>
    <xf numFmtId="0" fontId="43" fillId="0" borderId="0" applyNumberFormat="0" applyFill="0" applyBorder="0" applyAlignment="0" applyProtection="0"/>
  </cellStyleXfs>
  <cellXfs count="416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left" vertical="center" indent="1"/>
    </xf>
    <xf numFmtId="2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4" fillId="0" borderId="0" xfId="1" applyFont="1" applyAlignment="1">
      <alignment vertical="center"/>
    </xf>
    <xf numFmtId="0" fontId="25" fillId="0" borderId="0" xfId="1" applyFont="1" applyAlignment="1">
      <alignment vertical="center"/>
    </xf>
    <xf numFmtId="0" fontId="2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2" fontId="4" fillId="0" borderId="5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1" fontId="4" fillId="0" borderId="1" xfId="0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164" fontId="4" fillId="0" borderId="1" xfId="1" applyNumberFormat="1" applyFont="1" applyBorder="1" applyAlignment="1">
      <alignment horizontal="center" vertical="center"/>
    </xf>
    <xf numFmtId="165" fontId="4" fillId="0" borderId="1" xfId="1" applyNumberFormat="1" applyFont="1" applyBorder="1" applyAlignment="1">
      <alignment horizontal="center" vertical="center"/>
    </xf>
    <xf numFmtId="165" fontId="4" fillId="0" borderId="2" xfId="1" applyNumberFormat="1" applyFont="1" applyBorder="1" applyAlignment="1">
      <alignment horizontal="center" vertical="center"/>
    </xf>
    <xf numFmtId="2" fontId="4" fillId="0" borderId="1" xfId="1" applyNumberFormat="1" applyFont="1" applyBorder="1" applyAlignment="1">
      <alignment horizontal="center" vertical="center"/>
    </xf>
    <xf numFmtId="1" fontId="4" fillId="0" borderId="12" xfId="0" applyNumberFormat="1" applyFont="1" applyBorder="1" applyAlignment="1">
      <alignment horizontal="center" vertical="center"/>
    </xf>
    <xf numFmtId="1" fontId="4" fillId="0" borderId="14" xfId="0" applyNumberFormat="1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1" fontId="4" fillId="0" borderId="5" xfId="0" applyNumberFormat="1" applyFont="1" applyBorder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2" fontId="4" fillId="0" borderId="0" xfId="0" applyNumberFormat="1" applyFont="1" applyAlignment="1" applyProtection="1">
      <alignment horizontal="center" vertical="center"/>
      <protection locked="0"/>
    </xf>
    <xf numFmtId="2" fontId="12" fillId="0" borderId="0" xfId="0" applyNumberFormat="1" applyFont="1" applyAlignment="1">
      <alignment horizontal="center" vertical="center"/>
    </xf>
    <xf numFmtId="0" fontId="4" fillId="0" borderId="11" xfId="0" applyFont="1" applyBorder="1" applyAlignment="1">
      <alignment horizontal="left" vertical="center" indent="1"/>
    </xf>
    <xf numFmtId="0" fontId="0" fillId="0" borderId="11" xfId="0" applyBorder="1" applyAlignment="1">
      <alignment horizontal="left" vertical="center" indent="1"/>
    </xf>
    <xf numFmtId="0" fontId="0" fillId="0" borderId="0" xfId="0" applyAlignment="1">
      <alignment horizontal="right" vertical="center"/>
    </xf>
    <xf numFmtId="0" fontId="5" fillId="0" borderId="0" xfId="1" applyFont="1" applyAlignment="1">
      <alignment horizontal="right" vertical="center"/>
    </xf>
    <xf numFmtId="2" fontId="5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4" fillId="0" borderId="11" xfId="1" applyFont="1" applyBorder="1" applyAlignment="1">
      <alignment horizontal="left" vertical="center" indent="1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horizontal="left" vertical="center" indent="1"/>
    </xf>
    <xf numFmtId="0" fontId="13" fillId="0" borderId="17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4" fillId="0" borderId="17" xfId="1" applyFont="1" applyBorder="1" applyAlignment="1">
      <alignment vertical="center"/>
    </xf>
    <xf numFmtId="0" fontId="4" fillId="0" borderId="17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13" fillId="0" borderId="14" xfId="0" applyFont="1" applyBorder="1" applyAlignment="1">
      <alignment horizontal="center" vertical="center"/>
    </xf>
    <xf numFmtId="0" fontId="5" fillId="5" borderId="17" xfId="0" applyFont="1" applyFill="1" applyBorder="1" applyAlignment="1">
      <alignment horizontal="center" vertical="center"/>
    </xf>
    <xf numFmtId="0" fontId="13" fillId="5" borderId="0" xfId="0" applyFont="1" applyFill="1" applyAlignment="1">
      <alignment vertical="center"/>
    </xf>
    <xf numFmtId="0" fontId="2" fillId="5" borderId="0" xfId="0" applyFont="1" applyFill="1" applyAlignment="1">
      <alignment vertical="center"/>
    </xf>
    <xf numFmtId="0" fontId="2" fillId="5" borderId="11" xfId="0" applyFont="1" applyFill="1" applyBorder="1" applyAlignment="1">
      <alignment horizontal="left" vertical="center" indent="1"/>
    </xf>
    <xf numFmtId="0" fontId="0" fillId="5" borderId="0" xfId="0" applyFill="1" applyAlignment="1">
      <alignment vertical="center"/>
    </xf>
    <xf numFmtId="0" fontId="0" fillId="5" borderId="0" xfId="0" applyFill="1" applyAlignment="1">
      <alignment horizontal="right" vertical="center"/>
    </xf>
    <xf numFmtId="0" fontId="0" fillId="5" borderId="11" xfId="0" applyFill="1" applyBorder="1" applyAlignment="1">
      <alignment horizontal="left" vertical="center" indent="1"/>
    </xf>
    <xf numFmtId="0" fontId="13" fillId="5" borderId="17" xfId="0" applyFont="1" applyFill="1" applyBorder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9" fillId="5" borderId="0" xfId="0" applyFont="1" applyFill="1" applyAlignment="1">
      <alignment vertical="center"/>
    </xf>
    <xf numFmtId="2" fontId="12" fillId="5" borderId="0" xfId="0" applyNumberFormat="1" applyFont="1" applyFill="1" applyAlignment="1">
      <alignment horizontal="center" vertical="center"/>
    </xf>
    <xf numFmtId="0" fontId="4" fillId="5" borderId="11" xfId="0" applyFont="1" applyFill="1" applyBorder="1" applyAlignment="1">
      <alignment horizontal="left" vertical="center" indent="1"/>
    </xf>
    <xf numFmtId="0" fontId="9" fillId="5" borderId="11" xfId="0" applyFont="1" applyFill="1" applyBorder="1" applyAlignment="1">
      <alignment horizontal="left" vertical="center" indent="1"/>
    </xf>
    <xf numFmtId="0" fontId="13" fillId="7" borderId="17" xfId="0" applyFont="1" applyFill="1" applyBorder="1" applyAlignment="1">
      <alignment horizontal="center" vertical="center"/>
    </xf>
    <xf numFmtId="0" fontId="13" fillId="7" borderId="0" xfId="0" applyFont="1" applyFill="1" applyAlignment="1">
      <alignment vertical="center"/>
    </xf>
    <xf numFmtId="0" fontId="35" fillId="7" borderId="0" xfId="1" applyFont="1" applyFill="1" applyAlignment="1">
      <alignment horizontal="center" vertical="center"/>
    </xf>
    <xf numFmtId="0" fontId="35" fillId="7" borderId="11" xfId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>
      <alignment horizontal="center" vertical="center"/>
    </xf>
    <xf numFmtId="1" fontId="5" fillId="3" borderId="1" xfId="1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2" fontId="15" fillId="0" borderId="1" xfId="0" applyNumberFormat="1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center" vertical="center"/>
    </xf>
    <xf numFmtId="0" fontId="23" fillId="0" borderId="0" xfId="0" applyFont="1" applyAlignment="1">
      <alignment vertical="center"/>
    </xf>
    <xf numFmtId="2" fontId="15" fillId="0" borderId="0" xfId="0" applyNumberFormat="1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7" fillId="7" borderId="0" xfId="0" applyFont="1" applyFill="1" applyAlignment="1">
      <alignment vertical="center"/>
    </xf>
    <xf numFmtId="0" fontId="18" fillId="7" borderId="0" xfId="0" applyFont="1" applyFill="1" applyAlignment="1">
      <alignment vertical="center"/>
    </xf>
    <xf numFmtId="0" fontId="18" fillId="7" borderId="11" xfId="0" applyFont="1" applyFill="1" applyBorder="1" applyAlignment="1">
      <alignment horizontal="left" vertical="center" indent="1"/>
    </xf>
    <xf numFmtId="0" fontId="17" fillId="5" borderId="0" xfId="0" applyFont="1" applyFill="1" applyAlignment="1">
      <alignment vertical="center"/>
    </xf>
    <xf numFmtId="0" fontId="18" fillId="5" borderId="0" xfId="0" applyFont="1" applyFill="1" applyAlignment="1">
      <alignment vertical="center"/>
    </xf>
    <xf numFmtId="0" fontId="18" fillId="5" borderId="11" xfId="0" applyFont="1" applyFill="1" applyBorder="1" applyAlignment="1">
      <alignment horizontal="left" vertical="center" indent="1"/>
    </xf>
    <xf numFmtId="0" fontId="10" fillId="0" borderId="0" xfId="0" applyFont="1" applyAlignment="1">
      <alignment vertical="center"/>
    </xf>
    <xf numFmtId="0" fontId="10" fillId="0" borderId="11" xfId="0" applyFont="1" applyBorder="1" applyAlignment="1">
      <alignment horizontal="left" vertical="center" indent="1"/>
    </xf>
    <xf numFmtId="0" fontId="15" fillId="0" borderId="11" xfId="0" applyFont="1" applyBorder="1" applyAlignment="1">
      <alignment horizontal="left" vertical="center" indent="1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2" fontId="10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5" fillId="7" borderId="17" xfId="0" applyFont="1" applyFill="1" applyBorder="1" applyAlignment="1">
      <alignment horizontal="center" vertical="center"/>
    </xf>
    <xf numFmtId="0" fontId="13" fillId="7" borderId="0" xfId="0" applyFont="1" applyFill="1" applyAlignment="1">
      <alignment horizontal="center" vertical="center"/>
    </xf>
    <xf numFmtId="0" fontId="0" fillId="7" borderId="0" xfId="0" applyFill="1"/>
    <xf numFmtId="0" fontId="36" fillId="8" borderId="12" xfId="0" applyFont="1" applyFill="1" applyBorder="1" applyAlignment="1">
      <alignment horizontal="center" vertical="center"/>
    </xf>
    <xf numFmtId="0" fontId="36" fillId="8" borderId="14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65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4" fillId="5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4" fillId="5" borderId="0" xfId="0" applyFont="1" applyFill="1" applyAlignment="1">
      <alignment horizontal="right" vertical="center"/>
    </xf>
    <xf numFmtId="164" fontId="4" fillId="5" borderId="0" xfId="0" applyNumberFormat="1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26" fillId="0" borderId="0" xfId="0" applyFont="1" applyAlignment="1">
      <alignment vertical="center"/>
    </xf>
    <xf numFmtId="2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1" fontId="4" fillId="0" borderId="0" xfId="1" applyNumberFormat="1" applyFont="1" applyAlignment="1">
      <alignment horizontal="right" vertical="center"/>
    </xf>
    <xf numFmtId="0" fontId="4" fillId="0" borderId="0" xfId="1" applyFont="1" applyAlignment="1">
      <alignment horizontal="left" vertical="center"/>
    </xf>
    <xf numFmtId="0" fontId="30" fillId="0" borderId="0" xfId="1" applyFont="1" applyAlignment="1">
      <alignment horizontal="right" vertical="center"/>
    </xf>
    <xf numFmtId="0" fontId="32" fillId="0" borderId="17" xfId="1" applyFont="1" applyBorder="1" applyAlignment="1">
      <alignment horizontal="left" vertical="center" indent="1"/>
    </xf>
    <xf numFmtId="0" fontId="25" fillId="0" borderId="17" xfId="1" applyFont="1" applyBorder="1" applyAlignment="1">
      <alignment horizontal="left" vertical="center" indent="1"/>
    </xf>
    <xf numFmtId="165" fontId="4" fillId="0" borderId="0" xfId="1" applyNumberFormat="1" applyFont="1" applyAlignment="1">
      <alignment horizontal="center" vertical="center"/>
    </xf>
    <xf numFmtId="0" fontId="25" fillId="0" borderId="11" xfId="1" applyFont="1" applyBorder="1" applyAlignment="1">
      <alignment horizontal="left" vertical="center" indent="1"/>
    </xf>
    <xf numFmtId="0" fontId="5" fillId="0" borderId="0" xfId="1" applyFont="1" applyAlignment="1">
      <alignment horizontal="center" vertical="center"/>
    </xf>
    <xf numFmtId="164" fontId="4" fillId="0" borderId="11" xfId="1" applyNumberFormat="1" applyFont="1" applyBorder="1" applyAlignment="1">
      <alignment horizontal="left" vertical="center" indent="1"/>
    </xf>
    <xf numFmtId="1" fontId="4" fillId="0" borderId="0" xfId="1" applyNumberFormat="1" applyFont="1" applyAlignment="1">
      <alignment horizontal="center" vertical="center"/>
    </xf>
    <xf numFmtId="165" fontId="4" fillId="0" borderId="11" xfId="1" applyNumberFormat="1" applyFont="1" applyBorder="1" applyAlignment="1">
      <alignment horizontal="left" vertical="center" indent="1"/>
    </xf>
    <xf numFmtId="164" fontId="4" fillId="0" borderId="0" xfId="1" applyNumberFormat="1" applyFont="1" applyAlignment="1">
      <alignment horizontal="center" vertical="center"/>
    </xf>
    <xf numFmtId="164" fontId="4" fillId="0" borderId="0" xfId="1" applyNumberFormat="1" applyFont="1" applyAlignment="1">
      <alignment horizontal="left" vertical="center"/>
    </xf>
    <xf numFmtId="2" fontId="4" fillId="0" borderId="0" xfId="1" applyNumberFormat="1" applyFont="1" applyAlignment="1">
      <alignment horizontal="center" vertical="center"/>
    </xf>
    <xf numFmtId="164" fontId="4" fillId="0" borderId="0" xfId="1" quotePrefix="1" applyNumberFormat="1" applyFont="1" applyAlignment="1">
      <alignment horizontal="left" vertical="center"/>
    </xf>
    <xf numFmtId="11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26" fillId="0" borderId="0" xfId="0" applyFont="1" applyAlignment="1">
      <alignment horizontal="center" vertical="center"/>
    </xf>
    <xf numFmtId="0" fontId="17" fillId="0" borderId="17" xfId="1" applyFont="1" applyBorder="1" applyAlignment="1">
      <alignment horizontal="center" vertical="center"/>
    </xf>
    <xf numFmtId="0" fontId="34" fillId="6" borderId="3" xfId="1" applyFont="1" applyFill="1" applyBorder="1" applyAlignment="1">
      <alignment horizontal="center" vertical="center"/>
    </xf>
    <xf numFmtId="0" fontId="34" fillId="6" borderId="13" xfId="1" applyFont="1" applyFill="1" applyBorder="1" applyAlignment="1">
      <alignment horizontal="center" vertical="center"/>
    </xf>
    <xf numFmtId="0" fontId="34" fillId="6" borderId="4" xfId="1" applyFont="1" applyFill="1" applyBorder="1" applyAlignment="1">
      <alignment horizontal="center" vertical="center"/>
    </xf>
    <xf numFmtId="0" fontId="5" fillId="0" borderId="0" xfId="1" applyFont="1" applyAlignment="1">
      <alignment horizontal="left" vertical="center" indent="1"/>
    </xf>
    <xf numFmtId="2" fontId="4" fillId="0" borderId="1" xfId="1" applyNumberFormat="1" applyFont="1" applyBorder="1" applyAlignment="1">
      <alignment horizontal="left" vertical="center" indent="1"/>
    </xf>
    <xf numFmtId="2" fontId="4" fillId="0" borderId="1" xfId="1" applyNumberFormat="1" applyFont="1" applyBorder="1" applyAlignment="1">
      <alignment horizontal="left" vertical="center" indent="2"/>
    </xf>
    <xf numFmtId="0" fontId="5" fillId="0" borderId="11" xfId="1" applyFont="1" applyBorder="1" applyAlignment="1">
      <alignment horizontal="left" vertical="center" indent="1"/>
    </xf>
    <xf numFmtId="1" fontId="4" fillId="0" borderId="4" xfId="0" applyNumberFormat="1" applyFont="1" applyBorder="1" applyAlignment="1" applyProtection="1">
      <alignment horizontal="center" vertical="center"/>
      <protection locked="0"/>
    </xf>
    <xf numFmtId="0" fontId="39" fillId="6" borderId="3" xfId="1" applyFont="1" applyFill="1" applyBorder="1" applyAlignment="1">
      <alignment horizontal="center" vertical="center"/>
    </xf>
    <xf numFmtId="0" fontId="17" fillId="7" borderId="17" xfId="0" applyFont="1" applyFill="1" applyBorder="1" applyAlignment="1">
      <alignment horizontal="center" vertical="center"/>
    </xf>
    <xf numFmtId="0" fontId="33" fillId="5" borderId="17" xfId="0" applyFont="1" applyFill="1" applyBorder="1" applyAlignment="1">
      <alignment horizontal="center" vertical="center"/>
    </xf>
    <xf numFmtId="0" fontId="33" fillId="0" borderId="17" xfId="0" applyFont="1" applyBorder="1" applyAlignment="1">
      <alignment horizontal="center" vertical="center"/>
    </xf>
    <xf numFmtId="0" fontId="33" fillId="0" borderId="17" xfId="0" applyFont="1" applyBorder="1" applyAlignment="1">
      <alignment vertical="center"/>
    </xf>
    <xf numFmtId="0" fontId="33" fillId="0" borderId="14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1" fontId="4" fillId="0" borderId="1" xfId="1" applyNumberFormat="1" applyFont="1" applyBorder="1" applyAlignment="1">
      <alignment horizontal="center" vertical="center"/>
    </xf>
    <xf numFmtId="1" fontId="4" fillId="0" borderId="12" xfId="1" applyNumberFormat="1" applyFont="1" applyBorder="1" applyAlignment="1">
      <alignment horizontal="center" vertical="center"/>
    </xf>
    <xf numFmtId="2" fontId="4" fillId="0" borderId="14" xfId="1" applyNumberFormat="1" applyFont="1" applyBorder="1" applyAlignment="1">
      <alignment horizontal="center" vertical="center"/>
    </xf>
    <xf numFmtId="1" fontId="4" fillId="0" borderId="6" xfId="0" applyNumberFormat="1" applyFont="1" applyBorder="1" applyAlignment="1">
      <alignment horizontal="center" vertical="center"/>
    </xf>
    <xf numFmtId="1" fontId="12" fillId="0" borderId="8" xfId="0" applyNumberFormat="1" applyFont="1" applyBorder="1" applyAlignment="1">
      <alignment horizontal="center" vertical="center"/>
    </xf>
    <xf numFmtId="0" fontId="38" fillId="0" borderId="0" xfId="0" applyFont="1" applyAlignment="1">
      <alignment horizontal="right" vertical="center"/>
    </xf>
    <xf numFmtId="2" fontId="4" fillId="0" borderId="6" xfId="0" applyNumberFormat="1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1" fontId="12" fillId="0" borderId="7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1" fontId="4" fillId="0" borderId="13" xfId="0" applyNumberFormat="1" applyFont="1" applyBorder="1" applyAlignment="1">
      <alignment horizontal="center" vertical="center"/>
    </xf>
    <xf numFmtId="2" fontId="5" fillId="3" borderId="1" xfId="1" applyNumberFormat="1" applyFont="1" applyFill="1" applyBorder="1" applyAlignment="1" applyProtection="1">
      <alignment horizontal="center" vertical="center"/>
      <protection locked="0"/>
    </xf>
    <xf numFmtId="2" fontId="4" fillId="0" borderId="0" xfId="0" applyNumberFormat="1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4" fillId="0" borderId="18" xfId="0" applyFont="1" applyBorder="1" applyAlignment="1">
      <alignment horizontal="left" vertical="center" wrapText="1" indent="1"/>
    </xf>
    <xf numFmtId="0" fontId="41" fillId="0" borderId="0" xfId="0" applyFont="1" applyAlignment="1">
      <alignment vertical="center"/>
    </xf>
    <xf numFmtId="1" fontId="0" fillId="0" borderId="4" xfId="0" applyNumberFormat="1" applyBorder="1" applyAlignment="1">
      <alignment horizontal="center" vertical="center"/>
    </xf>
    <xf numFmtId="1" fontId="0" fillId="0" borderId="11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2" fillId="0" borderId="15" xfId="0" applyFont="1" applyBorder="1" applyAlignment="1">
      <alignment horizontal="center" vertical="center"/>
    </xf>
    <xf numFmtId="0" fontId="0" fillId="0" borderId="0" xfId="0" applyAlignment="1">
      <alignment horizontal="left" vertical="center" indent="2"/>
    </xf>
    <xf numFmtId="0" fontId="13" fillId="5" borderId="0" xfId="0" applyFont="1" applyFill="1" applyAlignment="1">
      <alignment horizontal="center" vertical="center"/>
    </xf>
    <xf numFmtId="0" fontId="32" fillId="0" borderId="18" xfId="1" applyFont="1" applyBorder="1" applyAlignment="1">
      <alignment horizontal="left" vertical="center" indent="1"/>
    </xf>
    <xf numFmtId="0" fontId="25" fillId="0" borderId="18" xfId="1" applyFont="1" applyBorder="1" applyAlignment="1">
      <alignment horizontal="left" vertical="center" indent="1"/>
    </xf>
    <xf numFmtId="0" fontId="36" fillId="9" borderId="12" xfId="0" applyFont="1" applyFill="1" applyBorder="1" applyAlignment="1">
      <alignment horizontal="center" vertical="center"/>
    </xf>
    <xf numFmtId="0" fontId="9" fillId="5" borderId="0" xfId="0" applyFont="1" applyFill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4" fillId="5" borderId="0" xfId="0" applyFont="1" applyFill="1" applyAlignment="1">
      <alignment horizontal="left" vertical="center" indent="1"/>
    </xf>
    <xf numFmtId="0" fontId="4" fillId="0" borderId="0" xfId="1" applyFont="1" applyAlignment="1">
      <alignment horizontal="left" vertical="center" indent="1"/>
    </xf>
    <xf numFmtId="0" fontId="0" fillId="5" borderId="0" xfId="0" applyFill="1" applyAlignment="1">
      <alignment horizontal="left" vertical="center" indent="1"/>
    </xf>
    <xf numFmtId="0" fontId="2" fillId="5" borderId="0" xfId="0" applyFont="1" applyFill="1" applyAlignment="1">
      <alignment horizontal="left" vertical="center" indent="1"/>
    </xf>
    <xf numFmtId="0" fontId="5" fillId="5" borderId="0" xfId="0" applyFont="1" applyFill="1" applyAlignment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  <protection locked="0"/>
    </xf>
    <xf numFmtId="1" fontId="4" fillId="0" borderId="1" xfId="0" applyNumberFormat="1" applyFont="1" applyBorder="1" applyAlignment="1" applyProtection="1">
      <alignment horizontal="center" vertical="center"/>
      <protection locked="0"/>
    </xf>
    <xf numFmtId="1" fontId="4" fillId="0" borderId="1" xfId="1" applyNumberFormat="1" applyFont="1" applyBorder="1" applyAlignment="1" applyProtection="1">
      <alignment horizontal="center" vertical="center"/>
      <protection locked="0"/>
    </xf>
    <xf numFmtId="0" fontId="36" fillId="9" borderId="14" xfId="0" applyFont="1" applyFill="1" applyBorder="1" applyAlignment="1">
      <alignment horizontal="center" vertical="center"/>
    </xf>
    <xf numFmtId="0" fontId="18" fillId="5" borderId="0" xfId="0" applyFont="1" applyFill="1" applyAlignment="1">
      <alignment horizontal="left" vertical="center" indent="1"/>
    </xf>
    <xf numFmtId="0" fontId="10" fillId="0" borderId="0" xfId="0" applyFont="1" applyAlignment="1">
      <alignment horizontal="left" vertical="center" indent="1"/>
    </xf>
    <xf numFmtId="0" fontId="15" fillId="0" borderId="0" xfId="0" applyFont="1" applyAlignment="1">
      <alignment horizontal="left" vertical="center" indent="1"/>
    </xf>
    <xf numFmtId="164" fontId="0" fillId="0" borderId="0" xfId="0" applyNumberFormat="1" applyAlignment="1">
      <alignment horizontal="center" vertical="center"/>
    </xf>
    <xf numFmtId="0" fontId="25" fillId="0" borderId="0" xfId="1" applyFont="1" applyAlignment="1">
      <alignment horizontal="left" vertical="center" indent="1"/>
    </xf>
    <xf numFmtId="164" fontId="4" fillId="0" borderId="0" xfId="1" applyNumberFormat="1" applyFont="1" applyAlignment="1">
      <alignment horizontal="left" vertical="center" indent="1"/>
    </xf>
    <xf numFmtId="165" fontId="4" fillId="0" borderId="0" xfId="1" applyNumberFormat="1" applyFont="1" applyAlignment="1">
      <alignment horizontal="left" vertical="center" indent="1"/>
    </xf>
    <xf numFmtId="0" fontId="33" fillId="5" borderId="0" xfId="0" applyFont="1" applyFill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33" fillId="0" borderId="0" xfId="0" applyFont="1" applyAlignment="1">
      <alignment vertical="center"/>
    </xf>
    <xf numFmtId="166" fontId="4" fillId="0" borderId="1" xfId="1" applyNumberFormat="1" applyFont="1" applyBorder="1" applyAlignment="1">
      <alignment horizontal="left" vertical="center" indent="2"/>
    </xf>
    <xf numFmtId="166" fontId="4" fillId="0" borderId="1" xfId="1" applyNumberFormat="1" applyFont="1" applyBorder="1" applyAlignment="1">
      <alignment horizontal="left" vertical="center" indent="1"/>
    </xf>
    <xf numFmtId="0" fontId="0" fillId="2" borderId="1" xfId="0" applyFill="1" applyBorder="1" applyAlignment="1">
      <alignment horizontal="center"/>
    </xf>
    <xf numFmtId="49" fontId="0" fillId="2" borderId="1" xfId="0" applyNumberFormat="1" applyFill="1" applyBorder="1" applyAlignment="1">
      <alignment horizontal="left" vertical="center" indent="1"/>
    </xf>
    <xf numFmtId="49" fontId="0" fillId="2" borderId="1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49" fontId="0" fillId="4" borderId="1" xfId="0" applyNumberFormat="1" applyFill="1" applyBorder="1" applyAlignment="1">
      <alignment horizontal="left" vertical="center" indent="1"/>
    </xf>
    <xf numFmtId="49" fontId="0" fillId="4" borderId="1" xfId="0" applyNumberFormat="1" applyFill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0" fillId="3" borderId="1" xfId="0" applyNumberFormat="1" applyFill="1" applyBorder="1" applyAlignment="1">
      <alignment horizontal="left" vertical="center" indent="1"/>
    </xf>
    <xf numFmtId="49" fontId="0" fillId="3" borderId="1" xfId="0" applyNumberFormat="1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/>
    </xf>
    <xf numFmtId="165" fontId="15" fillId="0" borderId="0" xfId="0" applyNumberFormat="1" applyFont="1" applyAlignment="1">
      <alignment horizontal="center" vertical="center"/>
    </xf>
    <xf numFmtId="0" fontId="2" fillId="5" borderId="11" xfId="0" applyFont="1" applyFill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4" fillId="0" borderId="0" xfId="0" quotePrefix="1" applyFont="1" applyAlignment="1">
      <alignment horizontal="right" vertical="center"/>
    </xf>
    <xf numFmtId="0" fontId="2" fillId="0" borderId="17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 indent="1"/>
    </xf>
    <xf numFmtId="164" fontId="2" fillId="0" borderId="1" xfId="0" applyNumberFormat="1" applyFont="1" applyBorder="1" applyAlignment="1">
      <alignment horizontal="center" vertical="center"/>
    </xf>
    <xf numFmtId="164" fontId="2" fillId="0" borderId="1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2" fontId="2" fillId="0" borderId="0" xfId="0" applyNumberFormat="1" applyFont="1" applyAlignment="1">
      <alignment vertical="center"/>
    </xf>
    <xf numFmtId="0" fontId="13" fillId="3" borderId="1" xfId="0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right" vertical="center"/>
    </xf>
    <xf numFmtId="164" fontId="13" fillId="10" borderId="1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13" fillId="11" borderId="14" xfId="0" applyFont="1" applyFill="1" applyBorder="1" applyAlignment="1">
      <alignment horizontal="right" vertical="center"/>
    </xf>
    <xf numFmtId="164" fontId="13" fillId="11" borderId="1" xfId="0" applyNumberFormat="1" applyFont="1" applyFill="1" applyBorder="1" applyAlignment="1">
      <alignment horizontal="center" vertical="center"/>
    </xf>
    <xf numFmtId="164" fontId="13" fillId="0" borderId="11" xfId="0" applyNumberFormat="1" applyFont="1" applyBorder="1" applyAlignment="1">
      <alignment horizontal="center" vertical="center"/>
    </xf>
    <xf numFmtId="0" fontId="0" fillId="0" borderId="11" xfId="0" applyBorder="1"/>
    <xf numFmtId="164" fontId="4" fillId="0" borderId="12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13" fillId="3" borderId="3" xfId="0" applyFont="1" applyFill="1" applyBorder="1" applyAlignment="1">
      <alignment vertical="center"/>
    </xf>
    <xf numFmtId="0" fontId="13" fillId="3" borderId="13" xfId="0" applyFont="1" applyFill="1" applyBorder="1" applyAlignment="1">
      <alignment vertical="center"/>
    </xf>
    <xf numFmtId="0" fontId="13" fillId="3" borderId="4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13" fillId="0" borderId="0" xfId="0" applyNumberFormat="1" applyFont="1" applyAlignment="1">
      <alignment horizontal="center" vertical="center"/>
    </xf>
    <xf numFmtId="2" fontId="2" fillId="0" borderId="15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1" fontId="4" fillId="0" borderId="2" xfId="0" applyNumberFormat="1" applyFont="1" applyBorder="1" applyAlignment="1">
      <alignment horizontal="center" vertical="center"/>
    </xf>
    <xf numFmtId="2" fontId="0" fillId="4" borderId="22" xfId="0" applyNumberFormat="1" applyFill="1" applyBorder="1" applyAlignment="1">
      <alignment horizontal="center" vertical="center"/>
    </xf>
    <xf numFmtId="2" fontId="0" fillId="3" borderId="22" xfId="0" applyNumberFormat="1" applyFill="1" applyBorder="1" applyAlignment="1">
      <alignment horizontal="center" vertical="center"/>
    </xf>
    <xf numFmtId="2" fontId="0" fillId="2" borderId="22" xfId="0" applyNumberFormat="1" applyFill="1" applyBorder="1" applyAlignment="1">
      <alignment horizontal="center" vertical="center"/>
    </xf>
    <xf numFmtId="2" fontId="0" fillId="0" borderId="22" xfId="0" applyNumberFormat="1" applyBorder="1" applyAlignment="1">
      <alignment horizontal="center" vertical="center"/>
    </xf>
    <xf numFmtId="4" fontId="48" fillId="0" borderId="0" xfId="0" applyNumberFormat="1" applyFont="1" applyAlignment="1">
      <alignment vertical="center"/>
    </xf>
    <xf numFmtId="0" fontId="24" fillId="0" borderId="0" xfId="0" applyFont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25" fillId="0" borderId="0" xfId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 applyAlignment="1">
      <alignment vertical="center"/>
    </xf>
    <xf numFmtId="0" fontId="0" fillId="5" borderId="0" xfId="0" applyFill="1" applyAlignment="1">
      <alignment horizontal="center" vertical="center"/>
    </xf>
    <xf numFmtId="164" fontId="0" fillId="5" borderId="0" xfId="0" applyNumberFormat="1" applyFill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2" fontId="5" fillId="0" borderId="1" xfId="0" applyNumberFormat="1" applyFont="1" applyBorder="1" applyAlignment="1" applyProtection="1">
      <alignment horizontal="center" vertical="center"/>
      <protection locked="0"/>
    </xf>
    <xf numFmtId="49" fontId="24" fillId="4" borderId="1" xfId="0" applyNumberFormat="1" applyFont="1" applyFill="1" applyBorder="1" applyAlignment="1">
      <alignment horizontal="left" vertical="center" indent="1"/>
    </xf>
    <xf numFmtId="49" fontId="24" fillId="3" borderId="1" xfId="0" applyNumberFormat="1" applyFont="1" applyFill="1" applyBorder="1" applyAlignment="1">
      <alignment horizontal="left" vertical="center" indent="1"/>
    </xf>
    <xf numFmtId="49" fontId="24" fillId="2" borderId="1" xfId="0" applyNumberFormat="1" applyFont="1" applyFill="1" applyBorder="1" applyAlignment="1">
      <alignment horizontal="left" vertical="center" indent="1"/>
    </xf>
    <xf numFmtId="0" fontId="50" fillId="8" borderId="17" xfId="0" applyFont="1" applyFill="1" applyBorder="1" applyAlignment="1">
      <alignment horizontal="center" vertical="center"/>
    </xf>
    <xf numFmtId="0" fontId="15" fillId="0" borderId="11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50" fillId="8" borderId="14" xfId="0" applyFont="1" applyFill="1" applyBorder="1" applyAlignment="1">
      <alignment horizontal="center" vertical="center"/>
    </xf>
    <xf numFmtId="1" fontId="4" fillId="0" borderId="0" xfId="1" applyNumberFormat="1" applyFont="1" applyAlignment="1">
      <alignment horizontal="left" vertical="center" indent="4"/>
    </xf>
    <xf numFmtId="2" fontId="4" fillId="0" borderId="0" xfId="1" applyNumberFormat="1" applyFont="1" applyAlignment="1">
      <alignment horizontal="left" vertical="center" indent="1"/>
    </xf>
    <xf numFmtId="1" fontId="4" fillId="0" borderId="11" xfId="1" applyNumberFormat="1" applyFont="1" applyBorder="1" applyAlignment="1">
      <alignment horizontal="left" vertical="center" indent="4"/>
    </xf>
    <xf numFmtId="1" fontId="4" fillId="0" borderId="11" xfId="0" applyNumberFormat="1" applyFont="1" applyBorder="1" applyAlignment="1">
      <alignment horizontal="left" vertical="center" indent="3"/>
    </xf>
    <xf numFmtId="164" fontId="4" fillId="0" borderId="0" xfId="0" applyNumberFormat="1" applyFont="1" applyAlignment="1">
      <alignment horizontal="right" vertical="center"/>
    </xf>
    <xf numFmtId="2" fontId="4" fillId="0" borderId="0" xfId="0" applyNumberFormat="1" applyFont="1" applyAlignment="1">
      <alignment vertical="center"/>
    </xf>
    <xf numFmtId="1" fontId="0" fillId="0" borderId="11" xfId="0" applyNumberFormat="1" applyBorder="1" applyAlignment="1">
      <alignment horizontal="left" vertical="center" indent="3"/>
    </xf>
    <xf numFmtId="49" fontId="24" fillId="0" borderId="0" xfId="0" applyNumberFormat="1" applyFont="1" applyAlignment="1">
      <alignment horizontal="left" vertical="center" indent="1"/>
    </xf>
    <xf numFmtId="49" fontId="0" fillId="0" borderId="0" xfId="0" applyNumberFormat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2" fontId="4" fillId="0" borderId="1" xfId="1" applyNumberFormat="1" applyFont="1" applyBorder="1" applyAlignment="1" applyProtection="1">
      <alignment horizontal="center" vertical="center"/>
      <protection locked="0"/>
    </xf>
    <xf numFmtId="2" fontId="0" fillId="0" borderId="1" xfId="0" applyNumberFormat="1" applyBorder="1" applyAlignment="1">
      <alignment horizontal="center" vertical="center" wrapText="1"/>
    </xf>
    <xf numFmtId="1" fontId="0" fillId="0" borderId="0" xfId="0" applyNumberFormat="1" applyAlignment="1">
      <alignment horizontal="left" vertical="center" indent="3"/>
    </xf>
    <xf numFmtId="1" fontId="0" fillId="0" borderId="0" xfId="0" applyNumberFormat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5" fillId="0" borderId="18" xfId="0" applyFont="1" applyBorder="1" applyAlignment="1">
      <alignment horizontal="left" vertical="center" indent="1"/>
    </xf>
    <xf numFmtId="0" fontId="1" fillId="0" borderId="0" xfId="0" applyFont="1" applyAlignment="1">
      <alignment horizontal="center"/>
    </xf>
    <xf numFmtId="166" fontId="0" fillId="0" borderId="0" xfId="0" applyNumberFormat="1" applyAlignment="1">
      <alignment horizontal="center"/>
    </xf>
    <xf numFmtId="0" fontId="54" fillId="12" borderId="10" xfId="0" applyFont="1" applyFill="1" applyBorder="1" applyAlignment="1">
      <alignment horizontal="center" vertical="center"/>
    </xf>
    <xf numFmtId="0" fontId="36" fillId="12" borderId="10" xfId="0" applyFont="1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166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2" fontId="0" fillId="5" borderId="10" xfId="0" applyNumberFormat="1" applyFill="1" applyBorder="1" applyAlignment="1">
      <alignment horizontal="center" vertical="center"/>
    </xf>
    <xf numFmtId="0" fontId="30" fillId="0" borderId="0" xfId="0" applyFont="1" applyAlignment="1">
      <alignment horizontal="left" vertical="center" indent="1"/>
    </xf>
    <xf numFmtId="0" fontId="56" fillId="0" borderId="0" xfId="0" applyFont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164" fontId="4" fillId="0" borderId="10" xfId="1" applyNumberFormat="1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0" fontId="4" fillId="0" borderId="23" xfId="1" applyFont="1" applyBorder="1" applyAlignment="1">
      <alignment horizontal="right" vertical="center"/>
    </xf>
    <xf numFmtId="0" fontId="4" fillId="0" borderId="25" xfId="1" applyFont="1" applyBorder="1" applyAlignment="1">
      <alignment horizontal="left" vertical="center" indent="1"/>
    </xf>
    <xf numFmtId="2" fontId="4" fillId="0" borderId="23" xfId="0" applyNumberFormat="1" applyFont="1" applyBorder="1" applyAlignment="1">
      <alignment horizontal="right" vertical="center"/>
    </xf>
    <xf numFmtId="2" fontId="4" fillId="0" borderId="25" xfId="1" applyNumberFormat="1" applyFont="1" applyBorder="1" applyAlignment="1">
      <alignment horizontal="left" vertical="center" indent="1"/>
    </xf>
    <xf numFmtId="164" fontId="4" fillId="0" borderId="25" xfId="1" applyNumberFormat="1" applyFont="1" applyBorder="1" applyAlignment="1">
      <alignment horizontal="left" vertical="center" indent="1"/>
    </xf>
    <xf numFmtId="0" fontId="33" fillId="0" borderId="18" xfId="0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13" fillId="3" borderId="10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2" fontId="2" fillId="0" borderId="10" xfId="0" applyNumberFormat="1" applyFont="1" applyBorder="1" applyAlignment="1">
      <alignment horizontal="center" vertical="center"/>
    </xf>
    <xf numFmtId="164" fontId="2" fillId="4" borderId="10" xfId="0" applyNumberFormat="1" applyFont="1" applyFill="1" applyBorder="1" applyAlignment="1">
      <alignment horizontal="center" vertical="center"/>
    </xf>
    <xf numFmtId="164" fontId="2" fillId="2" borderId="10" xfId="0" applyNumberFormat="1" applyFont="1" applyFill="1" applyBorder="1" applyAlignment="1">
      <alignment horizontal="center" vertical="center"/>
    </xf>
    <xf numFmtId="0" fontId="13" fillId="10" borderId="10" xfId="0" applyFont="1" applyFill="1" applyBorder="1" applyAlignment="1">
      <alignment horizontal="right" vertical="center"/>
    </xf>
    <xf numFmtId="164" fontId="13" fillId="10" borderId="10" xfId="0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/>
    </xf>
    <xf numFmtId="0" fontId="13" fillId="11" borderId="10" xfId="0" applyFont="1" applyFill="1" applyBorder="1" applyAlignment="1">
      <alignment horizontal="right" vertical="center"/>
    </xf>
    <xf numFmtId="164" fontId="13" fillId="11" borderId="10" xfId="0" applyNumberFormat="1" applyFont="1" applyFill="1" applyBorder="1" applyAlignment="1">
      <alignment horizontal="center" vertical="center"/>
    </xf>
    <xf numFmtId="11" fontId="4" fillId="0" borderId="15" xfId="0" applyNumberFormat="1" applyFont="1" applyBorder="1" applyAlignment="1">
      <alignment horizontal="center" vertical="center"/>
    </xf>
    <xf numFmtId="2" fontId="4" fillId="0" borderId="10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0" fontId="13" fillId="10" borderId="10" xfId="0" applyFont="1" applyFill="1" applyBorder="1" applyAlignment="1">
      <alignment horizontal="right" vertical="center" indent="1"/>
    </xf>
    <xf numFmtId="0" fontId="13" fillId="11" borderId="10" xfId="0" applyFont="1" applyFill="1" applyBorder="1" applyAlignment="1">
      <alignment horizontal="right" vertical="center" indent="1"/>
    </xf>
    <xf numFmtId="1" fontId="4" fillId="0" borderId="10" xfId="0" applyNumberFormat="1" applyFont="1" applyBorder="1" applyAlignment="1">
      <alignment horizontal="center" vertical="center"/>
    </xf>
    <xf numFmtId="11" fontId="4" fillId="0" borderId="10" xfId="0" applyNumberFormat="1" applyFont="1" applyBorder="1" applyAlignment="1">
      <alignment horizontal="center" vertical="center"/>
    </xf>
    <xf numFmtId="165" fontId="4" fillId="0" borderId="10" xfId="1" applyNumberFormat="1" applyFont="1" applyBorder="1" applyAlignment="1">
      <alignment horizontal="center" vertical="center"/>
    </xf>
    <xf numFmtId="2" fontId="4" fillId="0" borderId="10" xfId="1" applyNumberFormat="1" applyFont="1" applyBorder="1" applyAlignment="1">
      <alignment horizontal="center" vertical="center"/>
    </xf>
    <xf numFmtId="1" fontId="4" fillId="0" borderId="10" xfId="1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" fontId="4" fillId="0" borderId="10" xfId="0" applyNumberFormat="1" applyFont="1" applyBorder="1" applyAlignment="1" applyProtection="1">
      <alignment horizontal="center" vertical="center"/>
      <protection locked="0"/>
    </xf>
    <xf numFmtId="0" fontId="34" fillId="6" borderId="13" xfId="1" applyFont="1" applyFill="1" applyBorder="1" applyAlignment="1">
      <alignment horizontal="center" vertical="center"/>
    </xf>
    <xf numFmtId="0" fontId="49" fillId="0" borderId="18" xfId="0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36" fillId="8" borderId="1" xfId="0" applyFont="1" applyFill="1" applyBorder="1" applyAlignment="1">
      <alignment horizontal="center" vertical="center"/>
    </xf>
    <xf numFmtId="49" fontId="36" fillId="8" borderId="1" xfId="0" applyNumberFormat="1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36" fillId="8" borderId="12" xfId="0" applyFont="1" applyFill="1" applyBorder="1" applyAlignment="1">
      <alignment horizontal="center" vertical="center"/>
    </xf>
    <xf numFmtId="0" fontId="50" fillId="8" borderId="14" xfId="0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left" vertical="center" indent="1"/>
    </xf>
    <xf numFmtId="49" fontId="24" fillId="0" borderId="1" xfId="0" applyNumberFormat="1" applyFont="1" applyBorder="1" applyAlignment="1">
      <alignment horizontal="left" vertical="center" indent="1"/>
    </xf>
    <xf numFmtId="49" fontId="24" fillId="2" borderId="1" xfId="0" applyNumberFormat="1" applyFont="1" applyFill="1" applyBorder="1" applyAlignment="1">
      <alignment horizontal="left" vertical="center" indent="1"/>
    </xf>
    <xf numFmtId="49" fontId="24" fillId="4" borderId="1" xfId="0" applyNumberFormat="1" applyFont="1" applyFill="1" applyBorder="1" applyAlignment="1">
      <alignment horizontal="left" vertical="center" indent="1"/>
    </xf>
    <xf numFmtId="49" fontId="24" fillId="3" borderId="1" xfId="0" applyNumberFormat="1" applyFont="1" applyFill="1" applyBorder="1" applyAlignment="1">
      <alignment horizontal="left" vertical="center" indent="1"/>
    </xf>
    <xf numFmtId="49" fontId="36" fillId="8" borderId="12" xfId="0" applyNumberFormat="1" applyFont="1" applyFill="1" applyBorder="1" applyAlignment="1">
      <alignment horizontal="center" vertical="center"/>
    </xf>
    <xf numFmtId="49" fontId="36" fillId="8" borderId="20" xfId="0" applyNumberFormat="1" applyFont="1" applyFill="1" applyBorder="1" applyAlignment="1">
      <alignment horizontal="center" vertical="center"/>
    </xf>
    <xf numFmtId="49" fontId="36" fillId="8" borderId="21" xfId="0" applyNumberFormat="1" applyFont="1" applyFill="1" applyBorder="1" applyAlignment="1">
      <alignment horizontal="center" vertical="center"/>
    </xf>
    <xf numFmtId="49" fontId="36" fillId="8" borderId="18" xfId="0" applyNumberFormat="1" applyFont="1" applyFill="1" applyBorder="1" applyAlignment="1">
      <alignment horizontal="center" vertical="center"/>
    </xf>
    <xf numFmtId="49" fontId="36" fillId="8" borderId="11" xfId="0" applyNumberFormat="1" applyFont="1" applyFill="1" applyBorder="1" applyAlignment="1">
      <alignment horizontal="center" vertical="center"/>
    </xf>
    <xf numFmtId="0" fontId="56" fillId="0" borderId="23" xfId="0" applyFont="1" applyBorder="1" applyAlignment="1">
      <alignment horizontal="right" vertical="center" indent="1"/>
    </xf>
    <xf numFmtId="0" fontId="56" fillId="0" borderId="24" xfId="0" applyFont="1" applyBorder="1" applyAlignment="1">
      <alignment horizontal="right" vertical="center" indent="1"/>
    </xf>
    <xf numFmtId="0" fontId="56" fillId="0" borderId="25" xfId="0" applyFont="1" applyBorder="1" applyAlignment="1">
      <alignment horizontal="right" vertical="center" indent="1"/>
    </xf>
    <xf numFmtId="2" fontId="0" fillId="5" borderId="26" xfId="0" applyNumberFormat="1" applyFill="1" applyBorder="1" applyAlignment="1">
      <alignment horizontal="center" vertical="center"/>
    </xf>
    <xf numFmtId="2" fontId="0" fillId="5" borderId="27" xfId="0" applyNumberFormat="1" applyFill="1" applyBorder="1" applyAlignment="1">
      <alignment horizontal="center" vertical="center"/>
    </xf>
    <xf numFmtId="0" fontId="5" fillId="0" borderId="0" xfId="1" applyFont="1" applyAlignment="1">
      <alignment horizontal="left" vertical="center" indent="1"/>
    </xf>
    <xf numFmtId="0" fontId="5" fillId="0" borderId="11" xfId="1" applyFont="1" applyBorder="1" applyAlignment="1">
      <alignment horizontal="left" vertical="center" indent="1"/>
    </xf>
    <xf numFmtId="0" fontId="13" fillId="3" borderId="10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 wrapText="1"/>
    </xf>
    <xf numFmtId="2" fontId="24" fillId="0" borderId="1" xfId="0" applyNumberFormat="1" applyFont="1" applyBorder="1" applyAlignment="1">
      <alignment horizontal="left" vertical="center" indent="1"/>
    </xf>
    <xf numFmtId="0" fontId="36" fillId="9" borderId="1" xfId="0" applyFont="1" applyFill="1" applyBorder="1" applyAlignment="1">
      <alignment horizontal="center" vertical="center"/>
    </xf>
    <xf numFmtId="49" fontId="36" fillId="9" borderId="1" xfId="0" applyNumberFormat="1" applyFont="1" applyFill="1" applyBorder="1" applyAlignment="1">
      <alignment horizontal="center" vertical="center"/>
    </xf>
    <xf numFmtId="49" fontId="36" fillId="9" borderId="20" xfId="0" applyNumberFormat="1" applyFont="1" applyFill="1" applyBorder="1" applyAlignment="1">
      <alignment horizontal="center" vertical="center"/>
    </xf>
    <xf numFmtId="49" fontId="36" fillId="9" borderId="21" xfId="0" applyNumberFormat="1" applyFont="1" applyFill="1" applyBorder="1" applyAlignment="1">
      <alignment horizontal="center" vertical="center"/>
    </xf>
    <xf numFmtId="49" fontId="36" fillId="9" borderId="19" xfId="0" applyNumberFormat="1" applyFont="1" applyFill="1" applyBorder="1" applyAlignment="1">
      <alignment horizontal="center" vertical="center"/>
    </xf>
    <xf numFmtId="49" fontId="36" fillId="9" borderId="16" xfId="0" applyNumberFormat="1" applyFont="1" applyFill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left" vertical="center" wrapText="1" indent="1"/>
    </xf>
    <xf numFmtId="0" fontId="0" fillId="0" borderId="13" xfId="0" applyBorder="1" applyAlignment="1">
      <alignment horizontal="left" vertical="center" wrapText="1" indent="1"/>
    </xf>
    <xf numFmtId="0" fontId="0" fillId="0" borderId="4" xfId="0" applyBorder="1" applyAlignment="1">
      <alignment horizontal="left" vertical="center" wrapText="1" indent="1"/>
    </xf>
    <xf numFmtId="20" fontId="0" fillId="0" borderId="3" xfId="0" quotePrefix="1" applyNumberFormat="1" applyBorder="1" applyAlignment="1">
      <alignment horizontal="left" vertical="center" indent="1"/>
    </xf>
    <xf numFmtId="0" fontId="0" fillId="0" borderId="13" xfId="0" applyBorder="1" applyAlignment="1">
      <alignment horizontal="left" vertical="center" indent="1"/>
    </xf>
    <xf numFmtId="0" fontId="0" fillId="0" borderId="4" xfId="0" applyBorder="1" applyAlignment="1">
      <alignment horizontal="left" vertical="center" indent="1"/>
    </xf>
    <xf numFmtId="0" fontId="0" fillId="0" borderId="3" xfId="0" applyBorder="1" applyAlignment="1">
      <alignment horizontal="left" vertical="center" indent="1"/>
    </xf>
    <xf numFmtId="0" fontId="43" fillId="0" borderId="3" xfId="2" applyBorder="1" applyAlignment="1">
      <alignment horizontal="left" vertical="center" indent="1"/>
    </xf>
    <xf numFmtId="49" fontId="0" fillId="0" borderId="3" xfId="0" applyNumberFormat="1" applyBorder="1" applyAlignment="1">
      <alignment horizontal="left" vertical="center" wrapText="1"/>
    </xf>
    <xf numFmtId="49" fontId="0" fillId="0" borderId="4" xfId="0" applyNumberFormat="1" applyBorder="1" applyAlignment="1">
      <alignment horizontal="left" vertical="center" wrapText="1"/>
    </xf>
    <xf numFmtId="49" fontId="0" fillId="0" borderId="3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 wrapText="1"/>
    </xf>
    <xf numFmtId="0" fontId="13" fillId="3" borderId="14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/>
    </xf>
    <xf numFmtId="0" fontId="15" fillId="0" borderId="20" xfId="0" applyFont="1" applyBorder="1" applyAlignment="1">
      <alignment vertical="center"/>
    </xf>
    <xf numFmtId="0" fontId="15" fillId="0" borderId="18" xfId="0" applyFont="1" applyBorder="1" applyAlignment="1">
      <alignment vertical="center"/>
    </xf>
    <xf numFmtId="0" fontId="15" fillId="0" borderId="19" xfId="0" applyFont="1" applyBorder="1" applyAlignment="1">
      <alignment vertical="center"/>
    </xf>
    <xf numFmtId="0" fontId="57" fillId="0" borderId="10" xfId="0" applyFont="1" applyBorder="1" applyAlignment="1">
      <alignment horizontal="center" vertical="center"/>
    </xf>
    <xf numFmtId="1" fontId="58" fillId="0" borderId="10" xfId="1" applyNumberFormat="1" applyFont="1" applyBorder="1" applyAlignment="1">
      <alignment horizontal="center" vertical="center"/>
    </xf>
    <xf numFmtId="1" fontId="58" fillId="0" borderId="10" xfId="0" applyNumberFormat="1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 indent="1"/>
    </xf>
    <xf numFmtId="0" fontId="4" fillId="0" borderId="0" xfId="0" applyFont="1" applyBorder="1" applyAlignment="1">
      <alignment horizontal="right" vertical="center" indent="2"/>
    </xf>
    <xf numFmtId="1" fontId="58" fillId="4" borderId="4" xfId="1" applyNumberFormat="1" applyFont="1" applyFill="1" applyBorder="1" applyAlignment="1">
      <alignment horizontal="center" vertical="center"/>
    </xf>
    <xf numFmtId="1" fontId="58" fillId="4" borderId="4" xfId="0" applyNumberFormat="1" applyFont="1" applyFill="1" applyBorder="1" applyAlignment="1">
      <alignment horizontal="center" vertical="center"/>
    </xf>
    <xf numFmtId="0" fontId="36" fillId="13" borderId="0" xfId="0" applyFont="1" applyFill="1" applyAlignment="1">
      <alignment horizontal="center" vertical="center"/>
    </xf>
    <xf numFmtId="0" fontId="36" fillId="13" borderId="0" xfId="0" applyFont="1" applyFill="1" applyAlignment="1">
      <alignment vertical="center"/>
    </xf>
    <xf numFmtId="0" fontId="35" fillId="13" borderId="0" xfId="0" applyFont="1" applyFill="1"/>
    <xf numFmtId="0" fontId="36" fillId="13" borderId="0" xfId="1" applyFont="1" applyFill="1" applyAlignment="1">
      <alignment vertical="center"/>
    </xf>
    <xf numFmtId="0" fontId="42" fillId="13" borderId="0" xfId="0" applyFont="1" applyFill="1" applyAlignment="1">
      <alignment vertical="center"/>
    </xf>
    <xf numFmtId="0" fontId="45" fillId="13" borderId="0" xfId="0" applyFont="1" applyFill="1" applyAlignment="1">
      <alignment vertical="center"/>
    </xf>
    <xf numFmtId="0" fontId="45" fillId="13" borderId="0" xfId="0" applyFont="1" applyFill="1" applyAlignment="1">
      <alignment horizontal="left" vertical="center" indent="1"/>
    </xf>
    <xf numFmtId="0" fontId="42" fillId="13" borderId="0" xfId="0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 xr:uid="{9BB709C9-C676-4BA1-9A95-0C93F281965F}"/>
  </cellStyles>
  <dxfs count="4">
    <dxf>
      <font>
        <b/>
        <i/>
        <color theme="9" tint="-0.499984740745262"/>
      </font>
    </dxf>
    <dxf>
      <font>
        <b/>
        <i/>
        <color theme="0"/>
      </font>
      <fill>
        <patternFill>
          <bgColor rgb="FFC00000"/>
        </patternFill>
      </fill>
    </dxf>
    <dxf>
      <font>
        <b/>
        <i/>
        <color theme="9" tint="-0.499984740745262"/>
      </font>
      <fill>
        <patternFill>
          <bgColor theme="9" tint="0.79998168889431442"/>
        </patternFill>
      </fill>
    </dxf>
    <dxf>
      <font>
        <b/>
        <i/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293402777777779E-2"/>
          <c:y val="2.8222222222222221E-2"/>
          <c:w val="0.9360701388888889"/>
          <c:h val="0.9329722222222222"/>
        </c:manualLayout>
      </c:layout>
      <c:scatterChart>
        <c:scatterStyle val="lineMarker"/>
        <c:varyColors val="0"/>
        <c:ser>
          <c:idx val="10"/>
          <c:order val="0"/>
          <c:tx>
            <c:v>Fondasi</c:v>
          </c:tx>
          <c:spPr>
            <a:ln w="190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Table!$B$5:$F$5</c:f>
              <c:numCache>
                <c:formatCode>0.000</c:formatCode>
                <c:ptCount val="5"/>
                <c:pt idx="0">
                  <c:v>-41.666666666666671</c:v>
                </c:pt>
                <c:pt idx="1">
                  <c:v>-41.666666666666671</c:v>
                </c:pt>
                <c:pt idx="2">
                  <c:v>41.666666666666671</c:v>
                </c:pt>
                <c:pt idx="3">
                  <c:v>41.666666666666671</c:v>
                </c:pt>
                <c:pt idx="4">
                  <c:v>-41.666666666666671</c:v>
                </c:pt>
              </c:numCache>
            </c:numRef>
          </c:xVal>
          <c:yVal>
            <c:numRef>
              <c:f>Table!$B$6:$F$6</c:f>
              <c:numCache>
                <c:formatCode>0.000</c:formatCode>
                <c:ptCount val="5"/>
                <c:pt idx="0">
                  <c:v>-41.666666666666671</c:v>
                </c:pt>
                <c:pt idx="1">
                  <c:v>41.666666666666671</c:v>
                </c:pt>
                <c:pt idx="2">
                  <c:v>41.666666666666671</c:v>
                </c:pt>
                <c:pt idx="3">
                  <c:v>-41.666666666666671</c:v>
                </c:pt>
                <c:pt idx="4">
                  <c:v>-41.666666666666671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C01-4D6B-982A-DA4B20576412}"/>
            </c:ext>
          </c:extLst>
        </c:ser>
        <c:ser>
          <c:idx val="11"/>
          <c:order val="1"/>
          <c:tx>
            <c:v>Kolom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Table!$B$18:$F$18</c:f>
              <c:numCache>
                <c:formatCode>0.000</c:formatCode>
                <c:ptCount val="5"/>
                <c:pt idx="0">
                  <c:v>-13.020833333333334</c:v>
                </c:pt>
                <c:pt idx="1">
                  <c:v>-13.020833333333334</c:v>
                </c:pt>
                <c:pt idx="2">
                  <c:v>13.020833333333334</c:v>
                </c:pt>
                <c:pt idx="3">
                  <c:v>13.020833333333334</c:v>
                </c:pt>
                <c:pt idx="4">
                  <c:v>-13.020833333333334</c:v>
                </c:pt>
              </c:numCache>
            </c:numRef>
          </c:xVal>
          <c:yVal>
            <c:numRef>
              <c:f>Table!$B$19:$F$19</c:f>
              <c:numCache>
                <c:formatCode>0.000</c:formatCode>
                <c:ptCount val="5"/>
                <c:pt idx="0">
                  <c:v>-15.625</c:v>
                </c:pt>
                <c:pt idx="1">
                  <c:v>15.625</c:v>
                </c:pt>
                <c:pt idx="2">
                  <c:v>15.625</c:v>
                </c:pt>
                <c:pt idx="3">
                  <c:v>-15.625</c:v>
                </c:pt>
                <c:pt idx="4">
                  <c:v>-15.625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C01-4D6B-982A-DA4B20576412}"/>
            </c:ext>
          </c:extLst>
        </c:ser>
        <c:ser>
          <c:idx val="12"/>
          <c:order val="2"/>
          <c:tx>
            <c:v>Lx</c:v>
          </c:tx>
          <c:spPr>
            <a:ln w="158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Table!$B$10:$C$10</c:f>
              <c:numCache>
                <c:formatCode>0.000</c:formatCode>
                <c:ptCount val="2"/>
                <c:pt idx="0">
                  <c:v>-41.666666666666671</c:v>
                </c:pt>
                <c:pt idx="1">
                  <c:v>0</c:v>
                </c:pt>
              </c:numCache>
            </c:numRef>
          </c:xVal>
          <c:yVal>
            <c:numRef>
              <c:f>Table!$B$11:$C$11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C01-4D6B-982A-DA4B20576412}"/>
            </c:ext>
          </c:extLst>
        </c:ser>
        <c:ser>
          <c:idx val="13"/>
          <c:order val="3"/>
          <c:tx>
            <c:v>Lx</c:v>
          </c:tx>
          <c:spPr>
            <a:ln w="158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Table!$C$10:$D$10</c:f>
              <c:numCache>
                <c:formatCode>0.000</c:formatCode>
                <c:ptCount val="2"/>
                <c:pt idx="0">
                  <c:v>0</c:v>
                </c:pt>
                <c:pt idx="1">
                  <c:v>41.666666666666671</c:v>
                </c:pt>
              </c:numCache>
            </c:numRef>
          </c:xVal>
          <c:yVal>
            <c:numRef>
              <c:f>Table!$C$11:$D$11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C01-4D6B-982A-DA4B20576412}"/>
            </c:ext>
          </c:extLst>
        </c:ser>
        <c:ser>
          <c:idx val="14"/>
          <c:order val="4"/>
          <c:tx>
            <c:v>Ly</c:v>
          </c:tx>
          <c:spPr>
            <a:ln w="158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Table!$F$10:$G$10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xVal>
          <c:yVal>
            <c:numRef>
              <c:f>Table!$F$11:$G$11</c:f>
              <c:numCache>
                <c:formatCode>0.000</c:formatCode>
                <c:ptCount val="2"/>
                <c:pt idx="0">
                  <c:v>41.666666666666671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C01-4D6B-982A-DA4B20576412}"/>
            </c:ext>
          </c:extLst>
        </c:ser>
        <c:ser>
          <c:idx val="15"/>
          <c:order val="5"/>
          <c:tx>
            <c:v>Ly</c:v>
          </c:tx>
          <c:spPr>
            <a:ln w="158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Table!$G$10:$H$10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xVal>
          <c:yVal>
            <c:numRef>
              <c:f>Table!$G$11:$H$11</c:f>
              <c:numCache>
                <c:formatCode>0.000</c:formatCode>
                <c:ptCount val="2"/>
                <c:pt idx="0">
                  <c:v>0</c:v>
                </c:pt>
                <c:pt idx="1">
                  <c:v>-41.666666666666671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C01-4D6B-982A-DA4B20576412}"/>
            </c:ext>
          </c:extLst>
        </c:ser>
        <c:ser>
          <c:idx val="16"/>
          <c:order val="6"/>
          <c:tx>
            <c:v>bc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Table!$B$23:$C$23</c:f>
              <c:numCache>
                <c:formatCode>0.000</c:formatCode>
                <c:ptCount val="2"/>
                <c:pt idx="0">
                  <c:v>-13.020833333333334</c:v>
                </c:pt>
                <c:pt idx="1">
                  <c:v>0</c:v>
                </c:pt>
              </c:numCache>
            </c:numRef>
          </c:xVal>
          <c:yVal>
            <c:numRef>
              <c:f>Table!$B$24:$C$24</c:f>
              <c:numCache>
                <c:formatCode>0.000</c:formatCode>
                <c:ptCount val="2"/>
                <c:pt idx="0">
                  <c:v>-21.614583333333336</c:v>
                </c:pt>
                <c:pt idx="1">
                  <c:v>-21.614583333333336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C01-4D6B-982A-DA4B20576412}"/>
            </c:ext>
          </c:extLst>
        </c:ser>
        <c:ser>
          <c:idx val="17"/>
          <c:order val="7"/>
          <c:tx>
            <c:v>bc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Table!$C$23:$D$23</c:f>
              <c:numCache>
                <c:formatCode>0.000</c:formatCode>
                <c:ptCount val="2"/>
                <c:pt idx="0">
                  <c:v>0</c:v>
                </c:pt>
                <c:pt idx="1">
                  <c:v>13.020833333333334</c:v>
                </c:pt>
              </c:numCache>
            </c:numRef>
          </c:xVal>
          <c:yVal>
            <c:numRef>
              <c:f>Table!$C$24:$D$24</c:f>
              <c:numCache>
                <c:formatCode>0.000</c:formatCode>
                <c:ptCount val="2"/>
                <c:pt idx="0">
                  <c:v>-21.614583333333336</c:v>
                </c:pt>
                <c:pt idx="1">
                  <c:v>-21.614583333333336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C01-4D6B-982A-DA4B20576412}"/>
            </c:ext>
          </c:extLst>
        </c:ser>
        <c:ser>
          <c:idx val="18"/>
          <c:order val="8"/>
          <c:tx>
            <c:v>wc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Table!$F$23:$G$23</c:f>
              <c:numCache>
                <c:formatCode>0.000</c:formatCode>
                <c:ptCount val="2"/>
                <c:pt idx="0">
                  <c:v>19.010416666666664</c:v>
                </c:pt>
                <c:pt idx="1">
                  <c:v>19.010416666666664</c:v>
                </c:pt>
              </c:numCache>
            </c:numRef>
          </c:xVal>
          <c:yVal>
            <c:numRef>
              <c:f>Table!$F$24:$G$24</c:f>
              <c:numCache>
                <c:formatCode>0.000</c:formatCode>
                <c:ptCount val="2"/>
                <c:pt idx="0">
                  <c:v>15.625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0C01-4D6B-982A-DA4B20576412}"/>
            </c:ext>
          </c:extLst>
        </c:ser>
        <c:ser>
          <c:idx val="19"/>
          <c:order val="9"/>
          <c:tx>
            <c:v>wc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Table!$G$23:$H$23</c:f>
              <c:numCache>
                <c:formatCode>0.000</c:formatCode>
                <c:ptCount val="2"/>
                <c:pt idx="0">
                  <c:v>19.010416666666664</c:v>
                </c:pt>
                <c:pt idx="1">
                  <c:v>19.010416666666664</c:v>
                </c:pt>
              </c:numCache>
            </c:numRef>
          </c:xVal>
          <c:yVal>
            <c:numRef>
              <c:f>Table!$G$24:$H$24</c:f>
              <c:numCache>
                <c:formatCode>0.000</c:formatCode>
                <c:ptCount val="2"/>
                <c:pt idx="0">
                  <c:v>0</c:v>
                </c:pt>
                <c:pt idx="1">
                  <c:v>-15.625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0C01-4D6B-982A-DA4B20576412}"/>
            </c:ext>
          </c:extLst>
        </c:ser>
        <c:ser>
          <c:idx val="0"/>
          <c:order val="10"/>
          <c:tx>
            <c:v>Fondasi</c:v>
          </c:tx>
          <c:spPr>
            <a:ln w="19050" cap="rnd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C01-4D6B-982A-DA4B2057641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ID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0C01-4D6B-982A-DA4B2057641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ID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0C01-4D6B-982A-DA4B2057641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ID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0C01-4D6B-982A-DA4B20576412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ID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0C01-4D6B-982A-DA4B205764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Table!$B$5:$F$5</c:f>
              <c:numCache>
                <c:formatCode>0.000</c:formatCode>
                <c:ptCount val="5"/>
                <c:pt idx="0">
                  <c:v>-41.666666666666671</c:v>
                </c:pt>
                <c:pt idx="1">
                  <c:v>-41.666666666666671</c:v>
                </c:pt>
                <c:pt idx="2">
                  <c:v>41.666666666666671</c:v>
                </c:pt>
                <c:pt idx="3">
                  <c:v>41.666666666666671</c:v>
                </c:pt>
                <c:pt idx="4">
                  <c:v>-41.666666666666671</c:v>
                </c:pt>
              </c:numCache>
            </c:numRef>
          </c:xVal>
          <c:yVal>
            <c:numRef>
              <c:f>Table!$B$6:$F$6</c:f>
              <c:numCache>
                <c:formatCode>0.000</c:formatCode>
                <c:ptCount val="5"/>
                <c:pt idx="0">
                  <c:v>-41.666666666666671</c:v>
                </c:pt>
                <c:pt idx="1">
                  <c:v>41.666666666666671</c:v>
                </c:pt>
                <c:pt idx="2">
                  <c:v>41.666666666666671</c:v>
                </c:pt>
                <c:pt idx="3">
                  <c:v>-41.666666666666671</c:v>
                </c:pt>
                <c:pt idx="4">
                  <c:v>-41.666666666666671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Table!$A$1</c15:f>
                <c15:dlblRangeCache>
                  <c:ptCount val="1"/>
                  <c:pt idx="0">
                    <c:v>Fondasi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F-0C01-4D6B-982A-DA4B20576412}"/>
            </c:ext>
          </c:extLst>
        </c:ser>
        <c:ser>
          <c:idx val="1"/>
          <c:order val="11"/>
          <c:tx>
            <c:v>Kolom</c:v>
          </c:tx>
          <c:spPr>
            <a:ln w="19050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C01-4D6B-982A-DA4B2057641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C01-4D6B-982A-DA4B2057641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ID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0C01-4D6B-982A-DA4B2057641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ID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0C01-4D6B-982A-DA4B20576412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ID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0C01-4D6B-982A-DA4B205764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Table!$B$18:$F$18</c:f>
              <c:numCache>
                <c:formatCode>0.000</c:formatCode>
                <c:ptCount val="5"/>
                <c:pt idx="0">
                  <c:v>-13.020833333333334</c:v>
                </c:pt>
                <c:pt idx="1">
                  <c:v>-13.020833333333334</c:v>
                </c:pt>
                <c:pt idx="2">
                  <c:v>13.020833333333334</c:v>
                </c:pt>
                <c:pt idx="3">
                  <c:v>13.020833333333334</c:v>
                </c:pt>
                <c:pt idx="4">
                  <c:v>-13.020833333333334</c:v>
                </c:pt>
              </c:numCache>
            </c:numRef>
          </c:xVal>
          <c:yVal>
            <c:numRef>
              <c:f>Table!$B$19:$F$19</c:f>
              <c:numCache>
                <c:formatCode>0.000</c:formatCode>
                <c:ptCount val="5"/>
                <c:pt idx="0">
                  <c:v>-15.625</c:v>
                </c:pt>
                <c:pt idx="1">
                  <c:v>15.625</c:v>
                </c:pt>
                <c:pt idx="2">
                  <c:v>15.625</c:v>
                </c:pt>
                <c:pt idx="3">
                  <c:v>-15.625</c:v>
                </c:pt>
                <c:pt idx="4">
                  <c:v>-15.625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Table!$A$14</c15:f>
                <c15:dlblRangeCache>
                  <c:ptCount val="1"/>
                  <c:pt idx="0">
                    <c:v>Kolom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5-0C01-4D6B-982A-DA4B20576412}"/>
            </c:ext>
          </c:extLst>
        </c:ser>
        <c:ser>
          <c:idx val="2"/>
          <c:order val="12"/>
          <c:tx>
            <c:v>Lx</c:v>
          </c:tx>
          <c:spPr>
            <a:ln w="158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5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0C01-4D6B-982A-DA4B20576412}"/>
              </c:ext>
            </c:extLst>
          </c:dPt>
          <c:xVal>
            <c:numRef>
              <c:f>Table!$B$10:$C$10</c:f>
              <c:numCache>
                <c:formatCode>0.000</c:formatCode>
                <c:ptCount val="2"/>
                <c:pt idx="0">
                  <c:v>-41.666666666666671</c:v>
                </c:pt>
                <c:pt idx="1">
                  <c:v>0</c:v>
                </c:pt>
              </c:numCache>
            </c:numRef>
          </c:xVal>
          <c:yVal>
            <c:numRef>
              <c:f>Table!$B$11:$C$11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0C01-4D6B-982A-DA4B20576412}"/>
            </c:ext>
          </c:extLst>
        </c:ser>
        <c:ser>
          <c:idx val="3"/>
          <c:order val="13"/>
          <c:tx>
            <c:v>Lx</c:v>
          </c:tx>
          <c:spPr>
            <a:ln w="158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8-0C01-4D6B-982A-DA4B20576412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97F73905-BD29-4E0A-B192-BC243B22FA18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A7BD9456-022E-429E-9CD2-FD1A96026AE0}" type="SERIESNAME">
                      <a:rPr lang="en-US" baseline="0"/>
                      <a:pPr/>
                      <a:t>[SERIES NAME]</a:t>
                    </a:fld>
                    <a:endParaRPr lang="en-US" baseline="0"/>
                  </a:p>
                </c:rich>
              </c:tx>
              <c:dLblPos val="b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8-0C01-4D6B-982A-DA4B2057641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19-0C01-4D6B-982A-DA4B205764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Table!$C$10:$D$10</c:f>
              <c:numCache>
                <c:formatCode>0.000</c:formatCode>
                <c:ptCount val="2"/>
                <c:pt idx="0">
                  <c:v>0</c:v>
                </c:pt>
                <c:pt idx="1">
                  <c:v>41.666666666666671</c:v>
                </c:pt>
              </c:numCache>
            </c:numRef>
          </c:xVal>
          <c:yVal>
            <c:numRef>
              <c:f>Table!$C$11:$D$11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'Input Data'!$H$30</c15:f>
                <c15:dlblRangeCache>
                  <c:ptCount val="1"/>
                  <c:pt idx="0">
                    <c:v>1,60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A-0C01-4D6B-982A-DA4B20576412}"/>
            </c:ext>
          </c:extLst>
        </c:ser>
        <c:ser>
          <c:idx val="4"/>
          <c:order val="14"/>
          <c:tx>
            <c:v>Ly</c:v>
          </c:tx>
          <c:spPr>
            <a:ln w="158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5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B-0C01-4D6B-982A-DA4B20576412}"/>
              </c:ext>
            </c:extLst>
          </c:dPt>
          <c:xVal>
            <c:numRef>
              <c:f>Table!$F$10:$G$10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xVal>
          <c:yVal>
            <c:numRef>
              <c:f>Table!$F$11:$G$11</c:f>
              <c:numCache>
                <c:formatCode>0.000</c:formatCode>
                <c:ptCount val="2"/>
                <c:pt idx="0">
                  <c:v>41.666666666666671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0C01-4D6B-982A-DA4B20576412}"/>
            </c:ext>
          </c:extLst>
        </c:ser>
        <c:ser>
          <c:idx val="5"/>
          <c:order val="15"/>
          <c:tx>
            <c:v>Ly</c:v>
          </c:tx>
          <c:spPr>
            <a:ln w="158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D-0C01-4D6B-982A-DA4B20576412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F2E99316-E618-4056-B461-6CF15E712539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27B186D2-E09F-4935-B1E8-76F16849E8D1}" type="SERIESNAME">
                      <a:rPr lang="en-US" baseline="0"/>
                      <a:pPr/>
                      <a:t>[SERIES NAME]</a:t>
                    </a:fld>
                    <a:endParaRPr lang="en-US" baseline="0"/>
                  </a:p>
                </c:rich>
              </c:tx>
              <c:dLblPos val="l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0C01-4D6B-982A-DA4B2057641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0C01-4D6B-982A-DA4B205764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Table!$G$10:$H$10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xVal>
          <c:yVal>
            <c:numRef>
              <c:f>Table!$G$11:$H$11</c:f>
              <c:numCache>
                <c:formatCode>0.000</c:formatCode>
                <c:ptCount val="2"/>
                <c:pt idx="0">
                  <c:v>0</c:v>
                </c:pt>
                <c:pt idx="1">
                  <c:v>-41.666666666666671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'Input Data'!$H$31</c15:f>
                <c15:dlblRangeCache>
                  <c:ptCount val="1"/>
                  <c:pt idx="0">
                    <c:v>1,60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F-0C01-4D6B-982A-DA4B20576412}"/>
            </c:ext>
          </c:extLst>
        </c:ser>
        <c:ser>
          <c:idx val="6"/>
          <c:order val="16"/>
          <c:tx>
            <c:v>bc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0-0C01-4D6B-982A-DA4B20576412}"/>
              </c:ext>
            </c:extLst>
          </c:dPt>
          <c:xVal>
            <c:numRef>
              <c:f>Table!$B$23:$C$23</c:f>
              <c:numCache>
                <c:formatCode>0.000</c:formatCode>
                <c:ptCount val="2"/>
                <c:pt idx="0">
                  <c:v>-13.020833333333334</c:v>
                </c:pt>
                <c:pt idx="1">
                  <c:v>0</c:v>
                </c:pt>
              </c:numCache>
            </c:numRef>
          </c:xVal>
          <c:yVal>
            <c:numRef>
              <c:f>Table!$B$24:$C$24</c:f>
              <c:numCache>
                <c:formatCode>0.000</c:formatCode>
                <c:ptCount val="2"/>
                <c:pt idx="0">
                  <c:v>-21.614583333333336</c:v>
                </c:pt>
                <c:pt idx="1">
                  <c:v>-21.614583333333336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0C01-4D6B-982A-DA4B20576412}"/>
            </c:ext>
          </c:extLst>
        </c:ser>
        <c:ser>
          <c:idx val="7"/>
          <c:order val="17"/>
          <c:tx>
            <c:v>bc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2-0C01-4D6B-982A-DA4B20576412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0C01-4D6B-982A-DA4B2057641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0C01-4D6B-982A-DA4B205764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Table!$C$23:$D$23</c:f>
              <c:numCache>
                <c:formatCode>0.000</c:formatCode>
                <c:ptCount val="2"/>
                <c:pt idx="0">
                  <c:v>0</c:v>
                </c:pt>
                <c:pt idx="1">
                  <c:v>13.020833333333334</c:v>
                </c:pt>
              </c:numCache>
            </c:numRef>
          </c:xVal>
          <c:yVal>
            <c:numRef>
              <c:f>Table!$C$24:$D$24</c:f>
              <c:numCache>
                <c:formatCode>0.000</c:formatCode>
                <c:ptCount val="2"/>
                <c:pt idx="0">
                  <c:v>-21.614583333333336</c:v>
                </c:pt>
                <c:pt idx="1">
                  <c:v>-21.614583333333336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4-0C01-4D6B-982A-DA4B20576412}"/>
            </c:ext>
          </c:extLst>
        </c:ser>
        <c:ser>
          <c:idx val="8"/>
          <c:order val="18"/>
          <c:tx>
            <c:v>wc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5-0C01-4D6B-982A-DA4B20576412}"/>
              </c:ext>
            </c:extLst>
          </c:dPt>
          <c:xVal>
            <c:numRef>
              <c:f>Table!$F$23:$G$23</c:f>
              <c:numCache>
                <c:formatCode>0.000</c:formatCode>
                <c:ptCount val="2"/>
                <c:pt idx="0">
                  <c:v>19.010416666666664</c:v>
                </c:pt>
                <c:pt idx="1">
                  <c:v>19.010416666666664</c:v>
                </c:pt>
              </c:numCache>
            </c:numRef>
          </c:xVal>
          <c:yVal>
            <c:numRef>
              <c:f>Table!$F$24:$G$24</c:f>
              <c:numCache>
                <c:formatCode>0.000</c:formatCode>
                <c:ptCount val="2"/>
                <c:pt idx="0">
                  <c:v>15.625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6-0C01-4D6B-982A-DA4B20576412}"/>
            </c:ext>
          </c:extLst>
        </c:ser>
        <c:ser>
          <c:idx val="9"/>
          <c:order val="19"/>
          <c:tx>
            <c:v>wc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7-0C01-4D6B-982A-DA4B20576412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0C01-4D6B-982A-DA4B2057641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0C01-4D6B-982A-DA4B205764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Table!$G$23:$H$23</c:f>
              <c:numCache>
                <c:formatCode>0.000</c:formatCode>
                <c:ptCount val="2"/>
                <c:pt idx="0">
                  <c:v>19.010416666666664</c:v>
                </c:pt>
                <c:pt idx="1">
                  <c:v>19.010416666666664</c:v>
                </c:pt>
              </c:numCache>
            </c:numRef>
          </c:xVal>
          <c:yVal>
            <c:numRef>
              <c:f>Table!$G$24:$H$24</c:f>
              <c:numCache>
                <c:formatCode>0.000</c:formatCode>
                <c:ptCount val="2"/>
                <c:pt idx="0">
                  <c:v>0</c:v>
                </c:pt>
                <c:pt idx="1">
                  <c:v>-15.625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0C01-4D6B-982A-DA4B205764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3845560"/>
        <c:axId val="693852760"/>
      </c:scatterChart>
      <c:valAx>
        <c:axId val="693845560"/>
        <c:scaling>
          <c:orientation val="minMax"/>
          <c:max val="60"/>
          <c:min val="-60"/>
        </c:scaling>
        <c:delete val="1"/>
        <c:axPos val="b"/>
        <c:numFmt formatCode="0.000" sourceLinked="1"/>
        <c:majorTickMark val="out"/>
        <c:minorTickMark val="none"/>
        <c:tickLblPos val="nextTo"/>
        <c:crossAx val="693852760"/>
        <c:crosses val="autoZero"/>
        <c:crossBetween val="midCat"/>
      </c:valAx>
      <c:valAx>
        <c:axId val="693852760"/>
        <c:scaling>
          <c:orientation val="minMax"/>
          <c:max val="60"/>
          <c:min val="-60"/>
        </c:scaling>
        <c:delete val="1"/>
        <c:axPos val="l"/>
        <c:numFmt formatCode="0.000" sourceLinked="1"/>
        <c:majorTickMark val="out"/>
        <c:minorTickMark val="none"/>
        <c:tickLblPos val="nextTo"/>
        <c:crossAx val="693845560"/>
        <c:crosses val="autoZero"/>
        <c:crossBetween val="midCat"/>
      </c:valAx>
      <c:spPr>
        <a:solidFill>
          <a:schemeClr val="lt1"/>
        </a:solidFill>
        <a:ln w="12700" cap="flat" cmpd="sng" algn="ctr">
          <a:noFill/>
          <a:prstDash val="solid"/>
          <a:miter lim="800000"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293402777777779E-2"/>
          <c:y val="2.8222222222222221E-2"/>
          <c:w val="0.9360701388888889"/>
          <c:h val="0.9329722222222222"/>
        </c:manualLayout>
      </c:layout>
      <c:scatterChart>
        <c:scatterStyle val="lineMarker"/>
        <c:varyColors val="0"/>
        <c:ser>
          <c:idx val="10"/>
          <c:order val="0"/>
          <c:tx>
            <c:v>Fondasi</c:v>
          </c:tx>
          <c:spPr>
            <a:ln w="19050" cap="rnd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-3.9577274541978749E-2"/>
                  <c:y val="-7.8486952831607462E-2"/>
                </c:manualLayout>
              </c:layout>
              <c:tx>
                <c:rich>
                  <a:bodyPr/>
                  <a:lstStyle/>
                  <a:p>
                    <a:fld id="{B0F1567E-43F5-44D8-834E-63CFEFFECE21}" type="SERIESNAME">
                      <a:rPr lang="en-US"/>
                      <a:pPr/>
                      <a:t>[SERIES NAME]</a:t>
                    </a:fld>
                    <a:endParaRPr lang="en-ID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F1CA-451A-BEE3-B481CB716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Table!$B$30:$F$30</c:f>
              <c:numCache>
                <c:formatCode>0.000</c:formatCode>
                <c:ptCount val="5"/>
                <c:pt idx="0">
                  <c:v>-27.777777777777779</c:v>
                </c:pt>
                <c:pt idx="1">
                  <c:v>-27.777777777777779</c:v>
                </c:pt>
                <c:pt idx="2">
                  <c:v>27.777777777777779</c:v>
                </c:pt>
                <c:pt idx="3">
                  <c:v>27.777777777777779</c:v>
                </c:pt>
                <c:pt idx="4">
                  <c:v>-27.777777777777779</c:v>
                </c:pt>
              </c:numCache>
            </c:numRef>
          </c:xVal>
          <c:yVal>
            <c:numRef>
              <c:f>Table!$B$31:$F$31</c:f>
              <c:numCache>
                <c:formatCode>0.000</c:formatCode>
                <c:ptCount val="5"/>
                <c:pt idx="0">
                  <c:v>-41.666666666666671</c:v>
                </c:pt>
                <c:pt idx="1">
                  <c:v>-27.777777777777779</c:v>
                </c:pt>
                <c:pt idx="2">
                  <c:v>-27.777777777777779</c:v>
                </c:pt>
                <c:pt idx="3">
                  <c:v>-41.666666666666671</c:v>
                </c:pt>
                <c:pt idx="4">
                  <c:v>-41.666666666666671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1CA-451A-BEE3-B481CB716E17}"/>
            </c:ext>
          </c:extLst>
        </c:ser>
        <c:ser>
          <c:idx val="11"/>
          <c:order val="1"/>
          <c:tx>
            <c:v>Kolom</c:v>
          </c:tx>
          <c:spPr>
            <a:ln w="19050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tx>
                <c:rich>
                  <a:bodyPr/>
                  <a:lstStyle/>
                  <a:p>
                    <a:fld id="{1820A3C2-7BC6-4B1B-BD70-BB54975F9B28}" type="SERIESNAME">
                      <a:rPr lang="en-US"/>
                      <a:pPr/>
                      <a:t>[SERIES NAME]</a:t>
                    </a:fld>
                    <a:endParaRPr lang="en-ID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F1CA-451A-BEE3-B481CB716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Table!$B$49:$E$49</c:f>
              <c:numCache>
                <c:formatCode>0.000</c:formatCode>
                <c:ptCount val="4"/>
                <c:pt idx="0">
                  <c:v>-8.6805555555555554</c:v>
                </c:pt>
                <c:pt idx="1">
                  <c:v>-8.6805555555555554</c:v>
                </c:pt>
                <c:pt idx="2">
                  <c:v>8.6805555555555554</c:v>
                </c:pt>
                <c:pt idx="3">
                  <c:v>8.6805555555555554</c:v>
                </c:pt>
              </c:numCache>
            </c:numRef>
          </c:xVal>
          <c:yVal>
            <c:numRef>
              <c:f>Table!$B$50:$E$50</c:f>
              <c:numCache>
                <c:formatCode>0.000</c:formatCode>
                <c:ptCount val="4"/>
                <c:pt idx="0">
                  <c:v>-27.777777777777779</c:v>
                </c:pt>
                <c:pt idx="1">
                  <c:v>41.666666666666671</c:v>
                </c:pt>
                <c:pt idx="2">
                  <c:v>41.666666666666671</c:v>
                </c:pt>
                <c:pt idx="3">
                  <c:v>-27.777777777777779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1CA-451A-BEE3-B481CB716E17}"/>
            </c:ext>
          </c:extLst>
        </c:ser>
        <c:ser>
          <c:idx val="0"/>
          <c:order val="2"/>
          <c:tx>
            <c:v>Tanah 1</c:v>
          </c:tx>
          <c:spPr>
            <a:ln w="158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Table!$B$42:$C$42</c:f>
              <c:numCache>
                <c:formatCode>0.000</c:formatCode>
                <c:ptCount val="2"/>
                <c:pt idx="0">
                  <c:v>-48.611111111111107</c:v>
                </c:pt>
                <c:pt idx="1">
                  <c:v>-8.6805555555555554</c:v>
                </c:pt>
              </c:numCache>
            </c:numRef>
          </c:xVal>
          <c:yVal>
            <c:numRef>
              <c:f>Table!$B$43:$C$43</c:f>
              <c:numCache>
                <c:formatCode>0.000</c:formatCode>
                <c:ptCount val="2"/>
                <c:pt idx="0">
                  <c:v>27.777777777777779</c:v>
                </c:pt>
                <c:pt idx="1">
                  <c:v>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1CA-451A-BEE3-B481CB716E17}"/>
            </c:ext>
          </c:extLst>
        </c:ser>
        <c:ser>
          <c:idx val="1"/>
          <c:order val="3"/>
          <c:tx>
            <c:v>Tanah 2</c:v>
          </c:tx>
          <c:spPr>
            <a:ln w="15875" cap="rnd">
              <a:solidFill>
                <a:schemeClr val="accent2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Table!$D$42:$E$42</c:f>
              <c:numCache>
                <c:formatCode>0.000</c:formatCode>
                <c:ptCount val="2"/>
                <c:pt idx="0">
                  <c:v>8.6805555555555554</c:v>
                </c:pt>
                <c:pt idx="1">
                  <c:v>48.611111111111107</c:v>
                </c:pt>
              </c:numCache>
            </c:numRef>
          </c:xVal>
          <c:yVal>
            <c:numRef>
              <c:f>Table!$D$43:$E$43</c:f>
              <c:numCache>
                <c:formatCode>0.000</c:formatCode>
                <c:ptCount val="2"/>
                <c:pt idx="0">
                  <c:v>27.777777777777779</c:v>
                </c:pt>
                <c:pt idx="1">
                  <c:v>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1CA-451A-BEE3-B481CB716E17}"/>
            </c:ext>
          </c:extLst>
        </c:ser>
        <c:ser>
          <c:idx val="2"/>
          <c:order val="4"/>
          <c:tx>
            <c:v>Lx</c:v>
          </c:tx>
          <c:spPr>
            <a:ln w="158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5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F1CA-451A-BEE3-B481CB716E17}"/>
              </c:ext>
            </c:extLst>
          </c:dPt>
          <c:xVal>
            <c:numRef>
              <c:f>Table!$B$35:$C$35</c:f>
              <c:numCache>
                <c:formatCode>0.000</c:formatCode>
                <c:ptCount val="2"/>
                <c:pt idx="0">
                  <c:v>-27.777777777777779</c:v>
                </c:pt>
                <c:pt idx="1">
                  <c:v>0</c:v>
                </c:pt>
              </c:numCache>
            </c:numRef>
          </c:xVal>
          <c:yVal>
            <c:numRef>
              <c:f>Table!$B$36:$C$36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1CA-451A-BEE3-B481CB716E17}"/>
            </c:ext>
          </c:extLst>
        </c:ser>
        <c:ser>
          <c:idx val="3"/>
          <c:order val="5"/>
          <c:tx>
            <c:v>Lx</c:v>
          </c:tx>
          <c:spPr>
            <a:ln w="158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8-F1CA-451A-BEE3-B481CB716E17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6D97FBA-DF00-433A-8DA3-28FFD3CC030D}" type="CELLRANGE">
                      <a:rPr lang="en-US" sz="1000" b="1" baseline="0">
                        <a:solidFill>
                          <a:sysClr val="windowText" lastClr="000000"/>
                        </a:solidFill>
                      </a:rPr>
                      <a:pPr>
                        <a:defRPr sz="1000" b="1">
                          <a:solidFill>
                            <a:sysClr val="windowText" lastClr="000000"/>
                          </a:solidFill>
                        </a:defRPr>
                      </a:pPr>
                      <a:t>[CELLRANGE]</a:t>
                    </a:fld>
                    <a:r>
                      <a:rPr lang="en-US" sz="1000" b="1" baseline="0">
                        <a:solidFill>
                          <a:sysClr val="windowText" lastClr="000000"/>
                        </a:solidFill>
                      </a:rPr>
                      <a:t>; </a:t>
                    </a:r>
                    <a:fld id="{2C411688-FA26-4764-92FF-282FBAEC805F}" type="SERIESNAME">
                      <a:rPr lang="en-US" sz="1000" b="1" baseline="0">
                        <a:solidFill>
                          <a:sysClr val="windowText" lastClr="000000"/>
                        </a:solidFill>
                      </a:rPr>
                      <a:pPr>
                        <a:defRPr sz="1000" b="1">
                          <a:solidFill>
                            <a:sysClr val="windowText" lastClr="000000"/>
                          </a:solidFill>
                        </a:defRPr>
                      </a:pPr>
                      <a:t>[SERIES NAME]</a:t>
                    </a:fld>
                    <a:endParaRPr lang="en-US" sz="1000" b="1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F1CA-451A-BEE3-B481CB716E1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ID"/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F1CA-451A-BEE3-B481CB716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Table!$C$35:$D$35</c:f>
              <c:numCache>
                <c:formatCode>0.000</c:formatCode>
                <c:ptCount val="2"/>
                <c:pt idx="0">
                  <c:v>0</c:v>
                </c:pt>
                <c:pt idx="1">
                  <c:v>27.777777777777779</c:v>
                </c:pt>
              </c:numCache>
            </c:numRef>
          </c:xVal>
          <c:yVal>
            <c:numRef>
              <c:f>Table!$C$36:$D$36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'Input Data'!$H$30</c15:f>
                <c15:dlblRangeCache>
                  <c:ptCount val="1"/>
                  <c:pt idx="0">
                    <c:v>1,60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A-F1CA-451A-BEE3-B481CB716E17}"/>
            </c:ext>
          </c:extLst>
        </c:ser>
        <c:ser>
          <c:idx val="4"/>
          <c:order val="6"/>
          <c:tx>
            <c:v>Hp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B-F1CA-451A-BEE3-B481CB716E17}"/>
              </c:ext>
            </c:extLst>
          </c:dPt>
          <c:xVal>
            <c:numRef>
              <c:f>Table!$G$35:$H$35</c:f>
              <c:numCache>
                <c:formatCode>0.000</c:formatCode>
                <c:ptCount val="2"/>
                <c:pt idx="0">
                  <c:v>33.333333333333329</c:v>
                </c:pt>
                <c:pt idx="1">
                  <c:v>33.333333333333329</c:v>
                </c:pt>
              </c:numCache>
            </c:numRef>
          </c:xVal>
          <c:yVal>
            <c:numRef>
              <c:f>Table!$G$36:$H$36</c:f>
              <c:numCache>
                <c:formatCode>0.000</c:formatCode>
                <c:ptCount val="2"/>
                <c:pt idx="0">
                  <c:v>-27.777777777777779</c:v>
                </c:pt>
                <c:pt idx="1">
                  <c:v>-34.722222222222221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F1CA-451A-BEE3-B481CB716E17}"/>
            </c:ext>
          </c:extLst>
        </c:ser>
        <c:ser>
          <c:idx val="5"/>
          <c:order val="7"/>
          <c:tx>
            <c:v>Hp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D-F1CA-451A-BEE3-B481CB716E17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36E80088-C7B5-4A44-95B5-1DAA580CA050}" type="CELLRANGE">
                      <a:rPr lang="en-ID"/>
                      <a:pPr/>
                      <a:t>[CELLRANGE]</a:t>
                    </a:fld>
                    <a:r>
                      <a:rPr lang="en-ID" baseline="0"/>
                      <a:t>; </a:t>
                    </a:r>
                    <a:fld id="{1E61304B-3A58-4CE0-8EAA-26B0022D2DF5}" type="SERIESNAME">
                      <a:rPr lang="en-ID" baseline="0"/>
                      <a:pPr/>
                      <a:t>[SERIES NAME]</a:t>
                    </a:fld>
                    <a:endParaRPr lang="en-ID" baseline="0"/>
                  </a:p>
                </c:rich>
              </c:tx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F1CA-451A-BEE3-B481CB716E1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CA-451A-BEE3-B481CB716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Table!$H$35:$I$35</c:f>
              <c:numCache>
                <c:formatCode>0.000</c:formatCode>
                <c:ptCount val="2"/>
                <c:pt idx="0">
                  <c:v>33.333333333333329</c:v>
                </c:pt>
                <c:pt idx="1">
                  <c:v>33.333333333333329</c:v>
                </c:pt>
              </c:numCache>
            </c:numRef>
          </c:xVal>
          <c:yVal>
            <c:numRef>
              <c:f>Table!$H$36:$I$36</c:f>
              <c:numCache>
                <c:formatCode>0.000</c:formatCode>
                <c:ptCount val="2"/>
                <c:pt idx="0">
                  <c:v>-34.722222222222221</c:v>
                </c:pt>
                <c:pt idx="1">
                  <c:v>-41.666666666666671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'Input Data'!$H$32</c15:f>
                <c15:dlblRangeCache>
                  <c:ptCount val="1"/>
                  <c:pt idx="0">
                    <c:v>0,40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F-F1CA-451A-BEE3-B481CB716E17}"/>
            </c:ext>
          </c:extLst>
        </c:ser>
        <c:ser>
          <c:idx val="6"/>
          <c:order val="8"/>
          <c:tx>
            <c:v>Df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0-F1CA-451A-BEE3-B481CB716E17}"/>
              </c:ext>
            </c:extLst>
          </c:dPt>
          <c:xVal>
            <c:numRef>
              <c:f>Table!$H$42:$I$42</c:f>
              <c:numCache>
                <c:formatCode>0.000</c:formatCode>
                <c:ptCount val="2"/>
                <c:pt idx="0">
                  <c:v>50</c:v>
                </c:pt>
                <c:pt idx="1">
                  <c:v>50</c:v>
                </c:pt>
              </c:numCache>
            </c:numRef>
          </c:xVal>
          <c:yVal>
            <c:numRef>
              <c:f>Table!$H$43:$I$43</c:f>
              <c:numCache>
                <c:formatCode>0.000</c:formatCode>
                <c:ptCount val="2"/>
                <c:pt idx="0">
                  <c:v>-41.666666666666671</c:v>
                </c:pt>
                <c:pt idx="1">
                  <c:v>-6.9444444444444438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F1CA-451A-BEE3-B481CB716E17}"/>
            </c:ext>
          </c:extLst>
        </c:ser>
        <c:ser>
          <c:idx val="7"/>
          <c:order val="9"/>
          <c:tx>
            <c:v>Df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2-F1CA-451A-BEE3-B481CB716E17}"/>
              </c:ext>
            </c:extLst>
          </c:dPt>
          <c:dLbls>
            <c:dLbl>
              <c:idx val="0"/>
              <c:tx>
                <c:rich>
                  <a:bodyPr rot="-5400000" spcFirstLastPara="1" vertOverflow="ellipsis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800" b="1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89634DD-1016-4AF2-A10A-5DDEA3CA0F11}" type="CELLREF">
                      <a:rPr lang="en-US" sz="800" b="1">
                        <a:solidFill>
                          <a:sysClr val="windowText" lastClr="000000"/>
                        </a:solidFill>
                      </a:rPr>
                      <a:pPr>
                        <a:defRPr sz="800" b="1">
                          <a:solidFill>
                            <a:sysClr val="windowText" lastClr="000000"/>
                          </a:solidFill>
                        </a:defRPr>
                      </a:pPr>
                      <a:t>[CELLREF]</a:t>
                    </a:fld>
                    <a:r>
                      <a:rPr lang="en-US" sz="800" b="1" baseline="0">
                        <a:solidFill>
                          <a:sysClr val="windowText" lastClr="000000"/>
                        </a:solidFill>
                      </a:rPr>
                      <a:t>; </a:t>
                    </a:r>
                    <a:fld id="{67643DB7-107F-435A-BFFF-74973C34138A}" type="SERIESNAME">
                      <a:rPr lang="en-US" sz="800" b="1" baseline="0">
                        <a:solidFill>
                          <a:sysClr val="windowText" lastClr="000000"/>
                        </a:solidFill>
                      </a:rPr>
                      <a:pPr>
                        <a:defRPr sz="800" b="1">
                          <a:solidFill>
                            <a:sysClr val="windowText" lastClr="000000"/>
                          </a:solidFill>
                        </a:defRPr>
                      </a:pPr>
                      <a:t>[SERIES NAME]</a:t>
                    </a:fld>
                    <a:endParaRPr lang="en-US" sz="800" b="1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{689634DD-1016-4AF2-A10A-5DDEA3CA0F11}</c15:txfldGUID>
                      <c15:f>'Input Data'!$H$4</c15:f>
                      <c15:dlblFieldTableCache>
                        <c:ptCount val="1"/>
                        <c:pt idx="0">
                          <c:v>-2,00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F1CA-451A-BEE3-B481CB716E1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1CA-451A-BEE3-B481CB716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Table!$I$42:$J$42</c:f>
              <c:numCache>
                <c:formatCode>0.000</c:formatCode>
                <c:ptCount val="2"/>
                <c:pt idx="0">
                  <c:v>50</c:v>
                </c:pt>
                <c:pt idx="1">
                  <c:v>50</c:v>
                </c:pt>
              </c:numCache>
            </c:numRef>
          </c:xVal>
          <c:yVal>
            <c:numRef>
              <c:f>Table!$I$43:$J$43</c:f>
              <c:numCache>
                <c:formatCode>0.000</c:formatCode>
                <c:ptCount val="2"/>
                <c:pt idx="0">
                  <c:v>-6.9444444444444438</c:v>
                </c:pt>
                <c:pt idx="1">
                  <c:v>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F1CA-451A-BEE3-B481CB716E17}"/>
            </c:ext>
          </c:extLst>
        </c:ser>
        <c:ser>
          <c:idx val="8"/>
          <c:order val="10"/>
          <c:tx>
            <c:v>bc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5-F1CA-451A-BEE3-B481CB716E17}"/>
              </c:ext>
            </c:extLst>
          </c:dPt>
          <c:xVal>
            <c:numRef>
              <c:f>Table!$H$49:$I$49</c:f>
              <c:numCache>
                <c:formatCode>0.000</c:formatCode>
                <c:ptCount val="2"/>
                <c:pt idx="0">
                  <c:v>-8.6805555555555554</c:v>
                </c:pt>
                <c:pt idx="1">
                  <c:v>0</c:v>
                </c:pt>
              </c:numCache>
            </c:numRef>
          </c:xVal>
          <c:yVal>
            <c:numRef>
              <c:f>Table!$H$50:$I$50</c:f>
              <c:numCache>
                <c:formatCode>0.000</c:formatCode>
                <c:ptCount val="2"/>
                <c:pt idx="0">
                  <c:v>50.000000000000014</c:v>
                </c:pt>
                <c:pt idx="1">
                  <c:v>50.000000000000014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F1CA-451A-BEE3-B481CB716E17}"/>
            </c:ext>
          </c:extLst>
        </c:ser>
        <c:ser>
          <c:idx val="9"/>
          <c:order val="11"/>
          <c:tx>
            <c:v>bc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7-F1CA-451A-BEE3-B481CB716E17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698B1F59-DD29-4322-871F-26963E4634D1}" type="CELLREF">
                      <a:rPr lang="en-US"/>
                      <a:pPr/>
                      <a:t>[CELLREF]</a:t>
                    </a:fld>
                    <a:r>
                      <a:rPr lang="en-US" baseline="0"/>
                      <a:t>; </a:t>
                    </a:r>
                    <a:fld id="{BA064D4B-083D-473A-B78D-3918055156A3}" type="SERIESNAME">
                      <a:rPr lang="en-US" baseline="0"/>
                      <a:pPr/>
                      <a:t>[SERIES NAME]</a:t>
                    </a:fld>
                    <a:endParaRPr lang="en-US" baseline="0"/>
                  </a:p>
                </c:rich>
              </c:tx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{698B1F59-DD29-4322-871F-26963E4634D1}</c15:txfldGUID>
                      <c15:f>'Input Data'!$H$28</c15:f>
                      <c15:dlblFieldTableCache>
                        <c:ptCount val="1"/>
                        <c:pt idx="0">
                          <c:v>0,50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7-F1CA-451A-BEE3-B481CB716E1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1CA-451A-BEE3-B481CB716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Table!$I$49:$J$49</c:f>
              <c:numCache>
                <c:formatCode>0.000</c:formatCode>
                <c:ptCount val="2"/>
                <c:pt idx="0">
                  <c:v>0</c:v>
                </c:pt>
                <c:pt idx="1">
                  <c:v>8.6805555555555554</c:v>
                </c:pt>
              </c:numCache>
            </c:numRef>
          </c:xVal>
          <c:yVal>
            <c:numRef>
              <c:f>Table!$I$50:$J$50</c:f>
              <c:numCache>
                <c:formatCode>0.000</c:formatCode>
                <c:ptCount val="2"/>
                <c:pt idx="0">
                  <c:v>50.000000000000014</c:v>
                </c:pt>
                <c:pt idx="1">
                  <c:v>50.000000000000014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F1CA-451A-BEE3-B481CB716E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3845560"/>
        <c:axId val="693852760"/>
      </c:scatterChart>
      <c:valAx>
        <c:axId val="693845560"/>
        <c:scaling>
          <c:orientation val="minMax"/>
          <c:max val="60"/>
          <c:min val="-60"/>
        </c:scaling>
        <c:delete val="1"/>
        <c:axPos val="b"/>
        <c:numFmt formatCode="0.000" sourceLinked="1"/>
        <c:majorTickMark val="out"/>
        <c:minorTickMark val="none"/>
        <c:tickLblPos val="nextTo"/>
        <c:crossAx val="693852760"/>
        <c:crosses val="autoZero"/>
        <c:crossBetween val="midCat"/>
      </c:valAx>
      <c:valAx>
        <c:axId val="693852760"/>
        <c:scaling>
          <c:orientation val="minMax"/>
          <c:max val="60"/>
          <c:min val="-60"/>
        </c:scaling>
        <c:delete val="1"/>
        <c:axPos val="l"/>
        <c:numFmt formatCode="0.000" sourceLinked="1"/>
        <c:majorTickMark val="out"/>
        <c:minorTickMark val="none"/>
        <c:tickLblPos val="nextTo"/>
        <c:crossAx val="693845560"/>
        <c:crosses val="autoZero"/>
        <c:crossBetween val="midCat"/>
      </c:valAx>
      <c:spPr>
        <a:solidFill>
          <a:schemeClr val="lt1"/>
        </a:solidFill>
        <a:ln w="12700" cap="flat" cmpd="sng" algn="ctr">
          <a:noFill/>
          <a:prstDash val="solid"/>
          <a:miter lim="800000"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293402777777779E-2"/>
          <c:y val="2.8222222222222221E-2"/>
          <c:w val="0.9360701388888889"/>
          <c:h val="0.9329722222222222"/>
        </c:manualLayout>
      </c:layout>
      <c:scatterChart>
        <c:scatterStyle val="lineMarker"/>
        <c:varyColors val="0"/>
        <c:ser>
          <c:idx val="10"/>
          <c:order val="0"/>
          <c:tx>
            <c:v>Fondasi</c:v>
          </c:tx>
          <c:spPr>
            <a:ln w="19050" cap="rnd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-3.0760968932459592E-2"/>
                  <c:y val="-9.1568111636875268E-2"/>
                </c:manualLayout>
              </c:layout>
              <c:tx>
                <c:rich>
                  <a:bodyPr/>
                  <a:lstStyle/>
                  <a:p>
                    <a:fld id="{072D384F-2168-4B48-90F5-B99C290DA529}" type="SERIESNAME">
                      <a:rPr lang="en-US"/>
                      <a:pPr/>
                      <a:t>[SERIES NAME]</a:t>
                    </a:fld>
                    <a:endParaRPr lang="en-ID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1BD1-4AAD-ACEE-B3EFE4D456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Table!$B$57:$F$57</c:f>
              <c:numCache>
                <c:formatCode>0.000</c:formatCode>
                <c:ptCount val="5"/>
                <c:pt idx="0">
                  <c:v>-27.777777777777779</c:v>
                </c:pt>
                <c:pt idx="1">
                  <c:v>-27.777777777777779</c:v>
                </c:pt>
                <c:pt idx="2">
                  <c:v>27.777777777777779</c:v>
                </c:pt>
                <c:pt idx="3">
                  <c:v>27.777777777777779</c:v>
                </c:pt>
                <c:pt idx="4">
                  <c:v>-27.777777777777779</c:v>
                </c:pt>
              </c:numCache>
            </c:numRef>
          </c:xVal>
          <c:yVal>
            <c:numRef>
              <c:f>Table!$B$58:$F$58</c:f>
              <c:numCache>
                <c:formatCode>0.000</c:formatCode>
                <c:ptCount val="5"/>
                <c:pt idx="0">
                  <c:v>-41.666666666666671</c:v>
                </c:pt>
                <c:pt idx="1">
                  <c:v>-27.777777777777779</c:v>
                </c:pt>
                <c:pt idx="2">
                  <c:v>-27.777777777777779</c:v>
                </c:pt>
                <c:pt idx="3">
                  <c:v>-41.666666666666671</c:v>
                </c:pt>
                <c:pt idx="4">
                  <c:v>-41.666666666666671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D1-4AAD-ACEE-B3EFE4D45656}"/>
            </c:ext>
          </c:extLst>
        </c:ser>
        <c:ser>
          <c:idx val="11"/>
          <c:order val="1"/>
          <c:tx>
            <c:v>Kolom</c:v>
          </c:tx>
          <c:spPr>
            <a:ln w="19050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tx>
                <c:rich>
                  <a:bodyPr/>
                  <a:lstStyle/>
                  <a:p>
                    <a:fld id="{8DFCD852-57AA-4621-9FDE-ED25A16BFDCB}" type="SERIESNAME">
                      <a:rPr lang="en-US"/>
                      <a:pPr/>
                      <a:t>[SERIES NAME]</a:t>
                    </a:fld>
                    <a:endParaRPr lang="en-ID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1BD1-4AAD-ACEE-B3EFE4D456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Table!$B$76:$E$76</c:f>
              <c:numCache>
                <c:formatCode>0.000</c:formatCode>
                <c:ptCount val="4"/>
                <c:pt idx="0">
                  <c:v>-10.416666666666668</c:v>
                </c:pt>
                <c:pt idx="1">
                  <c:v>-10.416666666666668</c:v>
                </c:pt>
                <c:pt idx="2">
                  <c:v>10.416666666666668</c:v>
                </c:pt>
                <c:pt idx="3">
                  <c:v>10.416666666666668</c:v>
                </c:pt>
              </c:numCache>
            </c:numRef>
          </c:xVal>
          <c:yVal>
            <c:numRef>
              <c:f>Table!$B$77:$E$77</c:f>
              <c:numCache>
                <c:formatCode>0.000</c:formatCode>
                <c:ptCount val="4"/>
                <c:pt idx="0">
                  <c:v>-27.777777777777779</c:v>
                </c:pt>
                <c:pt idx="1">
                  <c:v>41.666666666666671</c:v>
                </c:pt>
                <c:pt idx="2">
                  <c:v>41.666666666666671</c:v>
                </c:pt>
                <c:pt idx="3">
                  <c:v>-27.777777777777779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BD1-4AAD-ACEE-B3EFE4D45656}"/>
            </c:ext>
          </c:extLst>
        </c:ser>
        <c:ser>
          <c:idx val="0"/>
          <c:order val="2"/>
          <c:tx>
            <c:v>Tanah 1</c:v>
          </c:tx>
          <c:spPr>
            <a:ln w="158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Table!$B$69:$C$69</c:f>
              <c:numCache>
                <c:formatCode>0.000</c:formatCode>
                <c:ptCount val="2"/>
                <c:pt idx="0">
                  <c:v>-48.611111111111107</c:v>
                </c:pt>
                <c:pt idx="1">
                  <c:v>-10.416666666666668</c:v>
                </c:pt>
              </c:numCache>
            </c:numRef>
          </c:xVal>
          <c:yVal>
            <c:numRef>
              <c:f>Table!$B$70:$C$70</c:f>
              <c:numCache>
                <c:formatCode>0.000</c:formatCode>
                <c:ptCount val="2"/>
                <c:pt idx="0">
                  <c:v>27.777777777777779</c:v>
                </c:pt>
                <c:pt idx="1">
                  <c:v>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BD1-4AAD-ACEE-B3EFE4D45656}"/>
            </c:ext>
          </c:extLst>
        </c:ser>
        <c:ser>
          <c:idx val="1"/>
          <c:order val="3"/>
          <c:tx>
            <c:v>Tanah 2</c:v>
          </c:tx>
          <c:spPr>
            <a:ln w="158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Table!$D$69:$E$69</c:f>
              <c:numCache>
                <c:formatCode>0.000</c:formatCode>
                <c:ptCount val="2"/>
                <c:pt idx="0">
                  <c:v>10.416666666666668</c:v>
                </c:pt>
                <c:pt idx="1">
                  <c:v>48.611111111111107</c:v>
                </c:pt>
              </c:numCache>
            </c:numRef>
          </c:xVal>
          <c:yVal>
            <c:numRef>
              <c:f>Table!$D$70:$E$70</c:f>
              <c:numCache>
                <c:formatCode>0.000</c:formatCode>
                <c:ptCount val="2"/>
                <c:pt idx="0">
                  <c:v>27.777777777777779</c:v>
                </c:pt>
                <c:pt idx="1">
                  <c:v>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BD1-4AAD-ACEE-B3EFE4D45656}"/>
            </c:ext>
          </c:extLst>
        </c:ser>
        <c:ser>
          <c:idx val="2"/>
          <c:order val="4"/>
          <c:tx>
            <c:v>Ly</c:v>
          </c:tx>
          <c:spPr>
            <a:ln w="158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5"/>
              <c:spPr>
                <a:solidFill>
                  <a:srgbClr val="C00000"/>
                </a:solidFill>
                <a:ln w="9525">
                  <a:solidFill>
                    <a:schemeClr val="accent3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1BD1-4AAD-ACEE-B3EFE4D45656}"/>
              </c:ext>
            </c:extLst>
          </c:dPt>
          <c:xVal>
            <c:numRef>
              <c:f>Table!$B$62:$C$62</c:f>
              <c:numCache>
                <c:formatCode>0.000</c:formatCode>
                <c:ptCount val="2"/>
                <c:pt idx="0">
                  <c:v>-27.777777777777779</c:v>
                </c:pt>
                <c:pt idx="1">
                  <c:v>0</c:v>
                </c:pt>
              </c:numCache>
            </c:numRef>
          </c:xVal>
          <c:yVal>
            <c:numRef>
              <c:f>Table!$B$63:$C$63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BD1-4AAD-ACEE-B3EFE4D45656}"/>
            </c:ext>
          </c:extLst>
        </c:ser>
        <c:ser>
          <c:idx val="3"/>
          <c:order val="5"/>
          <c:tx>
            <c:v>Ly</c:v>
          </c:tx>
          <c:spPr>
            <a:ln w="158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1"/>
            <c:marker>
              <c:symbol val="circle"/>
              <c:size val="5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1BD1-4AAD-ACEE-B3EFE4D45656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4B93389C-6C2F-4BF7-9EA4-40F4DDAC6734}" type="CELLREF">
                      <a:rPr lang="en-US" b="1">
                        <a:solidFill>
                          <a:sysClr val="windowText" lastClr="000000"/>
                        </a:solidFill>
                      </a:rPr>
                      <a:pPr>
                        <a:defRPr b="1">
                          <a:solidFill>
                            <a:sysClr val="windowText" lastClr="000000"/>
                          </a:solidFill>
                        </a:defRPr>
                      </a:pPr>
                      <a:t>[CELLREF]</a:t>
                    </a:fld>
                    <a:r>
                      <a:rPr lang="en-US" b="1" baseline="0">
                        <a:solidFill>
                          <a:sysClr val="windowText" lastClr="000000"/>
                        </a:solidFill>
                      </a:rPr>
                      <a:t>; </a:t>
                    </a:r>
                    <a:fld id="{1B8E01EA-3C3C-4411-A9B9-F98FF2A033F1}" type="SERIESNAME">
                      <a:rPr lang="en-US" b="1" baseline="0">
                        <a:solidFill>
                          <a:sysClr val="windowText" lastClr="000000"/>
                        </a:solidFill>
                      </a:rPr>
                      <a:pPr>
                        <a:defRPr b="1">
                          <a:solidFill>
                            <a:sysClr val="windowText" lastClr="000000"/>
                          </a:solidFill>
                        </a:defRPr>
                      </a:pPr>
                      <a:t>[SERIES NAME]</a:t>
                    </a:fld>
                    <a:endParaRPr lang="en-US" b="1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{4B93389C-6C2F-4BF7-9EA4-40F4DDAC6734}</c15:txfldGUID>
                      <c15:f>'Input Data'!$H$31</c15:f>
                      <c15:dlblFieldTableCache>
                        <c:ptCount val="1"/>
                        <c:pt idx="0">
                          <c:v>1,60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1BD1-4AAD-ACEE-B3EFE4D4565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BD1-4AAD-ACEE-B3EFE4D456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Table!$C$62:$D$62</c:f>
              <c:numCache>
                <c:formatCode>0.000</c:formatCode>
                <c:ptCount val="2"/>
                <c:pt idx="0">
                  <c:v>0</c:v>
                </c:pt>
                <c:pt idx="1">
                  <c:v>27.777777777777779</c:v>
                </c:pt>
              </c:numCache>
            </c:numRef>
          </c:xVal>
          <c:yVal>
            <c:numRef>
              <c:f>Table!$C$63:$D$63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1BD1-4AAD-ACEE-B3EFE4D45656}"/>
            </c:ext>
          </c:extLst>
        </c:ser>
        <c:ser>
          <c:idx val="4"/>
          <c:order val="6"/>
          <c:tx>
            <c:v>Hp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spPr>
              <a:ln w="12700" cap="rnd">
                <a:gradFill>
                  <a:gsLst>
                    <a:gs pos="0">
                      <a:schemeClr val="accent1">
                        <a:lumMod val="5000"/>
                        <a:lumOff val="95000"/>
                      </a:schemeClr>
                    </a:gs>
                    <a:gs pos="74000">
                      <a:schemeClr val="accent1">
                        <a:lumMod val="45000"/>
                        <a:lumOff val="55000"/>
                      </a:schemeClr>
                    </a:gs>
                    <a:gs pos="83000">
                      <a:schemeClr val="accent1">
                        <a:lumMod val="45000"/>
                        <a:lumOff val="55000"/>
                      </a:schemeClr>
                    </a:gs>
                    <a:gs pos="100000">
                      <a:schemeClr val="accent1">
                        <a:lumMod val="30000"/>
                        <a:lumOff val="70000"/>
                      </a:schemeClr>
                    </a:gs>
                  </a:gsLst>
                  <a:lin ang="5400000" scaled="1"/>
                </a:gradFill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1BD1-4AAD-ACEE-B3EFE4D45656}"/>
              </c:ext>
            </c:extLst>
          </c:dPt>
          <c:xVal>
            <c:numRef>
              <c:f>Table!$G$62:$H$62</c:f>
              <c:numCache>
                <c:formatCode>0.000</c:formatCode>
                <c:ptCount val="2"/>
                <c:pt idx="0">
                  <c:v>33.333333333333329</c:v>
                </c:pt>
                <c:pt idx="1">
                  <c:v>33.333333333333329</c:v>
                </c:pt>
              </c:numCache>
            </c:numRef>
          </c:xVal>
          <c:yVal>
            <c:numRef>
              <c:f>Table!$G$63:$H$63</c:f>
              <c:numCache>
                <c:formatCode>0.000</c:formatCode>
                <c:ptCount val="2"/>
                <c:pt idx="0">
                  <c:v>-27.777777777777779</c:v>
                </c:pt>
                <c:pt idx="1">
                  <c:v>-34.722222222222221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1BD1-4AAD-ACEE-B3EFE4D45656}"/>
            </c:ext>
          </c:extLst>
        </c:ser>
        <c:ser>
          <c:idx val="5"/>
          <c:order val="7"/>
          <c:tx>
            <c:v>Hp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1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1BD1-4AAD-ACEE-B3EFE4D45656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637874B8-23CA-4454-9CA1-3FB069222CC1}" type="CELLREF">
                      <a:rPr lang="en-US"/>
                      <a:pPr/>
                      <a:t>[CELLREF]</a:t>
                    </a:fld>
                    <a:r>
                      <a:rPr lang="en-US" baseline="0"/>
                      <a:t>; </a:t>
                    </a:r>
                    <a:fld id="{E504B091-51F9-4ED2-A14B-105AA3F674A4}" type="SERIESNAME">
                      <a:rPr lang="en-US" baseline="0"/>
                      <a:pPr/>
                      <a:t>[SERIES NAME]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{637874B8-23CA-4454-9CA1-3FB069222CC1}</c15:txfldGUID>
                      <c15:f>'Input Data'!$H$32</c15:f>
                      <c15:dlblFieldTableCache>
                        <c:ptCount val="1"/>
                        <c:pt idx="0">
                          <c:v>0,40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1BD1-4AAD-ACEE-B3EFE4D4565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BD1-4AAD-ACEE-B3EFE4D456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Table!$H$62:$I$62</c:f>
              <c:numCache>
                <c:formatCode>0.000</c:formatCode>
                <c:ptCount val="2"/>
                <c:pt idx="0">
                  <c:v>33.333333333333329</c:v>
                </c:pt>
                <c:pt idx="1">
                  <c:v>33.333333333333329</c:v>
                </c:pt>
              </c:numCache>
            </c:numRef>
          </c:xVal>
          <c:yVal>
            <c:numRef>
              <c:f>Table!$H$63:$I$63</c:f>
              <c:numCache>
                <c:formatCode>0.000</c:formatCode>
                <c:ptCount val="2"/>
                <c:pt idx="0">
                  <c:v>-34.722222222222221</c:v>
                </c:pt>
                <c:pt idx="1">
                  <c:v>-41.666666666666671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1BD1-4AAD-ACEE-B3EFE4D45656}"/>
            </c:ext>
          </c:extLst>
        </c:ser>
        <c:ser>
          <c:idx val="6"/>
          <c:order val="8"/>
          <c:tx>
            <c:v>Df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1BD1-4AAD-ACEE-B3EFE4D45656}"/>
              </c:ext>
            </c:extLst>
          </c:dPt>
          <c:xVal>
            <c:numRef>
              <c:f>Table!$H$69:$I$69</c:f>
              <c:numCache>
                <c:formatCode>0.000</c:formatCode>
                <c:ptCount val="2"/>
                <c:pt idx="0">
                  <c:v>50</c:v>
                </c:pt>
                <c:pt idx="1">
                  <c:v>50</c:v>
                </c:pt>
              </c:numCache>
            </c:numRef>
          </c:xVal>
          <c:yVal>
            <c:numRef>
              <c:f>Table!$H$70:$I$70</c:f>
              <c:numCache>
                <c:formatCode>0.000</c:formatCode>
                <c:ptCount val="2"/>
                <c:pt idx="0">
                  <c:v>-41.666666666666671</c:v>
                </c:pt>
                <c:pt idx="1">
                  <c:v>-6.9444444444444438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1BD1-4AAD-ACEE-B3EFE4D45656}"/>
            </c:ext>
          </c:extLst>
        </c:ser>
        <c:ser>
          <c:idx val="7"/>
          <c:order val="9"/>
          <c:tx>
            <c:v>Df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1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1BD1-4AAD-ACEE-B3EFE4D45656}"/>
              </c:ext>
            </c:extLst>
          </c:dPt>
          <c:dLbls>
            <c:dLbl>
              <c:idx val="0"/>
              <c:tx>
                <c:rich>
                  <a:bodyPr rot="-5400000" spcFirstLastPara="1" vertOverflow="ellipsis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800" b="1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9CD292B0-EC61-4426-88B9-11A7662D8EF8}" type="CELLREF">
                      <a:rPr lang="en-US" sz="800" b="1"/>
                      <a:pPr>
                        <a:defRPr sz="800" b="1"/>
                      </a:pPr>
                      <a:t>[CELLREF]</a:t>
                    </a:fld>
                    <a:r>
                      <a:rPr lang="en-US" sz="800" b="1" baseline="0"/>
                      <a:t>; </a:t>
                    </a:r>
                    <a:fld id="{05094943-BF05-4DF3-B587-A8B4CC09333A}" type="SERIESNAME">
                      <a:rPr lang="en-US" sz="800" b="1" baseline="0"/>
                      <a:pPr>
                        <a:defRPr sz="800" b="1"/>
                      </a:pPr>
                      <a:t>[SERIES NAME]</a:t>
                    </a:fld>
                    <a:endParaRPr lang="en-US" sz="800" b="1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{9CD292B0-EC61-4426-88B9-11A7662D8EF8}</c15:txfldGUID>
                      <c15:f>'Input Data'!$H$4</c15:f>
                      <c15:dlblFieldTableCache>
                        <c:ptCount val="1"/>
                        <c:pt idx="0">
                          <c:v>-2,00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1BD1-4AAD-ACEE-B3EFE4D4565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BD1-4AAD-ACEE-B3EFE4D456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Table!$I$69:$J$69</c:f>
              <c:numCache>
                <c:formatCode>0.000</c:formatCode>
                <c:ptCount val="2"/>
                <c:pt idx="0">
                  <c:v>50</c:v>
                </c:pt>
                <c:pt idx="1">
                  <c:v>50</c:v>
                </c:pt>
              </c:numCache>
            </c:numRef>
          </c:xVal>
          <c:yVal>
            <c:numRef>
              <c:f>Table!$I$70:$J$70</c:f>
              <c:numCache>
                <c:formatCode>0.000</c:formatCode>
                <c:ptCount val="2"/>
                <c:pt idx="0">
                  <c:v>-6.9444444444444438</c:v>
                </c:pt>
                <c:pt idx="1">
                  <c:v>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1BD1-4AAD-ACEE-B3EFE4D45656}"/>
            </c:ext>
          </c:extLst>
        </c:ser>
        <c:ser>
          <c:idx val="8"/>
          <c:order val="10"/>
          <c:tx>
            <c:v>wc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1BD1-4AAD-ACEE-B3EFE4D45656}"/>
              </c:ext>
            </c:extLst>
          </c:dPt>
          <c:xVal>
            <c:numRef>
              <c:f>Table!$H$76:$I$76</c:f>
              <c:numCache>
                <c:formatCode>0.000</c:formatCode>
                <c:ptCount val="2"/>
                <c:pt idx="0">
                  <c:v>-10.416666666666668</c:v>
                </c:pt>
                <c:pt idx="1">
                  <c:v>0</c:v>
                </c:pt>
              </c:numCache>
            </c:numRef>
          </c:xVal>
          <c:yVal>
            <c:numRef>
              <c:f>Table!$H$77:$I$77</c:f>
              <c:numCache>
                <c:formatCode>0.000</c:formatCode>
                <c:ptCount val="2"/>
                <c:pt idx="0">
                  <c:v>50.000000000000014</c:v>
                </c:pt>
                <c:pt idx="1">
                  <c:v>50.000000000000014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1BD1-4AAD-ACEE-B3EFE4D45656}"/>
            </c:ext>
          </c:extLst>
        </c:ser>
        <c:ser>
          <c:idx val="9"/>
          <c:order val="11"/>
          <c:tx>
            <c:v>wc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1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8-1BD1-4AAD-ACEE-B3EFE4D45656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2E314805-05DD-47E8-B77D-3F826AD6373C}" type="CELLREF">
                      <a:rPr lang="en-US"/>
                      <a:pPr/>
                      <a:t>[CELLREF]</a:t>
                    </a:fld>
                    <a:r>
                      <a:rPr lang="en-US" baseline="0"/>
                      <a:t>; </a:t>
                    </a:r>
                    <a:fld id="{2AAEF890-DBB8-48F7-B4C4-A291613A97B3}" type="SERIESNAME">
                      <a:rPr lang="en-US" baseline="0"/>
                      <a:pPr/>
                      <a:t>[SERIES NAME]</a:t>
                    </a:fld>
                    <a:endParaRPr lang="en-US" baseline="0"/>
                  </a:p>
                </c:rich>
              </c:tx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{2E314805-05DD-47E8-B77D-3F826AD6373C}</c15:txfldGUID>
                      <c15:f>'Input Data'!$H$29</c15:f>
                      <c15:dlblFieldTableCache>
                        <c:ptCount val="1"/>
                        <c:pt idx="0">
                          <c:v>0,60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1BD1-4AAD-ACEE-B3EFE4D4565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BD1-4AAD-ACEE-B3EFE4D456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Table!$I$76:$J$76</c:f>
              <c:numCache>
                <c:formatCode>0.000</c:formatCode>
                <c:ptCount val="2"/>
                <c:pt idx="0">
                  <c:v>0</c:v>
                </c:pt>
                <c:pt idx="1">
                  <c:v>10.416666666666668</c:v>
                </c:pt>
              </c:numCache>
            </c:numRef>
          </c:xVal>
          <c:yVal>
            <c:numRef>
              <c:f>Table!$I$77:$J$77</c:f>
              <c:numCache>
                <c:formatCode>0.000</c:formatCode>
                <c:ptCount val="2"/>
                <c:pt idx="0">
                  <c:v>50.000000000000014</c:v>
                </c:pt>
                <c:pt idx="1">
                  <c:v>50.000000000000014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1BD1-4AAD-ACEE-B3EFE4D456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3845560"/>
        <c:axId val="693852760"/>
      </c:scatterChart>
      <c:valAx>
        <c:axId val="693845560"/>
        <c:scaling>
          <c:orientation val="minMax"/>
          <c:max val="60"/>
          <c:min val="-60"/>
        </c:scaling>
        <c:delete val="1"/>
        <c:axPos val="b"/>
        <c:numFmt formatCode="0.000" sourceLinked="1"/>
        <c:majorTickMark val="out"/>
        <c:minorTickMark val="none"/>
        <c:tickLblPos val="nextTo"/>
        <c:crossAx val="693852760"/>
        <c:crosses val="autoZero"/>
        <c:crossBetween val="midCat"/>
      </c:valAx>
      <c:valAx>
        <c:axId val="693852760"/>
        <c:scaling>
          <c:orientation val="minMax"/>
          <c:max val="60"/>
          <c:min val="-60"/>
        </c:scaling>
        <c:delete val="1"/>
        <c:axPos val="l"/>
        <c:numFmt formatCode="0.000" sourceLinked="1"/>
        <c:majorTickMark val="out"/>
        <c:minorTickMark val="none"/>
        <c:tickLblPos val="nextTo"/>
        <c:crossAx val="693845560"/>
        <c:crosses val="autoZero"/>
        <c:crossBetween val="midCat"/>
      </c:valAx>
      <c:spPr>
        <a:solidFill>
          <a:schemeClr val="lt1"/>
        </a:solidFill>
        <a:ln w="12700" cap="flat" cmpd="sng" algn="ctr">
          <a:noFill/>
          <a:prstDash val="solid"/>
          <a:miter lim="800000"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293402777777779E-2"/>
          <c:y val="2.8222222222222221E-2"/>
          <c:w val="0.9360701388888889"/>
          <c:h val="0.90319210266878958"/>
        </c:manualLayout>
      </c:layout>
      <c:scatterChart>
        <c:scatterStyle val="lineMarker"/>
        <c:varyColors val="0"/>
        <c:ser>
          <c:idx val="10"/>
          <c:order val="0"/>
          <c:tx>
            <c:v>Fondasi</c:v>
          </c:tx>
          <c:spPr>
            <a:ln w="19050" cap="rnd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-3.9577274541978749E-2"/>
                  <c:y val="-7.8486952831607462E-2"/>
                </c:manualLayout>
              </c:layout>
              <c:tx>
                <c:rich>
                  <a:bodyPr/>
                  <a:lstStyle/>
                  <a:p>
                    <a:fld id="{B0F1567E-43F5-44D8-834E-63CFEFFECE21}" type="SERIESNAME">
                      <a:rPr lang="en-US"/>
                      <a:pPr/>
                      <a:t>[SERIES NAME]</a:t>
                    </a:fld>
                    <a:endParaRPr lang="en-ID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286A-4492-A61B-34AEE17A15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Table!$B$30:$F$30</c:f>
              <c:numCache>
                <c:formatCode>0.000</c:formatCode>
                <c:ptCount val="5"/>
                <c:pt idx="0">
                  <c:v>-27.777777777777779</c:v>
                </c:pt>
                <c:pt idx="1">
                  <c:v>-27.777777777777779</c:v>
                </c:pt>
                <c:pt idx="2">
                  <c:v>27.777777777777779</c:v>
                </c:pt>
                <c:pt idx="3">
                  <c:v>27.777777777777779</c:v>
                </c:pt>
                <c:pt idx="4">
                  <c:v>-27.777777777777779</c:v>
                </c:pt>
              </c:numCache>
            </c:numRef>
          </c:xVal>
          <c:yVal>
            <c:numRef>
              <c:f>Table!$B$31:$F$31</c:f>
              <c:numCache>
                <c:formatCode>0.000</c:formatCode>
                <c:ptCount val="5"/>
                <c:pt idx="0">
                  <c:v>-41.666666666666671</c:v>
                </c:pt>
                <c:pt idx="1">
                  <c:v>-27.777777777777779</c:v>
                </c:pt>
                <c:pt idx="2">
                  <c:v>-27.777777777777779</c:v>
                </c:pt>
                <c:pt idx="3">
                  <c:v>-41.666666666666671</c:v>
                </c:pt>
                <c:pt idx="4">
                  <c:v>-41.666666666666671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86A-4492-A61B-34AEE17A154A}"/>
            </c:ext>
          </c:extLst>
        </c:ser>
        <c:ser>
          <c:idx val="11"/>
          <c:order val="1"/>
          <c:tx>
            <c:v>Kolom</c:v>
          </c:tx>
          <c:spPr>
            <a:ln w="19050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tx>
                <c:rich>
                  <a:bodyPr/>
                  <a:lstStyle/>
                  <a:p>
                    <a:fld id="{1820A3C2-7BC6-4B1B-BD70-BB54975F9B28}" type="SERIESNAME">
                      <a:rPr lang="en-US"/>
                      <a:pPr/>
                      <a:t>[SERIES NAME]</a:t>
                    </a:fld>
                    <a:endParaRPr lang="en-ID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286A-4492-A61B-34AEE17A15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Table!$B$49:$E$49</c:f>
              <c:numCache>
                <c:formatCode>0.000</c:formatCode>
                <c:ptCount val="4"/>
                <c:pt idx="0">
                  <c:v>-8.6805555555555554</c:v>
                </c:pt>
                <c:pt idx="1">
                  <c:v>-8.6805555555555554</c:v>
                </c:pt>
                <c:pt idx="2">
                  <c:v>8.6805555555555554</c:v>
                </c:pt>
                <c:pt idx="3">
                  <c:v>8.6805555555555554</c:v>
                </c:pt>
              </c:numCache>
            </c:numRef>
          </c:xVal>
          <c:yVal>
            <c:numRef>
              <c:f>Table!$B$50:$E$50</c:f>
              <c:numCache>
                <c:formatCode>0.000</c:formatCode>
                <c:ptCount val="4"/>
                <c:pt idx="0">
                  <c:v>-27.777777777777779</c:v>
                </c:pt>
                <c:pt idx="1">
                  <c:v>41.666666666666671</c:v>
                </c:pt>
                <c:pt idx="2">
                  <c:v>41.666666666666671</c:v>
                </c:pt>
                <c:pt idx="3">
                  <c:v>-27.777777777777779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86A-4492-A61B-34AEE17A154A}"/>
            </c:ext>
          </c:extLst>
        </c:ser>
        <c:ser>
          <c:idx val="0"/>
          <c:order val="2"/>
          <c:tx>
            <c:v>Tanah 1</c:v>
          </c:tx>
          <c:spPr>
            <a:ln w="158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Table!$B$42:$C$42</c:f>
              <c:numCache>
                <c:formatCode>0.000</c:formatCode>
                <c:ptCount val="2"/>
                <c:pt idx="0">
                  <c:v>-48.611111111111107</c:v>
                </c:pt>
                <c:pt idx="1">
                  <c:v>-8.6805555555555554</c:v>
                </c:pt>
              </c:numCache>
            </c:numRef>
          </c:xVal>
          <c:yVal>
            <c:numRef>
              <c:f>Table!$B$43:$C$43</c:f>
              <c:numCache>
                <c:formatCode>0.000</c:formatCode>
                <c:ptCount val="2"/>
                <c:pt idx="0">
                  <c:v>27.777777777777779</c:v>
                </c:pt>
                <c:pt idx="1">
                  <c:v>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86A-4492-A61B-34AEE17A154A}"/>
            </c:ext>
          </c:extLst>
        </c:ser>
        <c:ser>
          <c:idx val="1"/>
          <c:order val="3"/>
          <c:tx>
            <c:v>Tanah 2</c:v>
          </c:tx>
          <c:spPr>
            <a:ln w="15875" cap="rnd">
              <a:solidFill>
                <a:schemeClr val="accent2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Table!$D$42:$E$42</c:f>
              <c:numCache>
                <c:formatCode>0.000</c:formatCode>
                <c:ptCount val="2"/>
                <c:pt idx="0">
                  <c:v>8.6805555555555554</c:v>
                </c:pt>
                <c:pt idx="1">
                  <c:v>48.611111111111107</c:v>
                </c:pt>
              </c:numCache>
            </c:numRef>
          </c:xVal>
          <c:yVal>
            <c:numRef>
              <c:f>Table!$D$43:$E$43</c:f>
              <c:numCache>
                <c:formatCode>0.000</c:formatCode>
                <c:ptCount val="2"/>
                <c:pt idx="0">
                  <c:v>27.777777777777779</c:v>
                </c:pt>
                <c:pt idx="1">
                  <c:v>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86A-4492-A61B-34AEE17A154A}"/>
            </c:ext>
          </c:extLst>
        </c:ser>
        <c:ser>
          <c:idx val="2"/>
          <c:order val="4"/>
          <c:tx>
            <c:v>Zw</c:v>
          </c:tx>
          <c:spPr>
            <a:ln w="2540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86A-4492-A61B-34AEE17A154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C52F346-3DF6-4637-A3A8-03B8E76FEC6C}" type="CELLREF">
                      <a:rPr lang="en-US"/>
                      <a:pPr/>
                      <a:t>[CELLREF]</a:t>
                    </a:fld>
                    <a:endParaRPr lang="en-ID"/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{9C52F346-3DF6-4637-A3A8-03B8E76FEC6C}</c15:txfldGUID>
                      <c15:f>'Input Data'!$K$64</c15:f>
                      <c15:dlblFieldTableCache>
                        <c:ptCount val="1"/>
                        <c:pt idx="0">
                          <c:v>M.A.T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286A-4492-A61B-34AEE17A15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Table!$L$35:$M$35</c:f>
              <c:numCache>
                <c:formatCode>0.000</c:formatCode>
                <c:ptCount val="2"/>
                <c:pt idx="0">
                  <c:v>-48.611111111111107</c:v>
                </c:pt>
                <c:pt idx="1">
                  <c:v>48.611111111111107</c:v>
                </c:pt>
              </c:numCache>
            </c:numRef>
          </c:xVal>
          <c:yVal>
            <c:numRef>
              <c:f>Table!$L$36:$M$36</c:f>
              <c:numCache>
                <c:formatCode>0.000</c:formatCode>
                <c:ptCount val="2"/>
                <c:pt idx="0">
                  <c:v>-13.888888888888888</c:v>
                </c:pt>
                <c:pt idx="1">
                  <c:v>-13.888888888888888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86A-4492-A61B-34AEE17A15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3845560"/>
        <c:axId val="693852760"/>
      </c:scatterChart>
      <c:valAx>
        <c:axId val="693845560"/>
        <c:scaling>
          <c:orientation val="minMax"/>
          <c:max val="60"/>
          <c:min val="-60"/>
        </c:scaling>
        <c:delete val="1"/>
        <c:axPos val="b"/>
        <c:numFmt formatCode="0.000" sourceLinked="1"/>
        <c:majorTickMark val="out"/>
        <c:minorTickMark val="none"/>
        <c:tickLblPos val="nextTo"/>
        <c:crossAx val="693852760"/>
        <c:crosses val="autoZero"/>
        <c:crossBetween val="midCat"/>
      </c:valAx>
      <c:valAx>
        <c:axId val="693852760"/>
        <c:scaling>
          <c:orientation val="minMax"/>
          <c:max val="60"/>
          <c:min val="-120"/>
        </c:scaling>
        <c:delete val="1"/>
        <c:axPos val="l"/>
        <c:numFmt formatCode="0.000" sourceLinked="1"/>
        <c:majorTickMark val="out"/>
        <c:minorTickMark val="none"/>
        <c:tickLblPos val="nextTo"/>
        <c:crossAx val="693845560"/>
        <c:crosses val="autoZero"/>
        <c:crossBetween val="midCat"/>
      </c:valAx>
      <c:spPr>
        <a:solidFill>
          <a:schemeClr val="lt1"/>
        </a:solidFill>
        <a:ln w="12700" cap="flat" cmpd="sng" algn="ctr">
          <a:noFill/>
          <a:prstDash val="solid"/>
          <a:miter lim="800000"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293402777777779E-2"/>
          <c:y val="2.8222222222222221E-2"/>
          <c:w val="0.9360701388888889"/>
          <c:h val="0.9329722222222222"/>
        </c:manualLayout>
      </c:layout>
      <c:scatterChart>
        <c:scatterStyle val="lineMarker"/>
        <c:varyColors val="0"/>
        <c:ser>
          <c:idx val="10"/>
          <c:order val="0"/>
          <c:tx>
            <c:v>Fondasi</c:v>
          </c:tx>
          <c:spPr>
            <a:ln w="190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Table!$B$5:$F$5</c:f>
              <c:numCache>
                <c:formatCode>0.000</c:formatCode>
                <c:ptCount val="5"/>
                <c:pt idx="0">
                  <c:v>-41.666666666666671</c:v>
                </c:pt>
                <c:pt idx="1">
                  <c:v>-41.666666666666671</c:v>
                </c:pt>
                <c:pt idx="2">
                  <c:v>41.666666666666671</c:v>
                </c:pt>
                <c:pt idx="3">
                  <c:v>41.666666666666671</c:v>
                </c:pt>
                <c:pt idx="4">
                  <c:v>-41.666666666666671</c:v>
                </c:pt>
              </c:numCache>
            </c:numRef>
          </c:xVal>
          <c:yVal>
            <c:numRef>
              <c:f>Table!$B$6:$F$6</c:f>
              <c:numCache>
                <c:formatCode>0.000</c:formatCode>
                <c:ptCount val="5"/>
                <c:pt idx="0">
                  <c:v>-41.666666666666671</c:v>
                </c:pt>
                <c:pt idx="1">
                  <c:v>41.666666666666671</c:v>
                </c:pt>
                <c:pt idx="2">
                  <c:v>41.666666666666671</c:v>
                </c:pt>
                <c:pt idx="3">
                  <c:v>-41.666666666666671</c:v>
                </c:pt>
                <c:pt idx="4">
                  <c:v>-41.666666666666671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088-417D-BA3D-CF1C7E95D2BF}"/>
            </c:ext>
          </c:extLst>
        </c:ser>
        <c:ser>
          <c:idx val="11"/>
          <c:order val="1"/>
          <c:tx>
            <c:v>Kolom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Table!$B$18:$F$18</c:f>
              <c:numCache>
                <c:formatCode>0.000</c:formatCode>
                <c:ptCount val="5"/>
                <c:pt idx="0">
                  <c:v>-13.020833333333334</c:v>
                </c:pt>
                <c:pt idx="1">
                  <c:v>-13.020833333333334</c:v>
                </c:pt>
                <c:pt idx="2">
                  <c:v>13.020833333333334</c:v>
                </c:pt>
                <c:pt idx="3">
                  <c:v>13.020833333333334</c:v>
                </c:pt>
                <c:pt idx="4">
                  <c:v>-13.020833333333334</c:v>
                </c:pt>
              </c:numCache>
            </c:numRef>
          </c:xVal>
          <c:yVal>
            <c:numRef>
              <c:f>Table!$B$19:$F$19</c:f>
              <c:numCache>
                <c:formatCode>0.000</c:formatCode>
                <c:ptCount val="5"/>
                <c:pt idx="0">
                  <c:v>-15.625</c:v>
                </c:pt>
                <c:pt idx="1">
                  <c:v>15.625</c:v>
                </c:pt>
                <c:pt idx="2">
                  <c:v>15.625</c:v>
                </c:pt>
                <c:pt idx="3">
                  <c:v>-15.625</c:v>
                </c:pt>
                <c:pt idx="4">
                  <c:v>-15.625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088-417D-BA3D-CF1C7E95D2BF}"/>
            </c:ext>
          </c:extLst>
        </c:ser>
        <c:ser>
          <c:idx val="12"/>
          <c:order val="2"/>
          <c:tx>
            <c:v>Lx</c:v>
          </c:tx>
          <c:spPr>
            <a:ln w="158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Table!$B$10:$C$10</c:f>
              <c:numCache>
                <c:formatCode>0.000</c:formatCode>
                <c:ptCount val="2"/>
                <c:pt idx="0">
                  <c:v>-41.666666666666671</c:v>
                </c:pt>
                <c:pt idx="1">
                  <c:v>0</c:v>
                </c:pt>
              </c:numCache>
            </c:numRef>
          </c:xVal>
          <c:yVal>
            <c:numRef>
              <c:f>Table!$B$11:$C$11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088-417D-BA3D-CF1C7E95D2BF}"/>
            </c:ext>
          </c:extLst>
        </c:ser>
        <c:ser>
          <c:idx val="13"/>
          <c:order val="3"/>
          <c:tx>
            <c:v>Lx</c:v>
          </c:tx>
          <c:spPr>
            <a:ln w="158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Table!$C$10:$D$10</c:f>
              <c:numCache>
                <c:formatCode>0.000</c:formatCode>
                <c:ptCount val="2"/>
                <c:pt idx="0">
                  <c:v>0</c:v>
                </c:pt>
                <c:pt idx="1">
                  <c:v>41.666666666666671</c:v>
                </c:pt>
              </c:numCache>
            </c:numRef>
          </c:xVal>
          <c:yVal>
            <c:numRef>
              <c:f>Table!$C$11:$D$11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088-417D-BA3D-CF1C7E95D2BF}"/>
            </c:ext>
          </c:extLst>
        </c:ser>
        <c:ser>
          <c:idx val="14"/>
          <c:order val="4"/>
          <c:tx>
            <c:v>Ly</c:v>
          </c:tx>
          <c:spPr>
            <a:ln w="158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Table!$F$10:$G$10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xVal>
          <c:yVal>
            <c:numRef>
              <c:f>Table!$F$11:$G$11</c:f>
              <c:numCache>
                <c:formatCode>0.000</c:formatCode>
                <c:ptCount val="2"/>
                <c:pt idx="0">
                  <c:v>41.666666666666671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088-417D-BA3D-CF1C7E95D2BF}"/>
            </c:ext>
          </c:extLst>
        </c:ser>
        <c:ser>
          <c:idx val="15"/>
          <c:order val="5"/>
          <c:tx>
            <c:v>Ly</c:v>
          </c:tx>
          <c:spPr>
            <a:ln w="158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Table!$G$10:$H$10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xVal>
          <c:yVal>
            <c:numRef>
              <c:f>Table!$G$11:$H$11</c:f>
              <c:numCache>
                <c:formatCode>0.000</c:formatCode>
                <c:ptCount val="2"/>
                <c:pt idx="0">
                  <c:v>0</c:v>
                </c:pt>
                <c:pt idx="1">
                  <c:v>-41.666666666666671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088-417D-BA3D-CF1C7E95D2BF}"/>
            </c:ext>
          </c:extLst>
        </c:ser>
        <c:ser>
          <c:idx val="16"/>
          <c:order val="6"/>
          <c:tx>
            <c:v>bc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Table!$B$23:$C$23</c:f>
              <c:numCache>
                <c:formatCode>0.000</c:formatCode>
                <c:ptCount val="2"/>
                <c:pt idx="0">
                  <c:v>-13.020833333333334</c:v>
                </c:pt>
                <c:pt idx="1">
                  <c:v>0</c:v>
                </c:pt>
              </c:numCache>
            </c:numRef>
          </c:xVal>
          <c:yVal>
            <c:numRef>
              <c:f>Table!$B$24:$C$24</c:f>
              <c:numCache>
                <c:formatCode>0.000</c:formatCode>
                <c:ptCount val="2"/>
                <c:pt idx="0">
                  <c:v>-21.614583333333336</c:v>
                </c:pt>
                <c:pt idx="1">
                  <c:v>-21.614583333333336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8088-417D-BA3D-CF1C7E95D2BF}"/>
            </c:ext>
          </c:extLst>
        </c:ser>
        <c:ser>
          <c:idx val="17"/>
          <c:order val="7"/>
          <c:tx>
            <c:v>bc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Table!$C$23:$D$23</c:f>
              <c:numCache>
                <c:formatCode>0.000</c:formatCode>
                <c:ptCount val="2"/>
                <c:pt idx="0">
                  <c:v>0</c:v>
                </c:pt>
                <c:pt idx="1">
                  <c:v>13.020833333333334</c:v>
                </c:pt>
              </c:numCache>
            </c:numRef>
          </c:xVal>
          <c:yVal>
            <c:numRef>
              <c:f>Table!$C$24:$D$24</c:f>
              <c:numCache>
                <c:formatCode>0.000</c:formatCode>
                <c:ptCount val="2"/>
                <c:pt idx="0">
                  <c:v>-21.614583333333336</c:v>
                </c:pt>
                <c:pt idx="1">
                  <c:v>-21.614583333333336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8088-417D-BA3D-CF1C7E95D2BF}"/>
            </c:ext>
          </c:extLst>
        </c:ser>
        <c:ser>
          <c:idx val="18"/>
          <c:order val="8"/>
          <c:tx>
            <c:v>wc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Table!$F$23:$G$23</c:f>
              <c:numCache>
                <c:formatCode>0.000</c:formatCode>
                <c:ptCount val="2"/>
                <c:pt idx="0">
                  <c:v>19.010416666666664</c:v>
                </c:pt>
                <c:pt idx="1">
                  <c:v>19.010416666666664</c:v>
                </c:pt>
              </c:numCache>
            </c:numRef>
          </c:xVal>
          <c:yVal>
            <c:numRef>
              <c:f>Table!$F$24:$G$24</c:f>
              <c:numCache>
                <c:formatCode>0.000</c:formatCode>
                <c:ptCount val="2"/>
                <c:pt idx="0">
                  <c:v>15.625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8088-417D-BA3D-CF1C7E95D2BF}"/>
            </c:ext>
          </c:extLst>
        </c:ser>
        <c:ser>
          <c:idx val="19"/>
          <c:order val="9"/>
          <c:tx>
            <c:v>wc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Table!$G$23:$H$23</c:f>
              <c:numCache>
                <c:formatCode>0.000</c:formatCode>
                <c:ptCount val="2"/>
                <c:pt idx="0">
                  <c:v>19.010416666666664</c:v>
                </c:pt>
                <c:pt idx="1">
                  <c:v>19.010416666666664</c:v>
                </c:pt>
              </c:numCache>
            </c:numRef>
          </c:xVal>
          <c:yVal>
            <c:numRef>
              <c:f>Table!$G$24:$H$24</c:f>
              <c:numCache>
                <c:formatCode>0.000</c:formatCode>
                <c:ptCount val="2"/>
                <c:pt idx="0">
                  <c:v>0</c:v>
                </c:pt>
                <c:pt idx="1">
                  <c:v>-15.625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8088-417D-BA3D-CF1C7E95D2BF}"/>
            </c:ext>
          </c:extLst>
        </c:ser>
        <c:ser>
          <c:idx val="0"/>
          <c:order val="10"/>
          <c:tx>
            <c:v>Fondasi</c:v>
          </c:tx>
          <c:spPr>
            <a:ln w="19050" cap="rnd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088-417D-BA3D-CF1C7E95D2B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ID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8088-417D-BA3D-CF1C7E95D2BF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ID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8088-417D-BA3D-CF1C7E95D2BF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ID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8088-417D-BA3D-CF1C7E95D2BF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ID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8088-417D-BA3D-CF1C7E95D2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Table!$B$5:$F$5</c:f>
              <c:numCache>
                <c:formatCode>0.000</c:formatCode>
                <c:ptCount val="5"/>
                <c:pt idx="0">
                  <c:v>-41.666666666666671</c:v>
                </c:pt>
                <c:pt idx="1">
                  <c:v>-41.666666666666671</c:v>
                </c:pt>
                <c:pt idx="2">
                  <c:v>41.666666666666671</c:v>
                </c:pt>
                <c:pt idx="3">
                  <c:v>41.666666666666671</c:v>
                </c:pt>
                <c:pt idx="4">
                  <c:v>-41.666666666666671</c:v>
                </c:pt>
              </c:numCache>
            </c:numRef>
          </c:xVal>
          <c:yVal>
            <c:numRef>
              <c:f>Table!$B$6:$F$6</c:f>
              <c:numCache>
                <c:formatCode>0.000</c:formatCode>
                <c:ptCount val="5"/>
                <c:pt idx="0">
                  <c:v>-41.666666666666671</c:v>
                </c:pt>
                <c:pt idx="1">
                  <c:v>41.666666666666671</c:v>
                </c:pt>
                <c:pt idx="2">
                  <c:v>41.666666666666671</c:v>
                </c:pt>
                <c:pt idx="3">
                  <c:v>-41.666666666666671</c:v>
                </c:pt>
                <c:pt idx="4">
                  <c:v>-41.666666666666671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Table!$A$1</c15:f>
                <c15:dlblRangeCache>
                  <c:ptCount val="1"/>
                  <c:pt idx="0">
                    <c:v>Fondasi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F-8088-417D-BA3D-CF1C7E95D2BF}"/>
            </c:ext>
          </c:extLst>
        </c:ser>
        <c:ser>
          <c:idx val="1"/>
          <c:order val="11"/>
          <c:tx>
            <c:v>Kolom</c:v>
          </c:tx>
          <c:spPr>
            <a:ln w="19050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088-417D-BA3D-CF1C7E95D2B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088-417D-BA3D-CF1C7E95D2BF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ID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8088-417D-BA3D-CF1C7E95D2BF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ID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8088-417D-BA3D-CF1C7E95D2BF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ID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8088-417D-BA3D-CF1C7E95D2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Table!$B$18:$F$18</c:f>
              <c:numCache>
                <c:formatCode>0.000</c:formatCode>
                <c:ptCount val="5"/>
                <c:pt idx="0">
                  <c:v>-13.020833333333334</c:v>
                </c:pt>
                <c:pt idx="1">
                  <c:v>-13.020833333333334</c:v>
                </c:pt>
                <c:pt idx="2">
                  <c:v>13.020833333333334</c:v>
                </c:pt>
                <c:pt idx="3">
                  <c:v>13.020833333333334</c:v>
                </c:pt>
                <c:pt idx="4">
                  <c:v>-13.020833333333334</c:v>
                </c:pt>
              </c:numCache>
            </c:numRef>
          </c:xVal>
          <c:yVal>
            <c:numRef>
              <c:f>Table!$B$19:$F$19</c:f>
              <c:numCache>
                <c:formatCode>0.000</c:formatCode>
                <c:ptCount val="5"/>
                <c:pt idx="0">
                  <c:v>-15.625</c:v>
                </c:pt>
                <c:pt idx="1">
                  <c:v>15.625</c:v>
                </c:pt>
                <c:pt idx="2">
                  <c:v>15.625</c:v>
                </c:pt>
                <c:pt idx="3">
                  <c:v>-15.625</c:v>
                </c:pt>
                <c:pt idx="4">
                  <c:v>-15.625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Table!$A$14</c15:f>
                <c15:dlblRangeCache>
                  <c:ptCount val="1"/>
                  <c:pt idx="0">
                    <c:v>Kolom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5-8088-417D-BA3D-CF1C7E95D2BF}"/>
            </c:ext>
          </c:extLst>
        </c:ser>
        <c:ser>
          <c:idx val="2"/>
          <c:order val="12"/>
          <c:tx>
            <c:v>Lx</c:v>
          </c:tx>
          <c:spPr>
            <a:ln w="158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5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8088-417D-BA3D-CF1C7E95D2BF}"/>
              </c:ext>
            </c:extLst>
          </c:dPt>
          <c:xVal>
            <c:numRef>
              <c:f>Table!$B$10:$C$10</c:f>
              <c:numCache>
                <c:formatCode>0.000</c:formatCode>
                <c:ptCount val="2"/>
                <c:pt idx="0">
                  <c:v>-41.666666666666671</c:v>
                </c:pt>
                <c:pt idx="1">
                  <c:v>0</c:v>
                </c:pt>
              </c:numCache>
            </c:numRef>
          </c:xVal>
          <c:yVal>
            <c:numRef>
              <c:f>Table!$B$11:$C$11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8088-417D-BA3D-CF1C7E95D2BF}"/>
            </c:ext>
          </c:extLst>
        </c:ser>
        <c:ser>
          <c:idx val="3"/>
          <c:order val="13"/>
          <c:tx>
            <c:v>Lx</c:v>
          </c:tx>
          <c:spPr>
            <a:ln w="158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8-8088-417D-BA3D-CF1C7E95D2BF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6D91C3D2-2C8D-4E6B-A4DC-4D2DAB187856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58294D4D-B95A-44A0-A2BA-4AA66F283F6F}" type="SERIESNAME">
                      <a:rPr lang="en-US" baseline="0"/>
                      <a:pPr/>
                      <a:t>[SERIES NAME]</a:t>
                    </a:fld>
                    <a:endParaRPr lang="en-US" baseline="0"/>
                  </a:p>
                </c:rich>
              </c:tx>
              <c:dLblPos val="b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8-8088-417D-BA3D-CF1C7E95D2B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19-8088-417D-BA3D-CF1C7E95D2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Table!$C$10:$D$10</c:f>
              <c:numCache>
                <c:formatCode>0.000</c:formatCode>
                <c:ptCount val="2"/>
                <c:pt idx="0">
                  <c:v>0</c:v>
                </c:pt>
                <c:pt idx="1">
                  <c:v>41.666666666666671</c:v>
                </c:pt>
              </c:numCache>
            </c:numRef>
          </c:xVal>
          <c:yVal>
            <c:numRef>
              <c:f>Table!$C$11:$D$11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'Input Data'!$H$30</c15:f>
                <c15:dlblRangeCache>
                  <c:ptCount val="1"/>
                  <c:pt idx="0">
                    <c:v>1,60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A-8088-417D-BA3D-CF1C7E95D2BF}"/>
            </c:ext>
          </c:extLst>
        </c:ser>
        <c:ser>
          <c:idx val="4"/>
          <c:order val="14"/>
          <c:tx>
            <c:v>Ly</c:v>
          </c:tx>
          <c:spPr>
            <a:ln w="158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5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B-8088-417D-BA3D-CF1C7E95D2BF}"/>
              </c:ext>
            </c:extLst>
          </c:dPt>
          <c:xVal>
            <c:numRef>
              <c:f>Table!$F$10:$G$10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xVal>
          <c:yVal>
            <c:numRef>
              <c:f>Table!$F$11:$G$11</c:f>
              <c:numCache>
                <c:formatCode>0.000</c:formatCode>
                <c:ptCount val="2"/>
                <c:pt idx="0">
                  <c:v>41.666666666666671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8088-417D-BA3D-CF1C7E95D2BF}"/>
            </c:ext>
          </c:extLst>
        </c:ser>
        <c:ser>
          <c:idx val="5"/>
          <c:order val="15"/>
          <c:tx>
            <c:v>Ly</c:v>
          </c:tx>
          <c:spPr>
            <a:ln w="158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D-8088-417D-BA3D-CF1C7E95D2BF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01895912-AA58-44C2-BD2D-B3520259EE2B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F8AF694A-4C0F-4A41-96D4-512F2D90D253}" type="SERIESNAME">
                      <a:rPr lang="en-US" baseline="0"/>
                      <a:pPr/>
                      <a:t>[SERIES NAME]</a:t>
                    </a:fld>
                    <a:endParaRPr lang="en-US" baseline="0"/>
                  </a:p>
                </c:rich>
              </c:tx>
              <c:dLblPos val="l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8088-417D-BA3D-CF1C7E95D2B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8088-417D-BA3D-CF1C7E95D2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Table!$G$10:$H$10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xVal>
          <c:yVal>
            <c:numRef>
              <c:f>Table!$G$11:$H$11</c:f>
              <c:numCache>
                <c:formatCode>0.000</c:formatCode>
                <c:ptCount val="2"/>
                <c:pt idx="0">
                  <c:v>0</c:v>
                </c:pt>
                <c:pt idx="1">
                  <c:v>-41.666666666666671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'Input Data'!$H$31</c15:f>
                <c15:dlblRangeCache>
                  <c:ptCount val="1"/>
                  <c:pt idx="0">
                    <c:v>1,60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F-8088-417D-BA3D-CF1C7E95D2BF}"/>
            </c:ext>
          </c:extLst>
        </c:ser>
        <c:ser>
          <c:idx val="6"/>
          <c:order val="16"/>
          <c:tx>
            <c:v>bc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0-8088-417D-BA3D-CF1C7E95D2BF}"/>
              </c:ext>
            </c:extLst>
          </c:dPt>
          <c:xVal>
            <c:numRef>
              <c:f>Table!$B$23:$C$23</c:f>
              <c:numCache>
                <c:formatCode>0.000</c:formatCode>
                <c:ptCount val="2"/>
                <c:pt idx="0">
                  <c:v>-13.020833333333334</c:v>
                </c:pt>
                <c:pt idx="1">
                  <c:v>0</c:v>
                </c:pt>
              </c:numCache>
            </c:numRef>
          </c:xVal>
          <c:yVal>
            <c:numRef>
              <c:f>Table!$B$24:$C$24</c:f>
              <c:numCache>
                <c:formatCode>0.000</c:formatCode>
                <c:ptCount val="2"/>
                <c:pt idx="0">
                  <c:v>-21.614583333333336</c:v>
                </c:pt>
                <c:pt idx="1">
                  <c:v>-21.614583333333336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8088-417D-BA3D-CF1C7E95D2BF}"/>
            </c:ext>
          </c:extLst>
        </c:ser>
        <c:ser>
          <c:idx val="7"/>
          <c:order val="17"/>
          <c:tx>
            <c:v>bc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2-8088-417D-BA3D-CF1C7E95D2BF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8088-417D-BA3D-CF1C7E95D2B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8088-417D-BA3D-CF1C7E95D2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Table!$C$23:$D$23</c:f>
              <c:numCache>
                <c:formatCode>0.000</c:formatCode>
                <c:ptCount val="2"/>
                <c:pt idx="0">
                  <c:v>0</c:v>
                </c:pt>
                <c:pt idx="1">
                  <c:v>13.020833333333334</c:v>
                </c:pt>
              </c:numCache>
            </c:numRef>
          </c:xVal>
          <c:yVal>
            <c:numRef>
              <c:f>Table!$C$24:$D$24</c:f>
              <c:numCache>
                <c:formatCode>0.000</c:formatCode>
                <c:ptCount val="2"/>
                <c:pt idx="0">
                  <c:v>-21.614583333333336</c:v>
                </c:pt>
                <c:pt idx="1">
                  <c:v>-21.614583333333336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4-8088-417D-BA3D-CF1C7E95D2BF}"/>
            </c:ext>
          </c:extLst>
        </c:ser>
        <c:ser>
          <c:idx val="8"/>
          <c:order val="18"/>
          <c:tx>
            <c:v>wc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5-8088-417D-BA3D-CF1C7E95D2BF}"/>
              </c:ext>
            </c:extLst>
          </c:dPt>
          <c:xVal>
            <c:numRef>
              <c:f>Table!$F$23:$G$23</c:f>
              <c:numCache>
                <c:formatCode>0.000</c:formatCode>
                <c:ptCount val="2"/>
                <c:pt idx="0">
                  <c:v>19.010416666666664</c:v>
                </c:pt>
                <c:pt idx="1">
                  <c:v>19.010416666666664</c:v>
                </c:pt>
              </c:numCache>
            </c:numRef>
          </c:xVal>
          <c:yVal>
            <c:numRef>
              <c:f>Table!$F$24:$G$24</c:f>
              <c:numCache>
                <c:formatCode>0.000</c:formatCode>
                <c:ptCount val="2"/>
                <c:pt idx="0">
                  <c:v>15.625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6-8088-417D-BA3D-CF1C7E95D2BF}"/>
            </c:ext>
          </c:extLst>
        </c:ser>
        <c:ser>
          <c:idx val="9"/>
          <c:order val="19"/>
          <c:tx>
            <c:v>wc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7-8088-417D-BA3D-CF1C7E95D2BF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8088-417D-BA3D-CF1C7E95D2B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8088-417D-BA3D-CF1C7E95D2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Table!$G$23:$H$23</c:f>
              <c:numCache>
                <c:formatCode>0.000</c:formatCode>
                <c:ptCount val="2"/>
                <c:pt idx="0">
                  <c:v>19.010416666666664</c:v>
                </c:pt>
                <c:pt idx="1">
                  <c:v>19.010416666666664</c:v>
                </c:pt>
              </c:numCache>
            </c:numRef>
          </c:xVal>
          <c:yVal>
            <c:numRef>
              <c:f>Table!$G$24:$H$24</c:f>
              <c:numCache>
                <c:formatCode>0.000</c:formatCode>
                <c:ptCount val="2"/>
                <c:pt idx="0">
                  <c:v>0</c:v>
                </c:pt>
                <c:pt idx="1">
                  <c:v>-15.625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8088-417D-BA3D-CF1C7E95D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3845560"/>
        <c:axId val="693852760"/>
      </c:scatterChart>
      <c:valAx>
        <c:axId val="693845560"/>
        <c:scaling>
          <c:orientation val="minMax"/>
          <c:max val="60"/>
          <c:min val="-60"/>
        </c:scaling>
        <c:delete val="1"/>
        <c:axPos val="b"/>
        <c:numFmt formatCode="0.000" sourceLinked="1"/>
        <c:majorTickMark val="out"/>
        <c:minorTickMark val="none"/>
        <c:tickLblPos val="nextTo"/>
        <c:crossAx val="693852760"/>
        <c:crosses val="autoZero"/>
        <c:crossBetween val="midCat"/>
      </c:valAx>
      <c:valAx>
        <c:axId val="693852760"/>
        <c:scaling>
          <c:orientation val="minMax"/>
          <c:max val="60"/>
          <c:min val="-60"/>
        </c:scaling>
        <c:delete val="1"/>
        <c:axPos val="l"/>
        <c:numFmt formatCode="0.000" sourceLinked="1"/>
        <c:majorTickMark val="out"/>
        <c:minorTickMark val="none"/>
        <c:tickLblPos val="nextTo"/>
        <c:crossAx val="693845560"/>
        <c:crosses val="autoZero"/>
        <c:crossBetween val="midCat"/>
      </c:valAx>
      <c:spPr>
        <a:solidFill>
          <a:schemeClr val="lt1"/>
        </a:solidFill>
        <a:ln w="12700" cap="flat" cmpd="sng" algn="ctr">
          <a:noFill/>
          <a:prstDash val="solid"/>
          <a:miter lim="800000"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293402777777779E-2"/>
          <c:y val="2.8222222222222221E-2"/>
          <c:w val="0.9360701388888889"/>
          <c:h val="0.9329722222222222"/>
        </c:manualLayout>
      </c:layout>
      <c:scatterChart>
        <c:scatterStyle val="lineMarker"/>
        <c:varyColors val="0"/>
        <c:ser>
          <c:idx val="10"/>
          <c:order val="0"/>
          <c:tx>
            <c:v>Fondasi</c:v>
          </c:tx>
          <c:spPr>
            <a:ln w="19050" cap="rnd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-3.9577274541978749E-2"/>
                  <c:y val="-7.8486952831607462E-2"/>
                </c:manualLayout>
              </c:layout>
              <c:tx>
                <c:rich>
                  <a:bodyPr/>
                  <a:lstStyle/>
                  <a:p>
                    <a:fld id="{B0F1567E-43F5-44D8-834E-63CFEFFECE21}" type="SERIESNAME">
                      <a:rPr lang="en-US"/>
                      <a:pPr/>
                      <a:t>[SERIES NAME]</a:t>
                    </a:fld>
                    <a:endParaRPr lang="en-ID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6633-4A72-8C9F-2B821C33D4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Table!$B$30:$F$30</c:f>
              <c:numCache>
                <c:formatCode>0.000</c:formatCode>
                <c:ptCount val="5"/>
                <c:pt idx="0">
                  <c:v>-27.777777777777779</c:v>
                </c:pt>
                <c:pt idx="1">
                  <c:v>-27.777777777777779</c:v>
                </c:pt>
                <c:pt idx="2">
                  <c:v>27.777777777777779</c:v>
                </c:pt>
                <c:pt idx="3">
                  <c:v>27.777777777777779</c:v>
                </c:pt>
                <c:pt idx="4">
                  <c:v>-27.777777777777779</c:v>
                </c:pt>
              </c:numCache>
            </c:numRef>
          </c:xVal>
          <c:yVal>
            <c:numRef>
              <c:f>Table!$B$31:$F$31</c:f>
              <c:numCache>
                <c:formatCode>0.000</c:formatCode>
                <c:ptCount val="5"/>
                <c:pt idx="0">
                  <c:v>-41.666666666666671</c:v>
                </c:pt>
                <c:pt idx="1">
                  <c:v>-27.777777777777779</c:v>
                </c:pt>
                <c:pt idx="2">
                  <c:v>-27.777777777777779</c:v>
                </c:pt>
                <c:pt idx="3">
                  <c:v>-41.666666666666671</c:v>
                </c:pt>
                <c:pt idx="4">
                  <c:v>-41.666666666666671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633-4A72-8C9F-2B821C33D4AF}"/>
            </c:ext>
          </c:extLst>
        </c:ser>
        <c:ser>
          <c:idx val="11"/>
          <c:order val="1"/>
          <c:tx>
            <c:v>Kolom</c:v>
          </c:tx>
          <c:spPr>
            <a:ln w="19050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tx>
                <c:rich>
                  <a:bodyPr/>
                  <a:lstStyle/>
                  <a:p>
                    <a:fld id="{1820A3C2-7BC6-4B1B-BD70-BB54975F9B28}" type="SERIESNAME">
                      <a:rPr lang="en-US"/>
                      <a:pPr/>
                      <a:t>[SERIES NAME]</a:t>
                    </a:fld>
                    <a:endParaRPr lang="en-ID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6633-4A72-8C9F-2B821C33D4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Table!$B$49:$E$49</c:f>
              <c:numCache>
                <c:formatCode>0.000</c:formatCode>
                <c:ptCount val="4"/>
                <c:pt idx="0">
                  <c:v>-8.6805555555555554</c:v>
                </c:pt>
                <c:pt idx="1">
                  <c:v>-8.6805555555555554</c:v>
                </c:pt>
                <c:pt idx="2">
                  <c:v>8.6805555555555554</c:v>
                </c:pt>
                <c:pt idx="3">
                  <c:v>8.6805555555555554</c:v>
                </c:pt>
              </c:numCache>
            </c:numRef>
          </c:xVal>
          <c:yVal>
            <c:numRef>
              <c:f>Table!$B$50:$E$50</c:f>
              <c:numCache>
                <c:formatCode>0.000</c:formatCode>
                <c:ptCount val="4"/>
                <c:pt idx="0">
                  <c:v>-27.777777777777779</c:v>
                </c:pt>
                <c:pt idx="1">
                  <c:v>41.666666666666671</c:v>
                </c:pt>
                <c:pt idx="2">
                  <c:v>41.666666666666671</c:v>
                </c:pt>
                <c:pt idx="3">
                  <c:v>-27.777777777777779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633-4A72-8C9F-2B821C33D4AF}"/>
            </c:ext>
          </c:extLst>
        </c:ser>
        <c:ser>
          <c:idx val="0"/>
          <c:order val="2"/>
          <c:tx>
            <c:v>Tanah 1</c:v>
          </c:tx>
          <c:spPr>
            <a:ln w="158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Table!$B$42:$C$42</c:f>
              <c:numCache>
                <c:formatCode>0.000</c:formatCode>
                <c:ptCount val="2"/>
                <c:pt idx="0">
                  <c:v>-48.611111111111107</c:v>
                </c:pt>
                <c:pt idx="1">
                  <c:v>-8.6805555555555554</c:v>
                </c:pt>
              </c:numCache>
            </c:numRef>
          </c:xVal>
          <c:yVal>
            <c:numRef>
              <c:f>Table!$B$43:$C$43</c:f>
              <c:numCache>
                <c:formatCode>0.000</c:formatCode>
                <c:ptCount val="2"/>
                <c:pt idx="0">
                  <c:v>27.777777777777779</c:v>
                </c:pt>
                <c:pt idx="1">
                  <c:v>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633-4A72-8C9F-2B821C33D4AF}"/>
            </c:ext>
          </c:extLst>
        </c:ser>
        <c:ser>
          <c:idx val="1"/>
          <c:order val="3"/>
          <c:tx>
            <c:v>Tanah 2</c:v>
          </c:tx>
          <c:spPr>
            <a:ln w="15875" cap="rnd">
              <a:solidFill>
                <a:schemeClr val="accent2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Table!$D$42:$E$42</c:f>
              <c:numCache>
                <c:formatCode>0.000</c:formatCode>
                <c:ptCount val="2"/>
                <c:pt idx="0">
                  <c:v>8.6805555555555554</c:v>
                </c:pt>
                <c:pt idx="1">
                  <c:v>48.611111111111107</c:v>
                </c:pt>
              </c:numCache>
            </c:numRef>
          </c:xVal>
          <c:yVal>
            <c:numRef>
              <c:f>Table!$D$43:$E$43</c:f>
              <c:numCache>
                <c:formatCode>0.000</c:formatCode>
                <c:ptCount val="2"/>
                <c:pt idx="0">
                  <c:v>27.777777777777779</c:v>
                </c:pt>
                <c:pt idx="1">
                  <c:v>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633-4A72-8C9F-2B821C33D4AF}"/>
            </c:ext>
          </c:extLst>
        </c:ser>
        <c:ser>
          <c:idx val="2"/>
          <c:order val="4"/>
          <c:tx>
            <c:v>Lx</c:v>
          </c:tx>
          <c:spPr>
            <a:ln w="158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5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6633-4A72-8C9F-2B821C33D4AF}"/>
              </c:ext>
            </c:extLst>
          </c:dPt>
          <c:xVal>
            <c:numRef>
              <c:f>Table!$B$35:$C$35</c:f>
              <c:numCache>
                <c:formatCode>0.000</c:formatCode>
                <c:ptCount val="2"/>
                <c:pt idx="0">
                  <c:v>-27.777777777777779</c:v>
                </c:pt>
                <c:pt idx="1">
                  <c:v>0</c:v>
                </c:pt>
              </c:numCache>
            </c:numRef>
          </c:xVal>
          <c:yVal>
            <c:numRef>
              <c:f>Table!$B$36:$C$36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633-4A72-8C9F-2B821C33D4AF}"/>
            </c:ext>
          </c:extLst>
        </c:ser>
        <c:ser>
          <c:idx val="3"/>
          <c:order val="5"/>
          <c:tx>
            <c:v>Lx</c:v>
          </c:tx>
          <c:spPr>
            <a:ln w="158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8-6633-4A72-8C9F-2B821C33D4AF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7D0F56F-09E9-4D39-A62A-45CB3FBD021E}" type="CELLRANGE">
                      <a:rPr lang="en-US" sz="1000" b="1" baseline="0">
                        <a:solidFill>
                          <a:sysClr val="windowText" lastClr="000000"/>
                        </a:solidFill>
                      </a:rPr>
                      <a:pPr>
                        <a:defRPr sz="1000" b="1">
                          <a:solidFill>
                            <a:sysClr val="windowText" lastClr="000000"/>
                          </a:solidFill>
                        </a:defRPr>
                      </a:pPr>
                      <a:t>[CELLRANGE]</a:t>
                    </a:fld>
                    <a:r>
                      <a:rPr lang="en-US" sz="1000" b="1" baseline="0">
                        <a:solidFill>
                          <a:sysClr val="windowText" lastClr="000000"/>
                        </a:solidFill>
                      </a:rPr>
                      <a:t>; </a:t>
                    </a:r>
                    <a:fld id="{12187D34-C10D-45C9-B1D8-2290D90FF8ED}" type="SERIESNAME">
                      <a:rPr lang="en-US" sz="1000" b="1" baseline="0">
                        <a:solidFill>
                          <a:sysClr val="windowText" lastClr="000000"/>
                        </a:solidFill>
                      </a:rPr>
                      <a:pPr>
                        <a:defRPr sz="1000" b="1">
                          <a:solidFill>
                            <a:sysClr val="windowText" lastClr="000000"/>
                          </a:solidFill>
                        </a:defRPr>
                      </a:pPr>
                      <a:t>[SERIES NAME]</a:t>
                    </a:fld>
                    <a:endParaRPr lang="en-US" sz="1000" b="1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6633-4A72-8C9F-2B821C33D4A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ID"/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6633-4A72-8C9F-2B821C33D4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Table!$C$35:$D$35</c:f>
              <c:numCache>
                <c:formatCode>0.000</c:formatCode>
                <c:ptCount val="2"/>
                <c:pt idx="0">
                  <c:v>0</c:v>
                </c:pt>
                <c:pt idx="1">
                  <c:v>27.777777777777779</c:v>
                </c:pt>
              </c:numCache>
            </c:numRef>
          </c:xVal>
          <c:yVal>
            <c:numRef>
              <c:f>Table!$C$36:$D$36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'Input Data'!$H$30</c15:f>
                <c15:dlblRangeCache>
                  <c:ptCount val="1"/>
                  <c:pt idx="0">
                    <c:v>1,60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A-6633-4A72-8C9F-2B821C33D4AF}"/>
            </c:ext>
          </c:extLst>
        </c:ser>
        <c:ser>
          <c:idx val="4"/>
          <c:order val="6"/>
          <c:tx>
            <c:v>Hp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B-6633-4A72-8C9F-2B821C33D4AF}"/>
              </c:ext>
            </c:extLst>
          </c:dPt>
          <c:xVal>
            <c:numRef>
              <c:f>Table!$G$35:$H$35</c:f>
              <c:numCache>
                <c:formatCode>0.000</c:formatCode>
                <c:ptCount val="2"/>
                <c:pt idx="0">
                  <c:v>33.333333333333329</c:v>
                </c:pt>
                <c:pt idx="1">
                  <c:v>33.333333333333329</c:v>
                </c:pt>
              </c:numCache>
            </c:numRef>
          </c:xVal>
          <c:yVal>
            <c:numRef>
              <c:f>Table!$G$36:$H$36</c:f>
              <c:numCache>
                <c:formatCode>0.000</c:formatCode>
                <c:ptCount val="2"/>
                <c:pt idx="0">
                  <c:v>-27.777777777777779</c:v>
                </c:pt>
                <c:pt idx="1">
                  <c:v>-34.722222222222221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633-4A72-8C9F-2B821C33D4AF}"/>
            </c:ext>
          </c:extLst>
        </c:ser>
        <c:ser>
          <c:idx val="5"/>
          <c:order val="7"/>
          <c:tx>
            <c:v>Hp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D-6633-4A72-8C9F-2B821C33D4AF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5D352C96-04E0-4FC5-8541-DB8C04965B99}" type="CELLRANGE">
                      <a:rPr lang="en-ID"/>
                      <a:pPr/>
                      <a:t>[CELLRANGE]</a:t>
                    </a:fld>
                    <a:r>
                      <a:rPr lang="en-ID" baseline="0"/>
                      <a:t>; </a:t>
                    </a:r>
                    <a:fld id="{887A052B-7A38-4853-9D4C-8A68097B52EC}" type="SERIESNAME">
                      <a:rPr lang="en-ID" baseline="0"/>
                      <a:pPr/>
                      <a:t>[SERIES NAME]</a:t>
                    </a:fld>
                    <a:endParaRPr lang="en-ID" baseline="0"/>
                  </a:p>
                </c:rich>
              </c:tx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6633-4A72-8C9F-2B821C33D4A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633-4A72-8C9F-2B821C33D4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Table!$H$35:$I$35</c:f>
              <c:numCache>
                <c:formatCode>0.000</c:formatCode>
                <c:ptCount val="2"/>
                <c:pt idx="0">
                  <c:v>33.333333333333329</c:v>
                </c:pt>
                <c:pt idx="1">
                  <c:v>33.333333333333329</c:v>
                </c:pt>
              </c:numCache>
            </c:numRef>
          </c:xVal>
          <c:yVal>
            <c:numRef>
              <c:f>Table!$H$36:$I$36</c:f>
              <c:numCache>
                <c:formatCode>0.000</c:formatCode>
                <c:ptCount val="2"/>
                <c:pt idx="0">
                  <c:v>-34.722222222222221</c:v>
                </c:pt>
                <c:pt idx="1">
                  <c:v>-41.666666666666671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'Input Data'!$H$32</c15:f>
                <c15:dlblRangeCache>
                  <c:ptCount val="1"/>
                  <c:pt idx="0">
                    <c:v>0,40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F-6633-4A72-8C9F-2B821C33D4AF}"/>
            </c:ext>
          </c:extLst>
        </c:ser>
        <c:ser>
          <c:idx val="6"/>
          <c:order val="8"/>
          <c:tx>
            <c:v>Df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0-6633-4A72-8C9F-2B821C33D4AF}"/>
              </c:ext>
            </c:extLst>
          </c:dPt>
          <c:xVal>
            <c:numRef>
              <c:f>Table!$H$42:$I$42</c:f>
              <c:numCache>
                <c:formatCode>0.000</c:formatCode>
                <c:ptCount val="2"/>
                <c:pt idx="0">
                  <c:v>50</c:v>
                </c:pt>
                <c:pt idx="1">
                  <c:v>50</c:v>
                </c:pt>
              </c:numCache>
            </c:numRef>
          </c:xVal>
          <c:yVal>
            <c:numRef>
              <c:f>Table!$H$43:$I$43</c:f>
              <c:numCache>
                <c:formatCode>0.000</c:formatCode>
                <c:ptCount val="2"/>
                <c:pt idx="0">
                  <c:v>-41.666666666666671</c:v>
                </c:pt>
                <c:pt idx="1">
                  <c:v>-6.9444444444444438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6633-4A72-8C9F-2B821C33D4AF}"/>
            </c:ext>
          </c:extLst>
        </c:ser>
        <c:ser>
          <c:idx val="7"/>
          <c:order val="9"/>
          <c:tx>
            <c:v>Df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2-6633-4A72-8C9F-2B821C33D4AF}"/>
              </c:ext>
            </c:extLst>
          </c:dPt>
          <c:dLbls>
            <c:dLbl>
              <c:idx val="0"/>
              <c:tx>
                <c:rich>
                  <a:bodyPr rot="-5400000" spcFirstLastPara="1" vertOverflow="ellipsis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800" b="1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89634DD-1016-4AF2-A10A-5DDEA3CA0F11}" type="CELLREF">
                      <a:rPr lang="en-US" sz="800" b="1">
                        <a:solidFill>
                          <a:sysClr val="windowText" lastClr="000000"/>
                        </a:solidFill>
                      </a:rPr>
                      <a:pPr>
                        <a:defRPr sz="800" b="1">
                          <a:solidFill>
                            <a:sysClr val="windowText" lastClr="000000"/>
                          </a:solidFill>
                        </a:defRPr>
                      </a:pPr>
                      <a:t>[CELLREF]</a:t>
                    </a:fld>
                    <a:r>
                      <a:rPr lang="en-US" sz="800" b="1" baseline="0">
                        <a:solidFill>
                          <a:sysClr val="windowText" lastClr="000000"/>
                        </a:solidFill>
                      </a:rPr>
                      <a:t>; </a:t>
                    </a:r>
                    <a:fld id="{67643DB7-107F-435A-BFFF-74973C34138A}" type="SERIESNAME">
                      <a:rPr lang="en-US" sz="800" b="1" baseline="0">
                        <a:solidFill>
                          <a:sysClr val="windowText" lastClr="000000"/>
                        </a:solidFill>
                      </a:rPr>
                      <a:pPr>
                        <a:defRPr sz="800" b="1">
                          <a:solidFill>
                            <a:sysClr val="windowText" lastClr="000000"/>
                          </a:solidFill>
                        </a:defRPr>
                      </a:pPr>
                      <a:t>[SERIES NAME]</a:t>
                    </a:fld>
                    <a:endParaRPr lang="en-US" sz="800" b="1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{689634DD-1016-4AF2-A10A-5DDEA3CA0F11}</c15:txfldGUID>
                      <c15:f>'Input Data'!$H$4</c15:f>
                      <c15:dlblFieldTableCache>
                        <c:ptCount val="1"/>
                        <c:pt idx="0">
                          <c:v>-2,00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6633-4A72-8C9F-2B821C33D4A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633-4A72-8C9F-2B821C33D4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Table!$I$42:$J$42</c:f>
              <c:numCache>
                <c:formatCode>0.000</c:formatCode>
                <c:ptCount val="2"/>
                <c:pt idx="0">
                  <c:v>50</c:v>
                </c:pt>
                <c:pt idx="1">
                  <c:v>50</c:v>
                </c:pt>
              </c:numCache>
            </c:numRef>
          </c:xVal>
          <c:yVal>
            <c:numRef>
              <c:f>Table!$I$43:$J$43</c:f>
              <c:numCache>
                <c:formatCode>0.000</c:formatCode>
                <c:ptCount val="2"/>
                <c:pt idx="0">
                  <c:v>-6.9444444444444438</c:v>
                </c:pt>
                <c:pt idx="1">
                  <c:v>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6633-4A72-8C9F-2B821C33D4AF}"/>
            </c:ext>
          </c:extLst>
        </c:ser>
        <c:ser>
          <c:idx val="8"/>
          <c:order val="10"/>
          <c:tx>
            <c:v>bc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5-6633-4A72-8C9F-2B821C33D4AF}"/>
              </c:ext>
            </c:extLst>
          </c:dPt>
          <c:xVal>
            <c:numRef>
              <c:f>Table!$H$49:$I$49</c:f>
              <c:numCache>
                <c:formatCode>0.000</c:formatCode>
                <c:ptCount val="2"/>
                <c:pt idx="0">
                  <c:v>-8.6805555555555554</c:v>
                </c:pt>
                <c:pt idx="1">
                  <c:v>0</c:v>
                </c:pt>
              </c:numCache>
            </c:numRef>
          </c:xVal>
          <c:yVal>
            <c:numRef>
              <c:f>Table!$H$50:$I$50</c:f>
              <c:numCache>
                <c:formatCode>0.000</c:formatCode>
                <c:ptCount val="2"/>
                <c:pt idx="0">
                  <c:v>50.000000000000014</c:v>
                </c:pt>
                <c:pt idx="1">
                  <c:v>50.000000000000014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6633-4A72-8C9F-2B821C33D4AF}"/>
            </c:ext>
          </c:extLst>
        </c:ser>
        <c:ser>
          <c:idx val="9"/>
          <c:order val="11"/>
          <c:tx>
            <c:v>bc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7-6633-4A72-8C9F-2B821C33D4AF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698B1F59-DD29-4322-871F-26963E4634D1}" type="CELLREF">
                      <a:rPr lang="en-US"/>
                      <a:pPr/>
                      <a:t>[CELLREF]</a:t>
                    </a:fld>
                    <a:r>
                      <a:rPr lang="en-US" baseline="0"/>
                      <a:t>; </a:t>
                    </a:r>
                    <a:fld id="{BA064D4B-083D-473A-B78D-3918055156A3}" type="SERIESNAME">
                      <a:rPr lang="en-US" baseline="0"/>
                      <a:pPr/>
                      <a:t>[SERIES NAME]</a:t>
                    </a:fld>
                    <a:endParaRPr lang="en-US" baseline="0"/>
                  </a:p>
                </c:rich>
              </c:tx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{698B1F59-DD29-4322-871F-26963E4634D1}</c15:txfldGUID>
                      <c15:f>'Input Data'!$H$28</c15:f>
                      <c15:dlblFieldTableCache>
                        <c:ptCount val="1"/>
                        <c:pt idx="0">
                          <c:v>0,50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7-6633-4A72-8C9F-2B821C33D4A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633-4A72-8C9F-2B821C33D4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Table!$I$49:$J$49</c:f>
              <c:numCache>
                <c:formatCode>0.000</c:formatCode>
                <c:ptCount val="2"/>
                <c:pt idx="0">
                  <c:v>0</c:v>
                </c:pt>
                <c:pt idx="1">
                  <c:v>8.6805555555555554</c:v>
                </c:pt>
              </c:numCache>
            </c:numRef>
          </c:xVal>
          <c:yVal>
            <c:numRef>
              <c:f>Table!$I$50:$J$50</c:f>
              <c:numCache>
                <c:formatCode>0.000</c:formatCode>
                <c:ptCount val="2"/>
                <c:pt idx="0">
                  <c:v>50.000000000000014</c:v>
                </c:pt>
                <c:pt idx="1">
                  <c:v>50.000000000000014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6633-4A72-8C9F-2B821C33D4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3845560"/>
        <c:axId val="693852760"/>
      </c:scatterChart>
      <c:valAx>
        <c:axId val="693845560"/>
        <c:scaling>
          <c:orientation val="minMax"/>
          <c:max val="60"/>
          <c:min val="-60"/>
        </c:scaling>
        <c:delete val="1"/>
        <c:axPos val="b"/>
        <c:numFmt formatCode="0.000" sourceLinked="1"/>
        <c:majorTickMark val="out"/>
        <c:minorTickMark val="none"/>
        <c:tickLblPos val="nextTo"/>
        <c:crossAx val="693852760"/>
        <c:crosses val="autoZero"/>
        <c:crossBetween val="midCat"/>
      </c:valAx>
      <c:valAx>
        <c:axId val="693852760"/>
        <c:scaling>
          <c:orientation val="minMax"/>
          <c:max val="60"/>
          <c:min val="-60"/>
        </c:scaling>
        <c:delete val="1"/>
        <c:axPos val="l"/>
        <c:numFmt formatCode="0.000" sourceLinked="1"/>
        <c:majorTickMark val="out"/>
        <c:minorTickMark val="none"/>
        <c:tickLblPos val="nextTo"/>
        <c:crossAx val="693845560"/>
        <c:crosses val="autoZero"/>
        <c:crossBetween val="midCat"/>
      </c:valAx>
      <c:spPr>
        <a:solidFill>
          <a:schemeClr val="lt1"/>
        </a:solidFill>
        <a:ln w="12700" cap="flat" cmpd="sng" algn="ctr">
          <a:noFill/>
          <a:prstDash val="solid"/>
          <a:miter lim="800000"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293402777777779E-2"/>
          <c:y val="2.8222222222222221E-2"/>
          <c:w val="0.9360701388888889"/>
          <c:h val="0.9329722222222222"/>
        </c:manualLayout>
      </c:layout>
      <c:scatterChart>
        <c:scatterStyle val="lineMarker"/>
        <c:varyColors val="0"/>
        <c:ser>
          <c:idx val="10"/>
          <c:order val="0"/>
          <c:tx>
            <c:v>Fondasi</c:v>
          </c:tx>
          <c:spPr>
            <a:ln w="19050" cap="rnd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-3.0760968932459592E-2"/>
                  <c:y val="-9.1568111636875268E-2"/>
                </c:manualLayout>
              </c:layout>
              <c:tx>
                <c:rich>
                  <a:bodyPr/>
                  <a:lstStyle/>
                  <a:p>
                    <a:fld id="{072D384F-2168-4B48-90F5-B99C290DA529}" type="SERIESNAME">
                      <a:rPr lang="en-US"/>
                      <a:pPr/>
                      <a:t>[SERIES NAME]</a:t>
                    </a:fld>
                    <a:endParaRPr lang="en-ID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FCE5-410F-BF75-BA97F0B36B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Table!$B$57:$F$57</c:f>
              <c:numCache>
                <c:formatCode>0.000</c:formatCode>
                <c:ptCount val="5"/>
                <c:pt idx="0">
                  <c:v>-27.777777777777779</c:v>
                </c:pt>
                <c:pt idx="1">
                  <c:v>-27.777777777777779</c:v>
                </c:pt>
                <c:pt idx="2">
                  <c:v>27.777777777777779</c:v>
                </c:pt>
                <c:pt idx="3">
                  <c:v>27.777777777777779</c:v>
                </c:pt>
                <c:pt idx="4">
                  <c:v>-27.777777777777779</c:v>
                </c:pt>
              </c:numCache>
            </c:numRef>
          </c:xVal>
          <c:yVal>
            <c:numRef>
              <c:f>Table!$B$58:$F$58</c:f>
              <c:numCache>
                <c:formatCode>0.000</c:formatCode>
                <c:ptCount val="5"/>
                <c:pt idx="0">
                  <c:v>-41.666666666666671</c:v>
                </c:pt>
                <c:pt idx="1">
                  <c:v>-27.777777777777779</c:v>
                </c:pt>
                <c:pt idx="2">
                  <c:v>-27.777777777777779</c:v>
                </c:pt>
                <c:pt idx="3">
                  <c:v>-41.666666666666671</c:v>
                </c:pt>
                <c:pt idx="4">
                  <c:v>-41.666666666666671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CE5-410F-BF75-BA97F0B36B31}"/>
            </c:ext>
          </c:extLst>
        </c:ser>
        <c:ser>
          <c:idx val="11"/>
          <c:order val="1"/>
          <c:tx>
            <c:v>Kolom</c:v>
          </c:tx>
          <c:spPr>
            <a:ln w="19050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tx>
                <c:rich>
                  <a:bodyPr/>
                  <a:lstStyle/>
                  <a:p>
                    <a:fld id="{8DFCD852-57AA-4621-9FDE-ED25A16BFDCB}" type="SERIESNAME">
                      <a:rPr lang="en-US"/>
                      <a:pPr/>
                      <a:t>[SERIES NAME]</a:t>
                    </a:fld>
                    <a:endParaRPr lang="en-ID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FCE5-410F-BF75-BA97F0B36B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Table!$B$76:$E$76</c:f>
              <c:numCache>
                <c:formatCode>0.000</c:formatCode>
                <c:ptCount val="4"/>
                <c:pt idx="0">
                  <c:v>-10.416666666666668</c:v>
                </c:pt>
                <c:pt idx="1">
                  <c:v>-10.416666666666668</c:v>
                </c:pt>
                <c:pt idx="2">
                  <c:v>10.416666666666668</c:v>
                </c:pt>
                <c:pt idx="3">
                  <c:v>10.416666666666668</c:v>
                </c:pt>
              </c:numCache>
            </c:numRef>
          </c:xVal>
          <c:yVal>
            <c:numRef>
              <c:f>Table!$B$77:$E$77</c:f>
              <c:numCache>
                <c:formatCode>0.000</c:formatCode>
                <c:ptCount val="4"/>
                <c:pt idx="0">
                  <c:v>-27.777777777777779</c:v>
                </c:pt>
                <c:pt idx="1">
                  <c:v>41.666666666666671</c:v>
                </c:pt>
                <c:pt idx="2">
                  <c:v>41.666666666666671</c:v>
                </c:pt>
                <c:pt idx="3">
                  <c:v>-27.777777777777779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CE5-410F-BF75-BA97F0B36B31}"/>
            </c:ext>
          </c:extLst>
        </c:ser>
        <c:ser>
          <c:idx val="0"/>
          <c:order val="2"/>
          <c:tx>
            <c:v>Tanah 1</c:v>
          </c:tx>
          <c:spPr>
            <a:ln w="158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Table!$B$69:$C$69</c:f>
              <c:numCache>
                <c:formatCode>0.000</c:formatCode>
                <c:ptCount val="2"/>
                <c:pt idx="0">
                  <c:v>-48.611111111111107</c:v>
                </c:pt>
                <c:pt idx="1">
                  <c:v>-10.416666666666668</c:v>
                </c:pt>
              </c:numCache>
            </c:numRef>
          </c:xVal>
          <c:yVal>
            <c:numRef>
              <c:f>Table!$B$70:$C$70</c:f>
              <c:numCache>
                <c:formatCode>0.000</c:formatCode>
                <c:ptCount val="2"/>
                <c:pt idx="0">
                  <c:v>27.777777777777779</c:v>
                </c:pt>
                <c:pt idx="1">
                  <c:v>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CE5-410F-BF75-BA97F0B36B31}"/>
            </c:ext>
          </c:extLst>
        </c:ser>
        <c:ser>
          <c:idx val="1"/>
          <c:order val="3"/>
          <c:tx>
            <c:v>Tanah 2</c:v>
          </c:tx>
          <c:spPr>
            <a:ln w="158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Table!$D$69:$E$69</c:f>
              <c:numCache>
                <c:formatCode>0.000</c:formatCode>
                <c:ptCount val="2"/>
                <c:pt idx="0">
                  <c:v>10.416666666666668</c:v>
                </c:pt>
                <c:pt idx="1">
                  <c:v>48.611111111111107</c:v>
                </c:pt>
              </c:numCache>
            </c:numRef>
          </c:xVal>
          <c:yVal>
            <c:numRef>
              <c:f>Table!$D$70:$E$70</c:f>
              <c:numCache>
                <c:formatCode>0.000</c:formatCode>
                <c:ptCount val="2"/>
                <c:pt idx="0">
                  <c:v>27.777777777777779</c:v>
                </c:pt>
                <c:pt idx="1">
                  <c:v>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CE5-410F-BF75-BA97F0B36B31}"/>
            </c:ext>
          </c:extLst>
        </c:ser>
        <c:ser>
          <c:idx val="2"/>
          <c:order val="4"/>
          <c:tx>
            <c:v>Ly</c:v>
          </c:tx>
          <c:spPr>
            <a:ln w="158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5"/>
              <c:spPr>
                <a:solidFill>
                  <a:srgbClr val="C00000"/>
                </a:solidFill>
                <a:ln w="9525">
                  <a:solidFill>
                    <a:schemeClr val="accent3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FCE5-410F-BF75-BA97F0B36B31}"/>
              </c:ext>
            </c:extLst>
          </c:dPt>
          <c:xVal>
            <c:numRef>
              <c:f>Table!$B$62:$C$62</c:f>
              <c:numCache>
                <c:formatCode>0.000</c:formatCode>
                <c:ptCount val="2"/>
                <c:pt idx="0">
                  <c:v>-27.777777777777779</c:v>
                </c:pt>
                <c:pt idx="1">
                  <c:v>0</c:v>
                </c:pt>
              </c:numCache>
            </c:numRef>
          </c:xVal>
          <c:yVal>
            <c:numRef>
              <c:f>Table!$B$63:$C$63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CE5-410F-BF75-BA97F0B36B31}"/>
            </c:ext>
          </c:extLst>
        </c:ser>
        <c:ser>
          <c:idx val="3"/>
          <c:order val="5"/>
          <c:tx>
            <c:v>Ly</c:v>
          </c:tx>
          <c:spPr>
            <a:ln w="158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1"/>
            <c:marker>
              <c:symbol val="circle"/>
              <c:size val="5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FCE5-410F-BF75-BA97F0B36B31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4B93389C-6C2F-4BF7-9EA4-40F4DDAC6734}" type="CELLREF">
                      <a:rPr lang="en-US" b="1">
                        <a:solidFill>
                          <a:sysClr val="windowText" lastClr="000000"/>
                        </a:solidFill>
                      </a:rPr>
                      <a:pPr>
                        <a:defRPr b="1">
                          <a:solidFill>
                            <a:sysClr val="windowText" lastClr="000000"/>
                          </a:solidFill>
                        </a:defRPr>
                      </a:pPr>
                      <a:t>[CELLREF]</a:t>
                    </a:fld>
                    <a:r>
                      <a:rPr lang="en-US" b="1" baseline="0">
                        <a:solidFill>
                          <a:sysClr val="windowText" lastClr="000000"/>
                        </a:solidFill>
                      </a:rPr>
                      <a:t>; </a:t>
                    </a:r>
                    <a:fld id="{1B8E01EA-3C3C-4411-A9B9-F98FF2A033F1}" type="SERIESNAME">
                      <a:rPr lang="en-US" b="1" baseline="0">
                        <a:solidFill>
                          <a:sysClr val="windowText" lastClr="000000"/>
                        </a:solidFill>
                      </a:rPr>
                      <a:pPr>
                        <a:defRPr b="1">
                          <a:solidFill>
                            <a:sysClr val="windowText" lastClr="000000"/>
                          </a:solidFill>
                        </a:defRPr>
                      </a:pPr>
                      <a:t>[SERIES NAME]</a:t>
                    </a:fld>
                    <a:endParaRPr lang="en-US" b="1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{4B93389C-6C2F-4BF7-9EA4-40F4DDAC6734}</c15:txfldGUID>
                      <c15:f>'Input Data'!$H$31</c15:f>
                      <c15:dlblFieldTableCache>
                        <c:ptCount val="1"/>
                        <c:pt idx="0">
                          <c:v>1,60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FCE5-410F-BF75-BA97F0B36B3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CE5-410F-BF75-BA97F0B36B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Table!$C$62:$D$62</c:f>
              <c:numCache>
                <c:formatCode>0.000</c:formatCode>
                <c:ptCount val="2"/>
                <c:pt idx="0">
                  <c:v>0</c:v>
                </c:pt>
                <c:pt idx="1">
                  <c:v>27.777777777777779</c:v>
                </c:pt>
              </c:numCache>
            </c:numRef>
          </c:xVal>
          <c:yVal>
            <c:numRef>
              <c:f>Table!$C$63:$D$63</c:f>
              <c:numCache>
                <c:formatCode>0.000</c:formatCode>
                <c:ptCount val="2"/>
                <c:pt idx="0">
                  <c:v>-50</c:v>
                </c:pt>
                <c:pt idx="1">
                  <c:v>-50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FCE5-410F-BF75-BA97F0B36B31}"/>
            </c:ext>
          </c:extLst>
        </c:ser>
        <c:ser>
          <c:idx val="4"/>
          <c:order val="6"/>
          <c:tx>
            <c:v>Hp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spPr>
              <a:ln w="12700" cap="rnd">
                <a:gradFill>
                  <a:gsLst>
                    <a:gs pos="0">
                      <a:schemeClr val="accent1">
                        <a:lumMod val="5000"/>
                        <a:lumOff val="95000"/>
                      </a:schemeClr>
                    </a:gs>
                    <a:gs pos="74000">
                      <a:schemeClr val="accent1">
                        <a:lumMod val="45000"/>
                        <a:lumOff val="55000"/>
                      </a:schemeClr>
                    </a:gs>
                    <a:gs pos="83000">
                      <a:schemeClr val="accent1">
                        <a:lumMod val="45000"/>
                        <a:lumOff val="55000"/>
                      </a:schemeClr>
                    </a:gs>
                    <a:gs pos="100000">
                      <a:schemeClr val="accent1">
                        <a:lumMod val="30000"/>
                        <a:lumOff val="70000"/>
                      </a:schemeClr>
                    </a:gs>
                  </a:gsLst>
                  <a:lin ang="5400000" scaled="1"/>
                </a:gradFill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FCE5-410F-BF75-BA97F0B36B31}"/>
              </c:ext>
            </c:extLst>
          </c:dPt>
          <c:xVal>
            <c:numRef>
              <c:f>Table!$G$62:$H$62</c:f>
              <c:numCache>
                <c:formatCode>0.000</c:formatCode>
                <c:ptCount val="2"/>
                <c:pt idx="0">
                  <c:v>33.333333333333329</c:v>
                </c:pt>
                <c:pt idx="1">
                  <c:v>33.333333333333329</c:v>
                </c:pt>
              </c:numCache>
            </c:numRef>
          </c:xVal>
          <c:yVal>
            <c:numRef>
              <c:f>Table!$G$63:$H$63</c:f>
              <c:numCache>
                <c:formatCode>0.000</c:formatCode>
                <c:ptCount val="2"/>
                <c:pt idx="0">
                  <c:v>-27.777777777777779</c:v>
                </c:pt>
                <c:pt idx="1">
                  <c:v>-34.722222222222221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FCE5-410F-BF75-BA97F0B36B31}"/>
            </c:ext>
          </c:extLst>
        </c:ser>
        <c:ser>
          <c:idx val="5"/>
          <c:order val="7"/>
          <c:tx>
            <c:v>Hp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1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FCE5-410F-BF75-BA97F0B36B31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637874B8-23CA-4454-9CA1-3FB069222CC1}" type="CELLREF">
                      <a:rPr lang="en-US"/>
                      <a:pPr/>
                      <a:t>[CELLREF]</a:t>
                    </a:fld>
                    <a:r>
                      <a:rPr lang="en-US" baseline="0"/>
                      <a:t>; </a:t>
                    </a:r>
                    <a:fld id="{E504B091-51F9-4ED2-A14B-105AA3F674A4}" type="SERIESNAME">
                      <a:rPr lang="en-US" baseline="0"/>
                      <a:pPr/>
                      <a:t>[SERIES NAME]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{637874B8-23CA-4454-9CA1-3FB069222CC1}</c15:txfldGUID>
                      <c15:f>'Input Data'!$H$32</c15:f>
                      <c15:dlblFieldTableCache>
                        <c:ptCount val="1"/>
                        <c:pt idx="0">
                          <c:v>0,40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FCE5-410F-BF75-BA97F0B36B3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CE5-410F-BF75-BA97F0B36B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Table!$H$62:$I$62</c:f>
              <c:numCache>
                <c:formatCode>0.000</c:formatCode>
                <c:ptCount val="2"/>
                <c:pt idx="0">
                  <c:v>33.333333333333329</c:v>
                </c:pt>
                <c:pt idx="1">
                  <c:v>33.333333333333329</c:v>
                </c:pt>
              </c:numCache>
            </c:numRef>
          </c:xVal>
          <c:yVal>
            <c:numRef>
              <c:f>Table!$H$63:$I$63</c:f>
              <c:numCache>
                <c:formatCode>0.000</c:formatCode>
                <c:ptCount val="2"/>
                <c:pt idx="0">
                  <c:v>-34.722222222222221</c:v>
                </c:pt>
                <c:pt idx="1">
                  <c:v>-41.666666666666671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FCE5-410F-BF75-BA97F0B36B31}"/>
            </c:ext>
          </c:extLst>
        </c:ser>
        <c:ser>
          <c:idx val="6"/>
          <c:order val="8"/>
          <c:tx>
            <c:v>Df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FCE5-410F-BF75-BA97F0B36B31}"/>
              </c:ext>
            </c:extLst>
          </c:dPt>
          <c:xVal>
            <c:numRef>
              <c:f>Table!$H$69:$I$69</c:f>
              <c:numCache>
                <c:formatCode>0.000</c:formatCode>
                <c:ptCount val="2"/>
                <c:pt idx="0">
                  <c:v>50</c:v>
                </c:pt>
                <c:pt idx="1">
                  <c:v>50</c:v>
                </c:pt>
              </c:numCache>
            </c:numRef>
          </c:xVal>
          <c:yVal>
            <c:numRef>
              <c:f>Table!$H$70:$I$70</c:f>
              <c:numCache>
                <c:formatCode>0.000</c:formatCode>
                <c:ptCount val="2"/>
                <c:pt idx="0">
                  <c:v>-41.666666666666671</c:v>
                </c:pt>
                <c:pt idx="1">
                  <c:v>-6.9444444444444438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FCE5-410F-BF75-BA97F0B36B31}"/>
            </c:ext>
          </c:extLst>
        </c:ser>
        <c:ser>
          <c:idx val="7"/>
          <c:order val="9"/>
          <c:tx>
            <c:v>Df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1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FCE5-410F-BF75-BA97F0B36B31}"/>
              </c:ext>
            </c:extLst>
          </c:dPt>
          <c:dLbls>
            <c:dLbl>
              <c:idx val="0"/>
              <c:tx>
                <c:rich>
                  <a:bodyPr rot="-5400000" spcFirstLastPara="1" vertOverflow="ellipsis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800" b="1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9CD292B0-EC61-4426-88B9-11A7662D8EF8}" type="CELLREF">
                      <a:rPr lang="en-US" sz="800" b="1"/>
                      <a:pPr>
                        <a:defRPr sz="800" b="1"/>
                      </a:pPr>
                      <a:t>[CELLREF]</a:t>
                    </a:fld>
                    <a:r>
                      <a:rPr lang="en-US" sz="800" b="1" baseline="0"/>
                      <a:t>; </a:t>
                    </a:r>
                    <a:fld id="{05094943-BF05-4DF3-B587-A8B4CC09333A}" type="SERIESNAME">
                      <a:rPr lang="en-US" sz="800" b="1" baseline="0"/>
                      <a:pPr>
                        <a:defRPr sz="800" b="1"/>
                      </a:pPr>
                      <a:t>[SERIES NAME]</a:t>
                    </a:fld>
                    <a:endParaRPr lang="en-US" sz="800" b="1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{9CD292B0-EC61-4426-88B9-11A7662D8EF8}</c15:txfldGUID>
                      <c15:f>'Input Data'!$H$4</c15:f>
                      <c15:dlblFieldTableCache>
                        <c:ptCount val="1"/>
                        <c:pt idx="0">
                          <c:v>-2,00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FCE5-410F-BF75-BA97F0B36B3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CE5-410F-BF75-BA97F0B36B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Table!$I$69:$J$69</c:f>
              <c:numCache>
                <c:formatCode>0.000</c:formatCode>
                <c:ptCount val="2"/>
                <c:pt idx="0">
                  <c:v>50</c:v>
                </c:pt>
                <c:pt idx="1">
                  <c:v>50</c:v>
                </c:pt>
              </c:numCache>
            </c:numRef>
          </c:xVal>
          <c:yVal>
            <c:numRef>
              <c:f>Table!$I$70:$J$70</c:f>
              <c:numCache>
                <c:formatCode>0.000</c:formatCode>
                <c:ptCount val="2"/>
                <c:pt idx="0">
                  <c:v>-6.9444444444444438</c:v>
                </c:pt>
                <c:pt idx="1">
                  <c:v>27.777777777777779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FCE5-410F-BF75-BA97F0B36B31}"/>
            </c:ext>
          </c:extLst>
        </c:ser>
        <c:ser>
          <c:idx val="8"/>
          <c:order val="10"/>
          <c:tx>
            <c:v>wc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FCE5-410F-BF75-BA97F0B36B31}"/>
              </c:ext>
            </c:extLst>
          </c:dPt>
          <c:xVal>
            <c:numRef>
              <c:f>Table!$H$76:$I$76</c:f>
              <c:numCache>
                <c:formatCode>0.000</c:formatCode>
                <c:ptCount val="2"/>
                <c:pt idx="0">
                  <c:v>-10.416666666666668</c:v>
                </c:pt>
                <c:pt idx="1">
                  <c:v>0</c:v>
                </c:pt>
              </c:numCache>
            </c:numRef>
          </c:xVal>
          <c:yVal>
            <c:numRef>
              <c:f>Table!$H$77:$I$77</c:f>
              <c:numCache>
                <c:formatCode>0.000</c:formatCode>
                <c:ptCount val="2"/>
                <c:pt idx="0">
                  <c:v>50.000000000000014</c:v>
                </c:pt>
                <c:pt idx="1">
                  <c:v>50.000000000000014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FCE5-410F-BF75-BA97F0B36B31}"/>
            </c:ext>
          </c:extLst>
        </c:ser>
        <c:ser>
          <c:idx val="9"/>
          <c:order val="11"/>
          <c:tx>
            <c:v>wc</c:v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1"/>
            <c:marker>
              <c:symbol val="circle"/>
              <c:size val="3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8-FCE5-410F-BF75-BA97F0B36B31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2E314805-05DD-47E8-B77D-3F826AD6373C}" type="CELLREF">
                      <a:rPr lang="en-US"/>
                      <a:pPr/>
                      <a:t>[CELLREF]</a:t>
                    </a:fld>
                    <a:r>
                      <a:rPr lang="en-US" baseline="0"/>
                      <a:t>; </a:t>
                    </a:r>
                    <a:fld id="{2AAEF890-DBB8-48F7-B4C4-A291613A97B3}" type="SERIESNAME">
                      <a:rPr lang="en-US" baseline="0"/>
                      <a:pPr/>
                      <a:t>[SERIES NAME]</a:t>
                    </a:fld>
                    <a:endParaRPr lang="en-US" baseline="0"/>
                  </a:p>
                </c:rich>
              </c:tx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{2E314805-05DD-47E8-B77D-3F826AD6373C}</c15:txfldGUID>
                      <c15:f>'Input Data'!$H$29</c15:f>
                      <c15:dlblFieldTableCache>
                        <c:ptCount val="1"/>
                        <c:pt idx="0">
                          <c:v>0,60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FCE5-410F-BF75-BA97F0B36B3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CE5-410F-BF75-BA97F0B36B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Table!$I$76:$J$76</c:f>
              <c:numCache>
                <c:formatCode>0.000</c:formatCode>
                <c:ptCount val="2"/>
                <c:pt idx="0">
                  <c:v>0</c:v>
                </c:pt>
                <c:pt idx="1">
                  <c:v>10.416666666666668</c:v>
                </c:pt>
              </c:numCache>
            </c:numRef>
          </c:xVal>
          <c:yVal>
            <c:numRef>
              <c:f>Table!$I$77:$J$77</c:f>
              <c:numCache>
                <c:formatCode>0.000</c:formatCode>
                <c:ptCount val="2"/>
                <c:pt idx="0">
                  <c:v>50.000000000000014</c:v>
                </c:pt>
                <c:pt idx="1">
                  <c:v>50.000000000000014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FCE5-410F-BF75-BA97F0B36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3845560"/>
        <c:axId val="693852760"/>
      </c:scatterChart>
      <c:valAx>
        <c:axId val="693845560"/>
        <c:scaling>
          <c:orientation val="minMax"/>
          <c:max val="60"/>
          <c:min val="-60"/>
        </c:scaling>
        <c:delete val="1"/>
        <c:axPos val="b"/>
        <c:numFmt formatCode="0.000" sourceLinked="1"/>
        <c:majorTickMark val="out"/>
        <c:minorTickMark val="none"/>
        <c:tickLblPos val="nextTo"/>
        <c:crossAx val="693852760"/>
        <c:crosses val="autoZero"/>
        <c:crossBetween val="midCat"/>
      </c:valAx>
      <c:valAx>
        <c:axId val="693852760"/>
        <c:scaling>
          <c:orientation val="minMax"/>
          <c:max val="60"/>
          <c:min val="-60"/>
        </c:scaling>
        <c:delete val="1"/>
        <c:axPos val="l"/>
        <c:numFmt formatCode="0.000" sourceLinked="1"/>
        <c:majorTickMark val="out"/>
        <c:minorTickMark val="none"/>
        <c:tickLblPos val="nextTo"/>
        <c:crossAx val="693845560"/>
        <c:crosses val="autoZero"/>
        <c:crossBetween val="midCat"/>
      </c:valAx>
      <c:spPr>
        <a:solidFill>
          <a:schemeClr val="lt1"/>
        </a:solidFill>
        <a:ln w="12700" cap="flat" cmpd="sng" algn="ctr">
          <a:noFill/>
          <a:prstDash val="solid"/>
          <a:miter lim="800000"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1.png"/><Relationship Id="rId7" Type="http://schemas.openxmlformats.org/officeDocument/2006/relationships/image" Target="../media/image6.png"/><Relationship Id="rId2" Type="http://schemas.openxmlformats.org/officeDocument/2006/relationships/image" Target="../media/image2.png"/><Relationship Id="rId1" Type="http://schemas.openxmlformats.org/officeDocument/2006/relationships/image" Target="../media/image8.png"/><Relationship Id="rId6" Type="http://schemas.openxmlformats.org/officeDocument/2006/relationships/image" Target="../media/image5.png"/><Relationship Id="rId11" Type="http://schemas.openxmlformats.org/officeDocument/2006/relationships/chart" Target="../charts/chart7.xml"/><Relationship Id="rId5" Type="http://schemas.openxmlformats.org/officeDocument/2006/relationships/image" Target="../media/image4.png"/><Relationship Id="rId10" Type="http://schemas.openxmlformats.org/officeDocument/2006/relationships/chart" Target="../charts/chart6.xml"/><Relationship Id="rId4" Type="http://schemas.openxmlformats.org/officeDocument/2006/relationships/image" Target="../media/image3.png"/><Relationship Id="rId9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509744</xdr:colOff>
      <xdr:row>11</xdr:row>
      <xdr:rowOff>65491</xdr:rowOff>
    </xdr:from>
    <xdr:to>
      <xdr:col>7</xdr:col>
      <xdr:colOff>792869</xdr:colOff>
      <xdr:row>26</xdr:row>
      <xdr:rowOff>6259</xdr:rowOff>
    </xdr:to>
    <xdr:pic>
      <xdr:nvPicPr>
        <xdr:cNvPr id="4" name="Picture 3" descr="A diagram of a concrete slab&#10;&#10;Description automatically generated with medium confidence">
          <a:extLst>
            <a:ext uri="{FF2B5EF4-FFF2-40B4-BE49-F238E27FC236}">
              <a16:creationId xmlns:a16="http://schemas.microsoft.com/office/drawing/2014/main" id="{583289DD-EDF2-4716-8427-AEDA265B4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4244" y="2499658"/>
          <a:ext cx="5786458" cy="3592018"/>
        </a:xfrm>
        <a:prstGeom prst="rect">
          <a:avLst/>
        </a:prstGeom>
      </xdr:spPr>
    </xdr:pic>
    <xdr:clientData/>
  </xdr:twoCellAnchor>
  <xdr:twoCellAnchor>
    <xdr:from>
      <xdr:col>1</xdr:col>
      <xdr:colOff>280148</xdr:colOff>
      <xdr:row>34</xdr:row>
      <xdr:rowOff>134470</xdr:rowOff>
    </xdr:from>
    <xdr:to>
      <xdr:col>4</xdr:col>
      <xdr:colOff>653118</xdr:colOff>
      <xdr:row>47</xdr:row>
      <xdr:rowOff>171264</xdr:rowOff>
    </xdr:to>
    <xdr:grpSp>
      <xdr:nvGrpSpPr>
        <xdr:cNvPr id="30" name="Group 29">
          <a:extLst>
            <a:ext uri="{FF2B5EF4-FFF2-40B4-BE49-F238E27FC236}">
              <a16:creationId xmlns:a16="http://schemas.microsoft.com/office/drawing/2014/main" id="{337879C2-E24F-463D-93D1-58BC3538775E}"/>
            </a:ext>
          </a:extLst>
        </xdr:cNvPr>
        <xdr:cNvGrpSpPr/>
      </xdr:nvGrpSpPr>
      <xdr:grpSpPr>
        <a:xfrm>
          <a:off x="724648" y="8410637"/>
          <a:ext cx="3103470" cy="3201210"/>
          <a:chOff x="8122177" y="161925"/>
          <a:chExt cx="3096280" cy="3131684"/>
        </a:xfrm>
      </xdr:grpSpPr>
      <xdr:graphicFrame macro="">
        <xdr:nvGraphicFramePr>
          <xdr:cNvPr id="31" name="Chart 30">
            <a:extLst>
              <a:ext uri="{FF2B5EF4-FFF2-40B4-BE49-F238E27FC236}">
                <a16:creationId xmlns:a16="http://schemas.microsoft.com/office/drawing/2014/main" id="{668E413C-828A-C570-8059-2148257AD6C8}"/>
              </a:ext>
            </a:extLst>
          </xdr:cNvPr>
          <xdr:cNvGraphicFramePr>
            <a:graphicFrameLocks/>
          </xdr:cNvGraphicFramePr>
        </xdr:nvGraphicFramePr>
        <xdr:xfrm>
          <a:off x="8338457" y="161925"/>
          <a:ext cx="2880000" cy="289632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pSp>
        <xdr:nvGrpSpPr>
          <xdr:cNvPr id="32" name="Group 31">
            <a:extLst>
              <a:ext uri="{FF2B5EF4-FFF2-40B4-BE49-F238E27FC236}">
                <a16:creationId xmlns:a16="http://schemas.microsoft.com/office/drawing/2014/main" id="{9DCA571B-D408-392D-AFE7-50059D3BB0C2}"/>
              </a:ext>
            </a:extLst>
          </xdr:cNvPr>
          <xdr:cNvGrpSpPr/>
        </xdr:nvGrpSpPr>
        <xdr:grpSpPr>
          <a:xfrm>
            <a:off x="9417089" y="250133"/>
            <a:ext cx="919133" cy="3043476"/>
            <a:chOff x="9417089" y="250133"/>
            <a:chExt cx="919133" cy="3043476"/>
          </a:xfrm>
        </xdr:grpSpPr>
        <xdr:cxnSp macro="">
          <xdr:nvCxnSpPr>
            <xdr:cNvPr id="39" name="Straight Arrow Connector 38">
              <a:extLst>
                <a:ext uri="{FF2B5EF4-FFF2-40B4-BE49-F238E27FC236}">
                  <a16:creationId xmlns:a16="http://schemas.microsoft.com/office/drawing/2014/main" id="{6CAACDB4-908F-2CD1-DBF3-A7E51766D0F6}"/>
                </a:ext>
              </a:extLst>
            </xdr:cNvPr>
            <xdr:cNvCxnSpPr/>
          </xdr:nvCxnSpPr>
          <xdr:spPr>
            <a:xfrm flipH="1">
              <a:off x="9665331" y="380290"/>
              <a:ext cx="667578" cy="0"/>
            </a:xfrm>
            <a:prstGeom prst="straightConnector1">
              <a:avLst/>
            </a:prstGeom>
            <a:ln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0" name="Straight Arrow Connector 39">
              <a:extLst>
                <a:ext uri="{FF2B5EF4-FFF2-40B4-BE49-F238E27FC236}">
                  <a16:creationId xmlns:a16="http://schemas.microsoft.com/office/drawing/2014/main" id="{FD8F2E43-ADF2-F182-666B-F00C8B9A0454}"/>
                </a:ext>
              </a:extLst>
            </xdr:cNvPr>
            <xdr:cNvCxnSpPr/>
          </xdr:nvCxnSpPr>
          <xdr:spPr>
            <a:xfrm flipH="1">
              <a:off x="9668644" y="3166323"/>
              <a:ext cx="667578" cy="0"/>
            </a:xfrm>
            <a:prstGeom prst="straightConnector1">
              <a:avLst/>
            </a:prstGeom>
            <a:ln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1" name="Straight Connector 40">
              <a:extLst>
                <a:ext uri="{FF2B5EF4-FFF2-40B4-BE49-F238E27FC236}">
                  <a16:creationId xmlns:a16="http://schemas.microsoft.com/office/drawing/2014/main" id="{2D5E6BA7-F6C3-4905-5A78-DFDCE0B3955E}"/>
                </a:ext>
              </a:extLst>
            </xdr:cNvPr>
            <xdr:cNvCxnSpPr/>
          </xdr:nvCxnSpPr>
          <xdr:spPr>
            <a:xfrm>
              <a:off x="10332909" y="380290"/>
              <a:ext cx="0" cy="2782720"/>
            </a:xfrm>
            <a:prstGeom prst="line">
              <a:avLst/>
            </a:prstGeom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42" name="Oval 41">
              <a:extLst>
                <a:ext uri="{FF2B5EF4-FFF2-40B4-BE49-F238E27FC236}">
                  <a16:creationId xmlns:a16="http://schemas.microsoft.com/office/drawing/2014/main" id="{A1BC0316-FEAA-69E9-5177-3812A8124200}"/>
                </a:ext>
              </a:extLst>
            </xdr:cNvPr>
            <xdr:cNvSpPr/>
          </xdr:nvSpPr>
          <xdr:spPr>
            <a:xfrm>
              <a:off x="9417089" y="3042319"/>
              <a:ext cx="248687" cy="251290"/>
            </a:xfrm>
            <a:prstGeom prst="ellipse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ID" sz="1000"/>
                <a:t>1</a:t>
              </a:r>
            </a:p>
          </xdr:txBody>
        </xdr:sp>
        <xdr:sp macro="" textlink="">
          <xdr:nvSpPr>
            <xdr:cNvPr id="43" name="Oval 42">
              <a:extLst>
                <a:ext uri="{FF2B5EF4-FFF2-40B4-BE49-F238E27FC236}">
                  <a16:creationId xmlns:a16="http://schemas.microsoft.com/office/drawing/2014/main" id="{0CB364FE-BCDE-A4C1-4511-F8EC12421F5A}"/>
                </a:ext>
              </a:extLst>
            </xdr:cNvPr>
            <xdr:cNvSpPr/>
          </xdr:nvSpPr>
          <xdr:spPr>
            <a:xfrm>
              <a:off x="9417089" y="250133"/>
              <a:ext cx="248687" cy="251290"/>
            </a:xfrm>
            <a:prstGeom prst="ellipse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ID" sz="1000"/>
                <a:t>1</a:t>
              </a:r>
            </a:p>
          </xdr:txBody>
        </xdr:sp>
      </xdr:grpSp>
      <xdr:grpSp>
        <xdr:nvGrpSpPr>
          <xdr:cNvPr id="33" name="Group 32">
            <a:extLst>
              <a:ext uri="{FF2B5EF4-FFF2-40B4-BE49-F238E27FC236}">
                <a16:creationId xmlns:a16="http://schemas.microsoft.com/office/drawing/2014/main" id="{9093BDFF-CCF3-BBF5-4964-DE9F3B0E3E9F}"/>
              </a:ext>
            </a:extLst>
          </xdr:cNvPr>
          <xdr:cNvGrpSpPr/>
        </xdr:nvGrpSpPr>
        <xdr:grpSpPr>
          <a:xfrm rot="5400000">
            <a:off x="9182397" y="354200"/>
            <a:ext cx="920434" cy="3040873"/>
            <a:chOff x="9415788" y="251434"/>
            <a:chExt cx="920434" cy="3040873"/>
          </a:xfrm>
        </xdr:grpSpPr>
        <xdr:cxnSp macro="">
          <xdr:nvCxnSpPr>
            <xdr:cNvPr id="34" name="Straight Arrow Connector 33">
              <a:extLst>
                <a:ext uri="{FF2B5EF4-FFF2-40B4-BE49-F238E27FC236}">
                  <a16:creationId xmlns:a16="http://schemas.microsoft.com/office/drawing/2014/main" id="{DA6C79C2-DFE8-51B8-9E2E-34071887EF99}"/>
                </a:ext>
              </a:extLst>
            </xdr:cNvPr>
            <xdr:cNvCxnSpPr/>
          </xdr:nvCxnSpPr>
          <xdr:spPr>
            <a:xfrm flipH="1">
              <a:off x="9665331" y="380290"/>
              <a:ext cx="667578" cy="0"/>
            </a:xfrm>
            <a:prstGeom prst="straightConnector1">
              <a:avLst/>
            </a:prstGeom>
            <a:ln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5" name="Straight Arrow Connector 34">
              <a:extLst>
                <a:ext uri="{FF2B5EF4-FFF2-40B4-BE49-F238E27FC236}">
                  <a16:creationId xmlns:a16="http://schemas.microsoft.com/office/drawing/2014/main" id="{202B699C-8235-46FB-FFD0-5652AE95037C}"/>
                </a:ext>
              </a:extLst>
            </xdr:cNvPr>
            <xdr:cNvCxnSpPr/>
          </xdr:nvCxnSpPr>
          <xdr:spPr>
            <a:xfrm flipH="1">
              <a:off x="9668644" y="3166323"/>
              <a:ext cx="667578" cy="0"/>
            </a:xfrm>
            <a:prstGeom prst="straightConnector1">
              <a:avLst/>
            </a:prstGeom>
            <a:ln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6" name="Straight Connector 35">
              <a:extLst>
                <a:ext uri="{FF2B5EF4-FFF2-40B4-BE49-F238E27FC236}">
                  <a16:creationId xmlns:a16="http://schemas.microsoft.com/office/drawing/2014/main" id="{5D78A516-459D-F12D-189D-CD718200D8FD}"/>
                </a:ext>
              </a:extLst>
            </xdr:cNvPr>
            <xdr:cNvCxnSpPr/>
          </xdr:nvCxnSpPr>
          <xdr:spPr>
            <a:xfrm>
              <a:off x="10332909" y="380290"/>
              <a:ext cx="0" cy="2782720"/>
            </a:xfrm>
            <a:prstGeom prst="line">
              <a:avLst/>
            </a:prstGeom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37" name="Oval 36">
              <a:extLst>
                <a:ext uri="{FF2B5EF4-FFF2-40B4-BE49-F238E27FC236}">
                  <a16:creationId xmlns:a16="http://schemas.microsoft.com/office/drawing/2014/main" id="{A0B33746-9761-AEEE-A817-C83087A1B64C}"/>
                </a:ext>
              </a:extLst>
            </xdr:cNvPr>
            <xdr:cNvSpPr/>
          </xdr:nvSpPr>
          <xdr:spPr>
            <a:xfrm rot="16200000">
              <a:off x="9417089" y="3042319"/>
              <a:ext cx="248687" cy="251290"/>
            </a:xfrm>
            <a:prstGeom prst="ellipse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ID" sz="1000"/>
                <a:t>2</a:t>
              </a:r>
            </a:p>
          </xdr:txBody>
        </xdr:sp>
        <xdr:sp macro="" textlink="">
          <xdr:nvSpPr>
            <xdr:cNvPr id="38" name="Oval 37">
              <a:extLst>
                <a:ext uri="{FF2B5EF4-FFF2-40B4-BE49-F238E27FC236}">
                  <a16:creationId xmlns:a16="http://schemas.microsoft.com/office/drawing/2014/main" id="{5A96633E-5F06-6641-F96A-B25B5C09B6FD}"/>
                </a:ext>
              </a:extLst>
            </xdr:cNvPr>
            <xdr:cNvSpPr/>
          </xdr:nvSpPr>
          <xdr:spPr>
            <a:xfrm rot="16200000">
              <a:off x="9417090" y="250133"/>
              <a:ext cx="248687" cy="251290"/>
            </a:xfrm>
            <a:prstGeom prst="ellipse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ID" sz="1000"/>
                <a:t>2</a:t>
              </a:r>
            </a:p>
          </xdr:txBody>
        </xdr:sp>
      </xdr:grpSp>
    </xdr:grpSp>
    <xdr:clientData/>
  </xdr:twoCellAnchor>
  <xdr:twoCellAnchor>
    <xdr:from>
      <xdr:col>5</xdr:col>
      <xdr:colOff>347381</xdr:colOff>
      <xdr:row>49</xdr:row>
      <xdr:rowOff>179294</xdr:rowOff>
    </xdr:from>
    <xdr:to>
      <xdr:col>8</xdr:col>
      <xdr:colOff>313851</xdr:colOff>
      <xdr:row>58</xdr:row>
      <xdr:rowOff>148544</xdr:rowOff>
    </xdr:to>
    <xdr:graphicFrame macro="">
      <xdr:nvGraphicFramePr>
        <xdr:cNvPr id="44" name="Chart 43">
          <a:extLst>
            <a:ext uri="{FF2B5EF4-FFF2-40B4-BE49-F238E27FC236}">
              <a16:creationId xmlns:a16="http://schemas.microsoft.com/office/drawing/2014/main" id="{22161DE9-F54F-4F0F-BA7D-AD47F54FF4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437029</xdr:colOff>
      <xdr:row>49</xdr:row>
      <xdr:rowOff>168088</xdr:rowOff>
    </xdr:from>
    <xdr:to>
      <xdr:col>4</xdr:col>
      <xdr:colOff>593999</xdr:colOff>
      <xdr:row>58</xdr:row>
      <xdr:rowOff>137338</xdr:rowOff>
    </xdr:to>
    <xdr:graphicFrame macro="">
      <xdr:nvGraphicFramePr>
        <xdr:cNvPr id="45" name="Chart 44">
          <a:extLst>
            <a:ext uri="{FF2B5EF4-FFF2-40B4-BE49-F238E27FC236}">
              <a16:creationId xmlns:a16="http://schemas.microsoft.com/office/drawing/2014/main" id="{7E981F17-7770-4E9D-A1AC-3A40D3F1F8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126999</xdr:colOff>
      <xdr:row>64</xdr:row>
      <xdr:rowOff>63501</xdr:rowOff>
    </xdr:from>
    <xdr:to>
      <xdr:col>4</xdr:col>
      <xdr:colOff>273385</xdr:colOff>
      <xdr:row>72</xdr:row>
      <xdr:rowOff>116417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C5F55D2-E91A-4599-A9E6-844A1DE118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790575</xdr:colOff>
      <xdr:row>1</xdr:row>
      <xdr:rowOff>76200</xdr:rowOff>
    </xdr:from>
    <xdr:to>
      <xdr:col>9</xdr:col>
      <xdr:colOff>321225</xdr:colOff>
      <xdr:row>15</xdr:row>
      <xdr:rowOff>173075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EE76E0E-23FD-405C-B777-FFE6ED3FB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314325"/>
          <a:ext cx="5760000" cy="3430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809625</xdr:colOff>
      <xdr:row>92</xdr:row>
      <xdr:rowOff>0</xdr:rowOff>
    </xdr:from>
    <xdr:to>
      <xdr:col>8</xdr:col>
      <xdr:colOff>266700</xdr:colOff>
      <xdr:row>100</xdr:row>
      <xdr:rowOff>57150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29924B1-3190-4291-B0BF-F27CFA8A2C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512" b="19127"/>
        <a:stretch/>
      </xdr:blipFill>
      <xdr:spPr>
        <a:xfrm>
          <a:off x="1257300" y="14763750"/>
          <a:ext cx="5457825" cy="1962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337185</xdr:colOff>
      <xdr:row>245</xdr:row>
      <xdr:rowOff>0</xdr:rowOff>
    </xdr:from>
    <xdr:to>
      <xdr:col>4</xdr:col>
      <xdr:colOff>735330</xdr:colOff>
      <xdr:row>246</xdr:row>
      <xdr:rowOff>30481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B313CCD-8D63-43D9-8C32-FC7FEBDFEBC5}"/>
            </a:ext>
          </a:extLst>
        </xdr:cNvPr>
        <xdr:cNvSpPr txBox="1"/>
      </xdr:nvSpPr>
      <xdr:spPr>
        <a:xfrm>
          <a:off x="3499485" y="58340625"/>
          <a:ext cx="398145" cy="268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&gt;</a:t>
          </a:r>
          <a:endParaRPr lang="id-ID" sz="1100"/>
        </a:p>
      </xdr:txBody>
    </xdr:sp>
    <xdr:clientData/>
  </xdr:twoCellAnchor>
  <xdr:twoCellAnchor>
    <xdr:from>
      <xdr:col>4</xdr:col>
      <xdr:colOff>337185</xdr:colOff>
      <xdr:row>308</xdr:row>
      <xdr:rowOff>0</xdr:rowOff>
    </xdr:from>
    <xdr:to>
      <xdr:col>4</xdr:col>
      <xdr:colOff>735330</xdr:colOff>
      <xdr:row>309</xdr:row>
      <xdr:rowOff>30481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3D48F9D5-1FA8-4E0F-9163-9A40DCEB3C19}"/>
            </a:ext>
          </a:extLst>
        </xdr:cNvPr>
        <xdr:cNvSpPr txBox="1"/>
      </xdr:nvSpPr>
      <xdr:spPr>
        <a:xfrm>
          <a:off x="3499485" y="63817500"/>
          <a:ext cx="398145" cy="268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&gt;</a:t>
          </a:r>
          <a:endParaRPr lang="id-ID" sz="1100"/>
        </a:p>
      </xdr:txBody>
    </xdr:sp>
    <xdr:clientData/>
  </xdr:twoCellAnchor>
  <xdr:twoCellAnchor>
    <xdr:from>
      <xdr:col>3</xdr:col>
      <xdr:colOff>758190</xdr:colOff>
      <xdr:row>218</xdr:row>
      <xdr:rowOff>232410</xdr:rowOff>
    </xdr:from>
    <xdr:to>
      <xdr:col>4</xdr:col>
      <xdr:colOff>306705</xdr:colOff>
      <xdr:row>220</xdr:row>
      <xdr:rowOff>72390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3034434A-48D9-4D92-94D1-4A46C62C9E3A}"/>
            </a:ext>
          </a:extLst>
        </xdr:cNvPr>
        <xdr:cNvSpPr txBox="1"/>
      </xdr:nvSpPr>
      <xdr:spPr>
        <a:xfrm>
          <a:off x="3015615" y="38808660"/>
          <a:ext cx="453390" cy="3162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&lt;</a:t>
          </a:r>
          <a:endParaRPr lang="id-ID" sz="1100" baseline="30000"/>
        </a:p>
      </xdr:txBody>
    </xdr:sp>
    <xdr:clientData/>
  </xdr:twoCellAnchor>
  <xdr:twoCellAnchor>
    <xdr:from>
      <xdr:col>4</xdr:col>
      <xdr:colOff>760095</xdr:colOff>
      <xdr:row>219</xdr:row>
      <xdr:rowOff>28575</xdr:rowOff>
    </xdr:from>
    <xdr:to>
      <xdr:col>5</xdr:col>
      <xdr:colOff>280035</xdr:colOff>
      <xdr:row>220</xdr:row>
      <xdr:rowOff>51435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EEBF9716-D813-45DB-96A7-BF35B4F4020C}"/>
            </a:ext>
          </a:extLst>
        </xdr:cNvPr>
        <xdr:cNvSpPr txBox="1"/>
      </xdr:nvSpPr>
      <xdr:spPr>
        <a:xfrm>
          <a:off x="3922395" y="38842950"/>
          <a:ext cx="424815" cy="2609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&lt;</a:t>
          </a:r>
          <a:endParaRPr lang="id-ID" sz="1100" baseline="30000"/>
        </a:p>
      </xdr:txBody>
    </xdr:sp>
    <xdr:clientData/>
  </xdr:twoCellAnchor>
  <xdr:twoCellAnchor>
    <xdr:from>
      <xdr:col>3</xdr:col>
      <xdr:colOff>762000</xdr:colOff>
      <xdr:row>220</xdr:row>
      <xdr:rowOff>9525</xdr:rowOff>
    </xdr:from>
    <xdr:to>
      <xdr:col>4</xdr:col>
      <xdr:colOff>291465</xdr:colOff>
      <xdr:row>221</xdr:row>
      <xdr:rowOff>89535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E9E85A89-2268-4F8D-B661-47BC06B333D5}"/>
            </a:ext>
          </a:extLst>
        </xdr:cNvPr>
        <xdr:cNvSpPr txBox="1"/>
      </xdr:nvSpPr>
      <xdr:spPr>
        <a:xfrm>
          <a:off x="3019425" y="39062025"/>
          <a:ext cx="434340" cy="3181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&lt;</a:t>
          </a:r>
          <a:endParaRPr lang="id-ID" sz="1100" baseline="30000"/>
        </a:p>
      </xdr:txBody>
    </xdr:sp>
    <xdr:clientData/>
  </xdr:twoCellAnchor>
  <xdr:twoCellAnchor>
    <xdr:from>
      <xdr:col>4</xdr:col>
      <xdr:colOff>763905</xdr:colOff>
      <xdr:row>219</xdr:row>
      <xdr:rowOff>226695</xdr:rowOff>
    </xdr:from>
    <xdr:to>
      <xdr:col>5</xdr:col>
      <xdr:colOff>264795</xdr:colOff>
      <xdr:row>221</xdr:row>
      <xdr:rowOff>68580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FDA8CF3B-2FC4-48CD-BDBD-A7AFC7FF2248}"/>
            </a:ext>
          </a:extLst>
        </xdr:cNvPr>
        <xdr:cNvSpPr txBox="1"/>
      </xdr:nvSpPr>
      <xdr:spPr>
        <a:xfrm>
          <a:off x="3926205" y="39041070"/>
          <a:ext cx="405765" cy="3181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&lt;</a:t>
          </a:r>
          <a:endParaRPr lang="id-ID" sz="1100" baseline="30000"/>
        </a:p>
      </xdr:txBody>
    </xdr:sp>
    <xdr:clientData/>
  </xdr:twoCellAnchor>
  <xdr:twoCellAnchor>
    <xdr:from>
      <xdr:col>3</xdr:col>
      <xdr:colOff>777240</xdr:colOff>
      <xdr:row>281</xdr:row>
      <xdr:rowOff>232410</xdr:rowOff>
    </xdr:from>
    <xdr:to>
      <xdr:col>4</xdr:col>
      <xdr:colOff>325755</xdr:colOff>
      <xdr:row>283</xdr:row>
      <xdr:rowOff>72390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5921E420-A565-47BD-B1DE-FD6FDC69D916}"/>
            </a:ext>
          </a:extLst>
        </xdr:cNvPr>
        <xdr:cNvSpPr txBox="1"/>
      </xdr:nvSpPr>
      <xdr:spPr>
        <a:xfrm>
          <a:off x="3034665" y="57858660"/>
          <a:ext cx="453390" cy="3162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&lt;</a:t>
          </a:r>
          <a:endParaRPr lang="id-ID" sz="1100" baseline="30000"/>
        </a:p>
      </xdr:txBody>
    </xdr:sp>
    <xdr:clientData/>
  </xdr:twoCellAnchor>
  <xdr:twoCellAnchor>
    <xdr:from>
      <xdr:col>4</xdr:col>
      <xdr:colOff>769620</xdr:colOff>
      <xdr:row>282</xdr:row>
      <xdr:rowOff>9525</xdr:rowOff>
    </xdr:from>
    <xdr:to>
      <xdr:col>5</xdr:col>
      <xdr:colOff>289560</xdr:colOff>
      <xdr:row>283</xdr:row>
      <xdr:rowOff>32385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18C8465F-5557-43AF-940B-8CA1B2C2FBA0}"/>
            </a:ext>
          </a:extLst>
        </xdr:cNvPr>
        <xdr:cNvSpPr txBox="1"/>
      </xdr:nvSpPr>
      <xdr:spPr>
        <a:xfrm>
          <a:off x="3931920" y="57873900"/>
          <a:ext cx="424815" cy="2609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&lt;</a:t>
          </a:r>
          <a:endParaRPr lang="id-ID" sz="1100" baseline="30000"/>
        </a:p>
      </xdr:txBody>
    </xdr:sp>
    <xdr:clientData/>
  </xdr:twoCellAnchor>
  <xdr:twoCellAnchor>
    <xdr:from>
      <xdr:col>3</xdr:col>
      <xdr:colOff>781050</xdr:colOff>
      <xdr:row>283</xdr:row>
      <xdr:rowOff>9525</xdr:rowOff>
    </xdr:from>
    <xdr:to>
      <xdr:col>4</xdr:col>
      <xdr:colOff>310515</xdr:colOff>
      <xdr:row>284</xdr:row>
      <xdr:rowOff>89535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E7821884-17F9-4BD4-9E21-F74A6516C27B}"/>
            </a:ext>
          </a:extLst>
        </xdr:cNvPr>
        <xdr:cNvSpPr txBox="1"/>
      </xdr:nvSpPr>
      <xdr:spPr>
        <a:xfrm>
          <a:off x="3038475" y="58112025"/>
          <a:ext cx="434340" cy="3181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&lt;</a:t>
          </a:r>
          <a:endParaRPr lang="id-ID" sz="1100" baseline="30000"/>
        </a:p>
      </xdr:txBody>
    </xdr:sp>
    <xdr:clientData/>
  </xdr:twoCellAnchor>
  <xdr:twoCellAnchor>
    <xdr:from>
      <xdr:col>4</xdr:col>
      <xdr:colOff>773430</xdr:colOff>
      <xdr:row>282</xdr:row>
      <xdr:rowOff>207645</xdr:rowOff>
    </xdr:from>
    <xdr:to>
      <xdr:col>5</xdr:col>
      <xdr:colOff>274320</xdr:colOff>
      <xdr:row>284</xdr:row>
      <xdr:rowOff>49530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A8C7365-9727-4667-A4C4-44E2FB43407A}"/>
            </a:ext>
          </a:extLst>
        </xdr:cNvPr>
        <xdr:cNvSpPr txBox="1"/>
      </xdr:nvSpPr>
      <xdr:spPr>
        <a:xfrm>
          <a:off x="3935730" y="58072020"/>
          <a:ext cx="405765" cy="3181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&lt;</a:t>
          </a:r>
          <a:endParaRPr lang="id-ID" sz="1100" baseline="30000"/>
        </a:p>
      </xdr:txBody>
    </xdr:sp>
    <xdr:clientData/>
  </xdr:twoCellAnchor>
  <xdr:twoCellAnchor editAs="oneCell">
    <xdr:from>
      <xdr:col>1</xdr:col>
      <xdr:colOff>9525</xdr:colOff>
      <xdr:row>18</xdr:row>
      <xdr:rowOff>9525</xdr:rowOff>
    </xdr:from>
    <xdr:to>
      <xdr:col>7</xdr:col>
      <xdr:colOff>292650</xdr:colOff>
      <xdr:row>29</xdr:row>
      <xdr:rowOff>104775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902B9BFA-66D4-4BBB-BF04-358E7E69FB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1383" b="9488"/>
        <a:stretch/>
      </xdr:blipFill>
      <xdr:spPr>
        <a:xfrm>
          <a:off x="457200" y="4533900"/>
          <a:ext cx="5760000" cy="2714625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41</xdr:row>
      <xdr:rowOff>9525</xdr:rowOff>
    </xdr:from>
    <xdr:to>
      <xdr:col>7</xdr:col>
      <xdr:colOff>292650</xdr:colOff>
      <xdr:row>52</xdr:row>
      <xdr:rowOff>85726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3BF120A9-7F43-44DF-A362-2FEE9E9EAC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11373" b="10122"/>
        <a:stretch/>
      </xdr:blipFill>
      <xdr:spPr>
        <a:xfrm>
          <a:off x="457200" y="9772650"/>
          <a:ext cx="5760000" cy="2695576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71</xdr:row>
      <xdr:rowOff>9525</xdr:rowOff>
    </xdr:from>
    <xdr:to>
      <xdr:col>7</xdr:col>
      <xdr:colOff>292650</xdr:colOff>
      <xdr:row>82</xdr:row>
      <xdr:rowOff>28575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C1679658-B2AA-4638-B1F4-BB2F57D7DE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12473" b="10755"/>
        <a:stretch/>
      </xdr:blipFill>
      <xdr:spPr>
        <a:xfrm>
          <a:off x="457200" y="16916400"/>
          <a:ext cx="5760000" cy="2638425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</xdr:colOff>
      <xdr:row>94</xdr:row>
      <xdr:rowOff>9525</xdr:rowOff>
    </xdr:from>
    <xdr:to>
      <xdr:col>7</xdr:col>
      <xdr:colOff>302175</xdr:colOff>
      <xdr:row>105</xdr:row>
      <xdr:rowOff>47625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4EEFC61D-D60D-49B7-9A12-6265A7BA81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1096" b="11509"/>
        <a:stretch/>
      </xdr:blipFill>
      <xdr:spPr>
        <a:xfrm>
          <a:off x="466725" y="22393275"/>
          <a:ext cx="5760000" cy="2657475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156</xdr:row>
      <xdr:rowOff>9525</xdr:rowOff>
    </xdr:from>
    <xdr:to>
      <xdr:col>7</xdr:col>
      <xdr:colOff>292650</xdr:colOff>
      <xdr:row>166</xdr:row>
      <xdr:rowOff>123826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id="{4574B876-E81D-4273-BD57-5649215FE5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t="12305" b="7090"/>
        <a:stretch/>
      </xdr:blipFill>
      <xdr:spPr>
        <a:xfrm>
          <a:off x="457200" y="37157025"/>
          <a:ext cx="5760000" cy="24955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219075</xdr:rowOff>
    </xdr:from>
    <xdr:to>
      <xdr:col>2</xdr:col>
      <xdr:colOff>695325</xdr:colOff>
      <xdr:row>4</xdr:row>
      <xdr:rowOff>40575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CB2356B5-E9F8-4EF9-B114-4BF602401AB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457200"/>
          <a:ext cx="1676400" cy="774000"/>
        </a:xfrm>
        <a:prstGeom prst="rect">
          <a:avLst/>
        </a:prstGeom>
      </xdr:spPr>
    </xdr:pic>
    <xdr:clientData/>
  </xdr:twoCellAnchor>
  <xdr:twoCellAnchor>
    <xdr:from>
      <xdr:col>6</xdr:col>
      <xdr:colOff>45983</xdr:colOff>
      <xdr:row>116</xdr:row>
      <xdr:rowOff>0</xdr:rowOff>
    </xdr:from>
    <xdr:to>
      <xdr:col>6</xdr:col>
      <xdr:colOff>331733</xdr:colOff>
      <xdr:row>116</xdr:row>
      <xdr:rowOff>53537</xdr:rowOff>
    </xdr:to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BC40CFD7-ACF3-4015-894A-3DA3BFF1D454}"/>
            </a:ext>
          </a:extLst>
        </xdr:cNvPr>
        <xdr:cNvSpPr txBox="1"/>
      </xdr:nvSpPr>
      <xdr:spPr>
        <a:xfrm>
          <a:off x="4617983" y="3557094"/>
          <a:ext cx="285750" cy="3064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D</a:t>
          </a:r>
          <a:endParaRPr lang="id-ID" sz="1100"/>
        </a:p>
      </xdr:txBody>
    </xdr:sp>
    <xdr:clientData/>
  </xdr:twoCellAnchor>
  <xdr:twoCellAnchor>
    <xdr:from>
      <xdr:col>6</xdr:col>
      <xdr:colOff>604345</xdr:colOff>
      <xdr:row>116</xdr:row>
      <xdr:rowOff>0</xdr:rowOff>
    </xdr:from>
    <xdr:to>
      <xdr:col>7</xdr:col>
      <xdr:colOff>128095</xdr:colOff>
      <xdr:row>116</xdr:row>
      <xdr:rowOff>45326</xdr:rowOff>
    </xdr:to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97A3A040-12CA-42AD-A9CE-E84234685ACD}"/>
            </a:ext>
          </a:extLst>
        </xdr:cNvPr>
        <xdr:cNvSpPr txBox="1"/>
      </xdr:nvSpPr>
      <xdr:spPr>
        <a:xfrm>
          <a:off x="5176345" y="3550525"/>
          <a:ext cx="381000" cy="3048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-</a:t>
          </a:r>
          <a:endParaRPr lang="id-ID" sz="1100"/>
        </a:p>
      </xdr:txBody>
    </xdr:sp>
    <xdr:clientData/>
  </xdr:twoCellAnchor>
  <xdr:twoCellAnchor>
    <xdr:from>
      <xdr:col>4</xdr:col>
      <xdr:colOff>327660</xdr:colOff>
      <xdr:row>537</xdr:row>
      <xdr:rowOff>0</xdr:rowOff>
    </xdr:from>
    <xdr:to>
      <xdr:col>4</xdr:col>
      <xdr:colOff>725805</xdr:colOff>
      <xdr:row>538</xdr:row>
      <xdr:rowOff>30481</xdr:rowOff>
    </xdr:to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5095807-6FBF-4625-9A63-3EBE73E7F1E8}"/>
            </a:ext>
          </a:extLst>
        </xdr:cNvPr>
        <xdr:cNvSpPr txBox="1"/>
      </xdr:nvSpPr>
      <xdr:spPr>
        <a:xfrm>
          <a:off x="3489960" y="45481875"/>
          <a:ext cx="398145" cy="268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&gt;</a:t>
          </a:r>
          <a:endParaRPr lang="id-ID" sz="1100"/>
        </a:p>
      </xdr:txBody>
    </xdr:sp>
    <xdr:clientData/>
  </xdr:twoCellAnchor>
  <xdr:twoCellAnchor>
    <xdr:from>
      <xdr:col>4</xdr:col>
      <xdr:colOff>337185</xdr:colOff>
      <xdr:row>599</xdr:row>
      <xdr:rowOff>0</xdr:rowOff>
    </xdr:from>
    <xdr:to>
      <xdr:col>4</xdr:col>
      <xdr:colOff>735330</xdr:colOff>
      <xdr:row>600</xdr:row>
      <xdr:rowOff>30481</xdr:rowOff>
    </xdr:to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A5947A8A-AF51-4FF5-B0AE-189C9A9E669E}"/>
            </a:ext>
          </a:extLst>
        </xdr:cNvPr>
        <xdr:cNvSpPr txBox="1"/>
      </xdr:nvSpPr>
      <xdr:spPr>
        <a:xfrm>
          <a:off x="3499485" y="64531875"/>
          <a:ext cx="398145" cy="268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&gt;</a:t>
          </a:r>
          <a:endParaRPr lang="id-ID" sz="1100"/>
        </a:p>
      </xdr:txBody>
    </xdr:sp>
    <xdr:clientData/>
  </xdr:twoCellAnchor>
  <xdr:twoCellAnchor>
    <xdr:from>
      <xdr:col>3</xdr:col>
      <xdr:colOff>615315</xdr:colOff>
      <xdr:row>511</xdr:row>
      <xdr:rowOff>32385</xdr:rowOff>
    </xdr:from>
    <xdr:to>
      <xdr:col>4</xdr:col>
      <xdr:colOff>230505</xdr:colOff>
      <xdr:row>512</xdr:row>
      <xdr:rowOff>110490</xdr:rowOff>
    </xdr:to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B1DD34A2-9DF5-4232-99B7-3A73F50CD84B}"/>
            </a:ext>
          </a:extLst>
        </xdr:cNvPr>
        <xdr:cNvSpPr txBox="1"/>
      </xdr:nvSpPr>
      <xdr:spPr>
        <a:xfrm>
          <a:off x="2301240" y="84566760"/>
          <a:ext cx="310515" cy="3162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&lt;</a:t>
          </a:r>
          <a:endParaRPr lang="id-ID" sz="1100" baseline="30000"/>
        </a:p>
      </xdr:txBody>
    </xdr:sp>
    <xdr:clientData/>
  </xdr:twoCellAnchor>
  <xdr:twoCellAnchor>
    <xdr:from>
      <xdr:col>4</xdr:col>
      <xdr:colOff>617220</xdr:colOff>
      <xdr:row>511</xdr:row>
      <xdr:rowOff>19050</xdr:rowOff>
    </xdr:from>
    <xdr:to>
      <xdr:col>5</xdr:col>
      <xdr:colOff>203835</xdr:colOff>
      <xdr:row>512</xdr:row>
      <xdr:rowOff>41910</xdr:rowOff>
    </xdr:to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C68DCFFF-FF2B-41C7-845C-B0138866EF65}"/>
            </a:ext>
          </a:extLst>
        </xdr:cNvPr>
        <xdr:cNvSpPr txBox="1"/>
      </xdr:nvSpPr>
      <xdr:spPr>
        <a:xfrm>
          <a:off x="2998470" y="84553425"/>
          <a:ext cx="281940" cy="2609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&lt;</a:t>
          </a:r>
          <a:endParaRPr lang="id-ID" sz="1100" baseline="30000"/>
        </a:p>
      </xdr:txBody>
    </xdr:sp>
    <xdr:clientData/>
  </xdr:twoCellAnchor>
  <xdr:twoCellAnchor>
    <xdr:from>
      <xdr:col>3</xdr:col>
      <xdr:colOff>619125</xdr:colOff>
      <xdr:row>512</xdr:row>
      <xdr:rowOff>9525</xdr:rowOff>
    </xdr:from>
    <xdr:to>
      <xdr:col>4</xdr:col>
      <xdr:colOff>215265</xdr:colOff>
      <xdr:row>513</xdr:row>
      <xdr:rowOff>89535</xdr:rowOff>
    </xdr:to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6CB80C74-726B-47A9-9237-B765B9E9C20D}"/>
            </a:ext>
          </a:extLst>
        </xdr:cNvPr>
        <xdr:cNvSpPr txBox="1"/>
      </xdr:nvSpPr>
      <xdr:spPr>
        <a:xfrm>
          <a:off x="2305050" y="84782025"/>
          <a:ext cx="291465" cy="3181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&lt;</a:t>
          </a:r>
          <a:endParaRPr lang="id-ID" sz="1100" baseline="30000"/>
        </a:p>
      </xdr:txBody>
    </xdr:sp>
    <xdr:clientData/>
  </xdr:twoCellAnchor>
  <xdr:twoCellAnchor>
    <xdr:from>
      <xdr:col>4</xdr:col>
      <xdr:colOff>621030</xdr:colOff>
      <xdr:row>511</xdr:row>
      <xdr:rowOff>226695</xdr:rowOff>
    </xdr:from>
    <xdr:to>
      <xdr:col>5</xdr:col>
      <xdr:colOff>188595</xdr:colOff>
      <xdr:row>513</xdr:row>
      <xdr:rowOff>68580</xdr:rowOff>
    </xdr:to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654A08F0-33E7-4566-9B01-E3C442F4105B}"/>
            </a:ext>
          </a:extLst>
        </xdr:cNvPr>
        <xdr:cNvSpPr txBox="1"/>
      </xdr:nvSpPr>
      <xdr:spPr>
        <a:xfrm>
          <a:off x="3002280" y="84761070"/>
          <a:ext cx="262890" cy="3181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&lt;</a:t>
          </a:r>
          <a:endParaRPr lang="id-ID" sz="1100" baseline="30000"/>
        </a:p>
      </xdr:txBody>
    </xdr:sp>
    <xdr:clientData/>
  </xdr:twoCellAnchor>
  <xdr:twoCellAnchor>
    <xdr:from>
      <xdr:col>3</xdr:col>
      <xdr:colOff>596265</xdr:colOff>
      <xdr:row>574</xdr:row>
      <xdr:rowOff>22860</xdr:rowOff>
    </xdr:from>
    <xdr:to>
      <xdr:col>4</xdr:col>
      <xdr:colOff>230505</xdr:colOff>
      <xdr:row>575</xdr:row>
      <xdr:rowOff>100965</xdr:rowOff>
    </xdr:to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927E4AEF-F5D9-4FBB-8C5C-D01F0CF703C0}"/>
            </a:ext>
          </a:extLst>
        </xdr:cNvPr>
        <xdr:cNvSpPr txBox="1"/>
      </xdr:nvSpPr>
      <xdr:spPr>
        <a:xfrm>
          <a:off x="2282190" y="103607235"/>
          <a:ext cx="329565" cy="3162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&lt;</a:t>
          </a:r>
          <a:endParaRPr lang="id-ID" sz="1100" baseline="30000"/>
        </a:p>
      </xdr:txBody>
    </xdr:sp>
    <xdr:clientData/>
  </xdr:twoCellAnchor>
  <xdr:twoCellAnchor>
    <xdr:from>
      <xdr:col>4</xdr:col>
      <xdr:colOff>598170</xdr:colOff>
      <xdr:row>574</xdr:row>
      <xdr:rowOff>9525</xdr:rowOff>
    </xdr:from>
    <xdr:to>
      <xdr:col>5</xdr:col>
      <xdr:colOff>194310</xdr:colOff>
      <xdr:row>575</xdr:row>
      <xdr:rowOff>32385</xdr:rowOff>
    </xdr:to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80058962-F720-4438-B200-3E3480BBA9AF}"/>
            </a:ext>
          </a:extLst>
        </xdr:cNvPr>
        <xdr:cNvSpPr txBox="1"/>
      </xdr:nvSpPr>
      <xdr:spPr>
        <a:xfrm>
          <a:off x="2979420" y="103593900"/>
          <a:ext cx="291465" cy="2609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&lt;</a:t>
          </a:r>
          <a:endParaRPr lang="id-ID" sz="1100" baseline="30000"/>
        </a:p>
      </xdr:txBody>
    </xdr:sp>
    <xdr:clientData/>
  </xdr:twoCellAnchor>
  <xdr:twoCellAnchor>
    <xdr:from>
      <xdr:col>3</xdr:col>
      <xdr:colOff>600075</xdr:colOff>
      <xdr:row>575</xdr:row>
      <xdr:rowOff>9525</xdr:rowOff>
    </xdr:from>
    <xdr:to>
      <xdr:col>4</xdr:col>
      <xdr:colOff>215265</xdr:colOff>
      <xdr:row>576</xdr:row>
      <xdr:rowOff>89535</xdr:rowOff>
    </xdr:to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A9734FED-AD93-496E-9E0E-E49360559B5F}"/>
            </a:ext>
          </a:extLst>
        </xdr:cNvPr>
        <xdr:cNvSpPr txBox="1"/>
      </xdr:nvSpPr>
      <xdr:spPr>
        <a:xfrm>
          <a:off x="2286000" y="103832025"/>
          <a:ext cx="310515" cy="3181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&lt;</a:t>
          </a:r>
          <a:endParaRPr lang="id-ID" sz="1100" baseline="30000"/>
        </a:p>
      </xdr:txBody>
    </xdr:sp>
    <xdr:clientData/>
  </xdr:twoCellAnchor>
  <xdr:twoCellAnchor>
    <xdr:from>
      <xdr:col>4</xdr:col>
      <xdr:colOff>601980</xdr:colOff>
      <xdr:row>574</xdr:row>
      <xdr:rowOff>207645</xdr:rowOff>
    </xdr:from>
    <xdr:to>
      <xdr:col>5</xdr:col>
      <xdr:colOff>179070</xdr:colOff>
      <xdr:row>576</xdr:row>
      <xdr:rowOff>49530</xdr:rowOff>
    </xdr:to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2E88B439-3A46-4D2D-AF69-82355921B5D3}"/>
            </a:ext>
          </a:extLst>
        </xdr:cNvPr>
        <xdr:cNvSpPr txBox="1"/>
      </xdr:nvSpPr>
      <xdr:spPr>
        <a:xfrm>
          <a:off x="2983230" y="103792020"/>
          <a:ext cx="272415" cy="3181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&lt;</a:t>
          </a:r>
          <a:endParaRPr lang="id-ID" sz="1100" baseline="30000"/>
        </a:p>
      </xdr:txBody>
    </xdr:sp>
    <xdr:clientData/>
  </xdr:twoCellAnchor>
  <xdr:twoCellAnchor editAs="oneCell">
    <xdr:from>
      <xdr:col>1</xdr:col>
      <xdr:colOff>0</xdr:colOff>
      <xdr:row>86</xdr:row>
      <xdr:rowOff>76200</xdr:rowOff>
    </xdr:from>
    <xdr:to>
      <xdr:col>8</xdr:col>
      <xdr:colOff>257175</xdr:colOff>
      <xdr:row>94</xdr:row>
      <xdr:rowOff>133350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7A8A236A-7341-438D-AD2F-40681A89DD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20512" b="19127"/>
        <a:stretch/>
      </xdr:blipFill>
      <xdr:spPr>
        <a:xfrm>
          <a:off x="314325" y="12934950"/>
          <a:ext cx="5457825" cy="1962150"/>
        </a:xfrm>
        <a:prstGeom prst="rect">
          <a:avLst/>
        </a:prstGeom>
      </xdr:spPr>
    </xdr:pic>
    <xdr:clientData/>
  </xdr:twoCellAnchor>
  <xdr:twoCellAnchor editAs="oneCell">
    <xdr:from>
      <xdr:col>1</xdr:col>
      <xdr:colOff>95250</xdr:colOff>
      <xdr:row>261</xdr:row>
      <xdr:rowOff>228600</xdr:rowOff>
    </xdr:from>
    <xdr:to>
      <xdr:col>8</xdr:col>
      <xdr:colOff>352425</xdr:colOff>
      <xdr:row>270</xdr:row>
      <xdr:rowOff>47625</xdr:rowOff>
    </xdr:to>
    <xdr:pic>
      <xdr:nvPicPr>
        <xdr:cNvPr id="87" name="Picture 86">
          <a:extLst>
            <a:ext uri="{FF2B5EF4-FFF2-40B4-BE49-F238E27FC236}">
              <a16:creationId xmlns:a16="http://schemas.microsoft.com/office/drawing/2014/main" id="{B426F08A-0301-4B06-A31D-96A1AEC3D2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20512" b="19127"/>
        <a:stretch/>
      </xdr:blipFill>
      <xdr:spPr>
        <a:xfrm>
          <a:off x="409575" y="53568600"/>
          <a:ext cx="5457825" cy="196215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16</xdr:row>
      <xdr:rowOff>38101</xdr:rowOff>
    </xdr:from>
    <xdr:to>
      <xdr:col>8</xdr:col>
      <xdr:colOff>559350</xdr:colOff>
      <xdr:row>30</xdr:row>
      <xdr:rowOff>214192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5F8B4E-7A4D-410D-9F1B-9A13DD4FC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14325" y="4086226"/>
          <a:ext cx="5760000" cy="3509841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304</xdr:row>
      <xdr:rowOff>9525</xdr:rowOff>
    </xdr:from>
    <xdr:to>
      <xdr:col>8</xdr:col>
      <xdr:colOff>568875</xdr:colOff>
      <xdr:row>315</xdr:row>
      <xdr:rowOff>104775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43EF5CB2-3689-4934-A50F-EC81B25932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1383" b="9488"/>
        <a:stretch/>
      </xdr:blipFill>
      <xdr:spPr>
        <a:xfrm>
          <a:off x="457200" y="4295775"/>
          <a:ext cx="5760000" cy="2714625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328</xdr:row>
      <xdr:rowOff>9525</xdr:rowOff>
    </xdr:from>
    <xdr:to>
      <xdr:col>8</xdr:col>
      <xdr:colOff>568875</xdr:colOff>
      <xdr:row>339</xdr:row>
      <xdr:rowOff>85726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C1A2DADD-7669-4B06-89BF-55F3EF856B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t="11373" b="10122"/>
        <a:stretch/>
      </xdr:blipFill>
      <xdr:spPr>
        <a:xfrm>
          <a:off x="457200" y="9772650"/>
          <a:ext cx="5760000" cy="2695576"/>
        </a:xfrm>
        <a:prstGeom prst="rect">
          <a:avLst/>
        </a:prstGeom>
      </xdr:spPr>
    </xdr:pic>
    <xdr:clientData/>
  </xdr:twoCellAnchor>
  <xdr:twoCellAnchor editAs="oneCell">
    <xdr:from>
      <xdr:col>1</xdr:col>
      <xdr:colOff>47625</xdr:colOff>
      <xdr:row>357</xdr:row>
      <xdr:rowOff>104775</xdr:rowOff>
    </xdr:from>
    <xdr:to>
      <xdr:col>8</xdr:col>
      <xdr:colOff>606975</xdr:colOff>
      <xdr:row>368</xdr:row>
      <xdr:rowOff>123825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A0772357-6262-4100-AF35-56456970FD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t="12473" b="10755"/>
        <a:stretch/>
      </xdr:blipFill>
      <xdr:spPr>
        <a:xfrm>
          <a:off x="361950" y="85829775"/>
          <a:ext cx="5760000" cy="2638425"/>
        </a:xfrm>
        <a:prstGeom prst="rect">
          <a:avLst/>
        </a:prstGeom>
      </xdr:spPr>
    </xdr:pic>
    <xdr:clientData/>
  </xdr:twoCellAnchor>
  <xdr:twoCellAnchor editAs="oneCell">
    <xdr:from>
      <xdr:col>0</xdr:col>
      <xdr:colOff>133350</xdr:colOff>
      <xdr:row>380</xdr:row>
      <xdr:rowOff>123825</xdr:rowOff>
    </xdr:from>
    <xdr:to>
      <xdr:col>8</xdr:col>
      <xdr:colOff>378375</xdr:colOff>
      <xdr:row>391</xdr:row>
      <xdr:rowOff>161925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606D4F36-CE18-441D-8F15-5D82BFF9EE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1096" b="11509"/>
        <a:stretch/>
      </xdr:blipFill>
      <xdr:spPr>
        <a:xfrm>
          <a:off x="133350" y="91325700"/>
          <a:ext cx="5760000" cy="265747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446</xdr:row>
      <xdr:rowOff>19050</xdr:rowOff>
    </xdr:from>
    <xdr:to>
      <xdr:col>8</xdr:col>
      <xdr:colOff>559350</xdr:colOff>
      <xdr:row>456</xdr:row>
      <xdr:rowOff>133351</xdr:rowOff>
    </xdr:to>
    <xdr:pic>
      <xdr:nvPicPr>
        <xdr:cNvPr id="88" name="Picture 87">
          <a:extLst>
            <a:ext uri="{FF2B5EF4-FFF2-40B4-BE49-F238E27FC236}">
              <a16:creationId xmlns:a16="http://schemas.microsoft.com/office/drawing/2014/main" id="{78CF07E8-35BB-403E-B9D2-24D349A832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t="12305" b="7090"/>
        <a:stretch/>
      </xdr:blipFill>
      <xdr:spPr>
        <a:xfrm>
          <a:off x="314325" y="87172800"/>
          <a:ext cx="5760000" cy="2495551"/>
        </a:xfrm>
        <a:prstGeom prst="rect">
          <a:avLst/>
        </a:prstGeom>
      </xdr:spPr>
    </xdr:pic>
    <xdr:clientData/>
  </xdr:twoCellAnchor>
  <xdr:twoCellAnchor>
    <xdr:from>
      <xdr:col>1</xdr:col>
      <xdr:colOff>318248</xdr:colOff>
      <xdr:row>39</xdr:row>
      <xdr:rowOff>105895</xdr:rowOff>
    </xdr:from>
    <xdr:to>
      <xdr:col>5</xdr:col>
      <xdr:colOff>406448</xdr:colOff>
      <xdr:row>52</xdr:row>
      <xdr:rowOff>70270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E54744A3-88C7-4955-ABD6-3250EF708A25}"/>
            </a:ext>
          </a:extLst>
        </xdr:cNvPr>
        <xdr:cNvGrpSpPr/>
      </xdr:nvGrpSpPr>
      <xdr:grpSpPr>
        <a:xfrm>
          <a:off x="632573" y="9630895"/>
          <a:ext cx="3060000" cy="3060000"/>
          <a:chOff x="8122177" y="161925"/>
          <a:chExt cx="3096280" cy="3131684"/>
        </a:xfrm>
      </xdr:grpSpPr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CEC7D4B1-0EEA-92D3-AE05-99AD7DAAC53B}"/>
              </a:ext>
            </a:extLst>
          </xdr:cNvPr>
          <xdr:cNvGraphicFramePr>
            <a:graphicFrameLocks/>
          </xdr:cNvGraphicFramePr>
        </xdr:nvGraphicFramePr>
        <xdr:xfrm>
          <a:off x="8338457" y="161925"/>
          <a:ext cx="2880000" cy="289632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BA2357FC-0D74-C7DC-6D11-6786FD929E64}"/>
              </a:ext>
            </a:extLst>
          </xdr:cNvPr>
          <xdr:cNvGrpSpPr/>
        </xdr:nvGrpSpPr>
        <xdr:grpSpPr>
          <a:xfrm>
            <a:off x="9417089" y="250133"/>
            <a:ext cx="919133" cy="3043476"/>
            <a:chOff x="9417089" y="250133"/>
            <a:chExt cx="919133" cy="3043476"/>
          </a:xfrm>
        </xdr:grpSpPr>
        <xdr:cxnSp macro="">
          <xdr:nvCxnSpPr>
            <xdr:cNvPr id="12" name="Straight Arrow Connector 11">
              <a:extLst>
                <a:ext uri="{FF2B5EF4-FFF2-40B4-BE49-F238E27FC236}">
                  <a16:creationId xmlns:a16="http://schemas.microsoft.com/office/drawing/2014/main" id="{697DBE15-D063-7B85-0BC1-37C2875EEFF4}"/>
                </a:ext>
              </a:extLst>
            </xdr:cNvPr>
            <xdr:cNvCxnSpPr/>
          </xdr:nvCxnSpPr>
          <xdr:spPr>
            <a:xfrm flipH="1">
              <a:off x="9665331" y="380290"/>
              <a:ext cx="667578" cy="0"/>
            </a:xfrm>
            <a:prstGeom prst="straightConnector1">
              <a:avLst/>
            </a:prstGeom>
            <a:ln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3" name="Straight Arrow Connector 12">
              <a:extLst>
                <a:ext uri="{FF2B5EF4-FFF2-40B4-BE49-F238E27FC236}">
                  <a16:creationId xmlns:a16="http://schemas.microsoft.com/office/drawing/2014/main" id="{C3FDC444-C475-A59A-2D98-B3126049FB7E}"/>
                </a:ext>
              </a:extLst>
            </xdr:cNvPr>
            <xdr:cNvCxnSpPr/>
          </xdr:nvCxnSpPr>
          <xdr:spPr>
            <a:xfrm flipH="1">
              <a:off x="9668644" y="3166323"/>
              <a:ext cx="667578" cy="0"/>
            </a:xfrm>
            <a:prstGeom prst="straightConnector1">
              <a:avLst/>
            </a:prstGeom>
            <a:ln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4" name="Straight Connector 13">
              <a:extLst>
                <a:ext uri="{FF2B5EF4-FFF2-40B4-BE49-F238E27FC236}">
                  <a16:creationId xmlns:a16="http://schemas.microsoft.com/office/drawing/2014/main" id="{65962067-2403-6347-309A-934DDABF022C}"/>
                </a:ext>
              </a:extLst>
            </xdr:cNvPr>
            <xdr:cNvCxnSpPr/>
          </xdr:nvCxnSpPr>
          <xdr:spPr>
            <a:xfrm>
              <a:off x="10332909" y="380290"/>
              <a:ext cx="0" cy="2782720"/>
            </a:xfrm>
            <a:prstGeom prst="line">
              <a:avLst/>
            </a:prstGeom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5" name="Oval 14">
              <a:extLst>
                <a:ext uri="{FF2B5EF4-FFF2-40B4-BE49-F238E27FC236}">
                  <a16:creationId xmlns:a16="http://schemas.microsoft.com/office/drawing/2014/main" id="{455E7D46-A0B7-ADD2-7BDD-2C2C191A3D6C}"/>
                </a:ext>
              </a:extLst>
            </xdr:cNvPr>
            <xdr:cNvSpPr/>
          </xdr:nvSpPr>
          <xdr:spPr>
            <a:xfrm>
              <a:off x="9417089" y="3042319"/>
              <a:ext cx="248687" cy="251290"/>
            </a:xfrm>
            <a:prstGeom prst="ellipse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ID" sz="1000"/>
                <a:t>1</a:t>
              </a:r>
            </a:p>
          </xdr:txBody>
        </xdr:sp>
        <xdr:sp macro="" textlink="">
          <xdr:nvSpPr>
            <xdr:cNvPr id="16" name="Oval 15">
              <a:extLst>
                <a:ext uri="{FF2B5EF4-FFF2-40B4-BE49-F238E27FC236}">
                  <a16:creationId xmlns:a16="http://schemas.microsoft.com/office/drawing/2014/main" id="{0B72BF0C-D35C-341D-9633-147AC7607514}"/>
                </a:ext>
              </a:extLst>
            </xdr:cNvPr>
            <xdr:cNvSpPr/>
          </xdr:nvSpPr>
          <xdr:spPr>
            <a:xfrm>
              <a:off x="9417089" y="250133"/>
              <a:ext cx="248687" cy="251290"/>
            </a:xfrm>
            <a:prstGeom prst="ellipse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ID" sz="1000"/>
                <a:t>1</a:t>
              </a:r>
            </a:p>
          </xdr:txBody>
        </xdr:sp>
      </xdr:grpSp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271E2B33-23AA-BF7F-A88A-344C1BE51654}"/>
              </a:ext>
            </a:extLst>
          </xdr:cNvPr>
          <xdr:cNvGrpSpPr/>
        </xdr:nvGrpSpPr>
        <xdr:grpSpPr>
          <a:xfrm rot="5400000">
            <a:off x="9182397" y="354200"/>
            <a:ext cx="920434" cy="3040873"/>
            <a:chOff x="9415788" y="251434"/>
            <a:chExt cx="920434" cy="3040873"/>
          </a:xfrm>
        </xdr:grpSpPr>
        <xdr:cxnSp macro="">
          <xdr:nvCxnSpPr>
            <xdr:cNvPr id="7" name="Straight Arrow Connector 6">
              <a:extLst>
                <a:ext uri="{FF2B5EF4-FFF2-40B4-BE49-F238E27FC236}">
                  <a16:creationId xmlns:a16="http://schemas.microsoft.com/office/drawing/2014/main" id="{565BBC21-D570-40E1-DC20-BEC4682191B9}"/>
                </a:ext>
              </a:extLst>
            </xdr:cNvPr>
            <xdr:cNvCxnSpPr/>
          </xdr:nvCxnSpPr>
          <xdr:spPr>
            <a:xfrm flipH="1">
              <a:off x="9665331" y="380290"/>
              <a:ext cx="667578" cy="0"/>
            </a:xfrm>
            <a:prstGeom prst="straightConnector1">
              <a:avLst/>
            </a:prstGeom>
            <a:ln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8" name="Straight Arrow Connector 7">
              <a:extLst>
                <a:ext uri="{FF2B5EF4-FFF2-40B4-BE49-F238E27FC236}">
                  <a16:creationId xmlns:a16="http://schemas.microsoft.com/office/drawing/2014/main" id="{6E45C04B-465D-9CDF-C369-FB09BF47391F}"/>
                </a:ext>
              </a:extLst>
            </xdr:cNvPr>
            <xdr:cNvCxnSpPr/>
          </xdr:nvCxnSpPr>
          <xdr:spPr>
            <a:xfrm flipH="1">
              <a:off x="9668644" y="3166323"/>
              <a:ext cx="667578" cy="0"/>
            </a:xfrm>
            <a:prstGeom prst="straightConnector1">
              <a:avLst/>
            </a:prstGeom>
            <a:ln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9" name="Straight Connector 8">
              <a:extLst>
                <a:ext uri="{FF2B5EF4-FFF2-40B4-BE49-F238E27FC236}">
                  <a16:creationId xmlns:a16="http://schemas.microsoft.com/office/drawing/2014/main" id="{866E3DEC-1F31-9344-BD85-939E540111BA}"/>
                </a:ext>
              </a:extLst>
            </xdr:cNvPr>
            <xdr:cNvCxnSpPr/>
          </xdr:nvCxnSpPr>
          <xdr:spPr>
            <a:xfrm>
              <a:off x="10332909" y="380290"/>
              <a:ext cx="0" cy="2782720"/>
            </a:xfrm>
            <a:prstGeom prst="line">
              <a:avLst/>
            </a:prstGeom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0" name="Oval 9">
              <a:extLst>
                <a:ext uri="{FF2B5EF4-FFF2-40B4-BE49-F238E27FC236}">
                  <a16:creationId xmlns:a16="http://schemas.microsoft.com/office/drawing/2014/main" id="{887FB39F-4DBF-ACBC-94C2-76FACCD710E5}"/>
                </a:ext>
              </a:extLst>
            </xdr:cNvPr>
            <xdr:cNvSpPr/>
          </xdr:nvSpPr>
          <xdr:spPr>
            <a:xfrm rot="16200000">
              <a:off x="9417089" y="3042319"/>
              <a:ext cx="248687" cy="251290"/>
            </a:xfrm>
            <a:prstGeom prst="ellipse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ID" sz="1000"/>
                <a:t>2</a:t>
              </a:r>
            </a:p>
          </xdr:txBody>
        </xdr:sp>
        <xdr:sp macro="" textlink="">
          <xdr:nvSpPr>
            <xdr:cNvPr id="11" name="Oval 10">
              <a:extLst>
                <a:ext uri="{FF2B5EF4-FFF2-40B4-BE49-F238E27FC236}">
                  <a16:creationId xmlns:a16="http://schemas.microsoft.com/office/drawing/2014/main" id="{2DF17AEF-7D07-EB84-EA41-CC9B286FBE4E}"/>
                </a:ext>
              </a:extLst>
            </xdr:cNvPr>
            <xdr:cNvSpPr/>
          </xdr:nvSpPr>
          <xdr:spPr>
            <a:xfrm rot="16200000">
              <a:off x="9417090" y="250133"/>
              <a:ext cx="248687" cy="251290"/>
            </a:xfrm>
            <a:prstGeom prst="ellipse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ID" sz="1000"/>
                <a:t>2</a:t>
              </a:r>
            </a:p>
          </xdr:txBody>
        </xdr:sp>
      </xdr:grpSp>
    </xdr:grpSp>
    <xdr:clientData/>
  </xdr:twoCellAnchor>
  <xdr:twoCellAnchor>
    <xdr:from>
      <xdr:col>5</xdr:col>
      <xdr:colOff>194981</xdr:colOff>
      <xdr:row>56</xdr:row>
      <xdr:rowOff>93569</xdr:rowOff>
    </xdr:from>
    <xdr:to>
      <xdr:col>8</xdr:col>
      <xdr:colOff>486131</xdr:colOff>
      <xdr:row>66</xdr:row>
      <xdr:rowOff>232319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70F75D9F-5AC5-476F-84A6-12D5F07A44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198904</xdr:colOff>
      <xdr:row>56</xdr:row>
      <xdr:rowOff>63313</xdr:rowOff>
    </xdr:from>
    <xdr:to>
      <xdr:col>4</xdr:col>
      <xdr:colOff>490054</xdr:colOff>
      <xdr:row>66</xdr:row>
      <xdr:rowOff>202063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4F734BBC-AEE9-4FB1-99EC-80CEB0E92C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5517800-F51F-462E-9ACC-1B68FCEB8AA5}">
  <we:reference id="wa200001584" version="2.8.1.5" store="en-US" storeType="OMEX"/>
  <we:alternateReferences>
    <we:reference id="wa200001584" version="2.8.1.5" store="WA200001584" storeType="OMEX"/>
  </we:alternateReferences>
  <we:properties/>
  <we:bindings/>
  <we:snapshot xmlns:r="http://schemas.openxmlformats.org/officeDocument/2006/relationships"/>
</we:webextension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indrakrajsuwed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2C9E3-0A90-4287-B8CA-658B9EB35FB4}">
  <sheetPr>
    <tabColor theme="8" tint="-0.499984740745262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3A337-44B6-42BB-B406-FC9BF44568C4}">
  <sheetPr>
    <tabColor theme="7"/>
  </sheetPr>
  <dimension ref="A1:M86"/>
  <sheetViews>
    <sheetView showGridLines="0" topLeftCell="A19" zoomScale="90" zoomScaleNormal="90" workbookViewId="0">
      <selection activeCell="H32" sqref="H32"/>
    </sheetView>
  </sheetViews>
  <sheetFormatPr defaultRowHeight="18.75" customHeight="1" x14ac:dyDescent="0.25"/>
  <cols>
    <col min="1" max="1" width="6.7109375" style="14" customWidth="1"/>
    <col min="2" max="6" width="13.5703125" style="1" customWidth="1"/>
    <col min="7" max="7" width="14.28515625" style="1" customWidth="1"/>
    <col min="8" max="8" width="15.7109375" style="1" customWidth="1"/>
    <col min="9" max="9" width="11.42578125" style="3" customWidth="1"/>
    <col min="10" max="16384" width="9.140625" style="1"/>
  </cols>
  <sheetData>
    <row r="1" spans="1:11" ht="18.75" customHeight="1" x14ac:dyDescent="0.25">
      <c r="A1" s="141" t="s">
        <v>47</v>
      </c>
      <c r="B1" s="342" t="s">
        <v>253</v>
      </c>
      <c r="C1" s="342"/>
      <c r="D1" s="342"/>
      <c r="E1" s="342"/>
      <c r="F1" s="342"/>
      <c r="G1" s="142" t="s">
        <v>254</v>
      </c>
      <c r="H1" s="142" t="s">
        <v>255</v>
      </c>
      <c r="I1" s="143" t="s">
        <v>256</v>
      </c>
    </row>
    <row r="2" spans="1:11" ht="18.75" customHeight="1" x14ac:dyDescent="0.25">
      <c r="A2" s="68" t="s">
        <v>257</v>
      </c>
      <c r="B2" s="69" t="s">
        <v>258</v>
      </c>
      <c r="C2" s="70"/>
      <c r="D2" s="70"/>
      <c r="E2" s="70"/>
      <c r="F2" s="70"/>
      <c r="G2" s="70"/>
      <c r="H2" s="70"/>
      <c r="I2" s="71"/>
    </row>
    <row r="3" spans="1:11" ht="18.75" customHeight="1" x14ac:dyDescent="0.25">
      <c r="A3" s="62" t="s">
        <v>52</v>
      </c>
      <c r="B3" s="63" t="s">
        <v>54</v>
      </c>
      <c r="C3" s="64"/>
      <c r="D3" s="64"/>
      <c r="E3" s="64"/>
      <c r="F3" s="64"/>
      <c r="G3" s="64"/>
      <c r="H3" s="64"/>
      <c r="I3" s="67"/>
      <c r="J3" s="34"/>
      <c r="K3" s="35"/>
    </row>
    <row r="4" spans="1:11" ht="18.75" customHeight="1" x14ac:dyDescent="0.25">
      <c r="A4" s="48"/>
      <c r="B4" s="2" t="s">
        <v>357</v>
      </c>
      <c r="C4" s="33"/>
      <c r="D4" s="33"/>
      <c r="E4" s="33"/>
      <c r="F4" s="33"/>
      <c r="G4" s="25" t="s">
        <v>8</v>
      </c>
      <c r="H4" s="72">
        <v>-2</v>
      </c>
      <c r="I4" s="39" t="s">
        <v>9</v>
      </c>
      <c r="J4" s="35"/>
      <c r="K4" s="35"/>
    </row>
    <row r="5" spans="1:11" ht="18.75" customHeight="1" x14ac:dyDescent="0.25">
      <c r="A5" s="48"/>
      <c r="B5" s="2" t="s">
        <v>10</v>
      </c>
      <c r="C5" s="33"/>
      <c r="D5" s="33"/>
      <c r="E5" s="33"/>
      <c r="F5" s="33"/>
      <c r="G5" s="36" t="s">
        <v>11</v>
      </c>
      <c r="H5" s="72">
        <v>16</v>
      </c>
      <c r="I5" s="39" t="s">
        <v>12</v>
      </c>
      <c r="J5" s="35"/>
      <c r="K5" s="35"/>
    </row>
    <row r="6" spans="1:11" ht="18.75" customHeight="1" x14ac:dyDescent="0.25">
      <c r="A6" s="48"/>
      <c r="B6" s="2" t="s">
        <v>511</v>
      </c>
      <c r="C6" s="33"/>
      <c r="D6" s="33"/>
      <c r="E6" s="33"/>
      <c r="F6" s="33"/>
      <c r="G6" s="36" t="s">
        <v>512</v>
      </c>
      <c r="H6" s="72">
        <v>18</v>
      </c>
      <c r="I6" s="39" t="s">
        <v>12</v>
      </c>
      <c r="J6" s="35"/>
      <c r="K6" s="35"/>
    </row>
    <row r="7" spans="1:11" ht="18.75" customHeight="1" x14ac:dyDescent="0.25">
      <c r="A7" s="48"/>
      <c r="B7" s="2" t="s">
        <v>13</v>
      </c>
      <c r="C7" s="33"/>
      <c r="D7" s="33"/>
      <c r="E7" s="33"/>
      <c r="F7" s="33"/>
      <c r="G7" s="36" t="s">
        <v>14</v>
      </c>
      <c r="H7" s="72">
        <v>34</v>
      </c>
      <c r="I7" s="39" t="s">
        <v>15</v>
      </c>
      <c r="J7" s="35"/>
      <c r="K7" s="35"/>
    </row>
    <row r="8" spans="1:11" ht="18.75" customHeight="1" x14ac:dyDescent="0.25">
      <c r="A8" s="48"/>
      <c r="B8" s="2" t="s">
        <v>16</v>
      </c>
      <c r="C8" s="33"/>
      <c r="D8" s="33"/>
      <c r="E8" s="33"/>
      <c r="F8" s="33"/>
      <c r="G8" s="25" t="s">
        <v>6</v>
      </c>
      <c r="H8" s="72">
        <v>0</v>
      </c>
      <c r="I8" s="39" t="s">
        <v>17</v>
      </c>
      <c r="J8" s="35"/>
      <c r="K8" s="264"/>
    </row>
    <row r="9" spans="1:11" ht="18.75" customHeight="1" x14ac:dyDescent="0.25">
      <c r="A9" s="48"/>
      <c r="B9" s="2" t="s">
        <v>18</v>
      </c>
      <c r="C9" s="33"/>
      <c r="D9" s="33"/>
      <c r="E9" s="33"/>
      <c r="F9" s="33"/>
      <c r="G9" s="25" t="s">
        <v>19</v>
      </c>
      <c r="H9" s="72">
        <v>200</v>
      </c>
      <c r="I9" s="39" t="s">
        <v>20</v>
      </c>
      <c r="J9" s="35"/>
      <c r="K9" s="35"/>
    </row>
    <row r="10" spans="1:11" ht="18.75" customHeight="1" x14ac:dyDescent="0.25">
      <c r="A10" s="48"/>
      <c r="B10" s="2"/>
      <c r="C10" s="33"/>
      <c r="D10" s="33"/>
      <c r="E10" s="33"/>
      <c r="F10" s="33"/>
      <c r="G10" s="25"/>
      <c r="H10" s="37"/>
      <c r="I10" s="39"/>
      <c r="J10" s="35"/>
      <c r="K10" s="35"/>
    </row>
    <row r="11" spans="1:11" ht="18.75" customHeight="1" x14ac:dyDescent="0.25">
      <c r="A11" s="62" t="s">
        <v>53</v>
      </c>
      <c r="B11" s="63" t="s">
        <v>55</v>
      </c>
      <c r="C11" s="64"/>
      <c r="D11" s="64"/>
      <c r="E11" s="64"/>
      <c r="F11" s="64"/>
      <c r="G11" s="64"/>
      <c r="H11" s="65"/>
      <c r="I11" s="66"/>
      <c r="J11" s="35"/>
      <c r="K11" s="35"/>
    </row>
    <row r="12" spans="1:11" ht="18.75" customHeight="1" x14ac:dyDescent="0.25">
      <c r="A12" s="48"/>
      <c r="B12" s="32"/>
      <c r="C12" s="33"/>
      <c r="D12" s="33"/>
      <c r="E12" s="33"/>
      <c r="F12" s="33"/>
      <c r="G12" s="33"/>
      <c r="H12" s="38"/>
      <c r="I12" s="39"/>
      <c r="J12" s="35"/>
      <c r="K12" s="35"/>
    </row>
    <row r="13" spans="1:11" ht="18.75" customHeight="1" x14ac:dyDescent="0.25">
      <c r="A13" s="48"/>
      <c r="B13" s="32"/>
      <c r="C13" s="33"/>
      <c r="D13" s="33"/>
      <c r="E13" s="33"/>
      <c r="F13" s="33"/>
      <c r="G13" s="33"/>
      <c r="H13" s="38"/>
      <c r="I13" s="39"/>
      <c r="J13" s="35"/>
      <c r="K13" s="35"/>
    </row>
    <row r="14" spans="1:11" ht="18.75" customHeight="1" x14ac:dyDescent="0.25">
      <c r="A14" s="48"/>
      <c r="B14" s="32"/>
      <c r="C14" s="33"/>
      <c r="D14" s="33"/>
      <c r="E14" s="33"/>
      <c r="F14" s="33"/>
      <c r="G14" s="33"/>
      <c r="H14" s="38"/>
      <c r="I14" s="39"/>
      <c r="J14" s="35"/>
      <c r="K14" s="35"/>
    </row>
    <row r="15" spans="1:11" ht="18.75" customHeight="1" x14ac:dyDescent="0.25">
      <c r="A15" s="48"/>
      <c r="B15" s="32"/>
      <c r="C15" s="33"/>
      <c r="D15" s="33"/>
      <c r="E15" s="33"/>
      <c r="F15" s="33"/>
      <c r="G15" s="33"/>
      <c r="H15" s="38"/>
      <c r="I15" s="39"/>
      <c r="J15" s="35"/>
      <c r="K15" s="35"/>
    </row>
    <row r="16" spans="1:11" ht="18.75" customHeight="1" x14ac:dyDescent="0.25">
      <c r="A16" s="48"/>
      <c r="B16" s="32"/>
      <c r="C16" s="33"/>
      <c r="D16" s="33"/>
      <c r="E16" s="33"/>
      <c r="F16" s="33"/>
      <c r="G16" s="33"/>
      <c r="H16" s="38"/>
      <c r="I16" s="39"/>
      <c r="J16" s="35"/>
      <c r="K16" s="35"/>
    </row>
    <row r="17" spans="1:11" ht="18.75" customHeight="1" x14ac:dyDescent="0.25">
      <c r="A17" s="48"/>
      <c r="B17" s="32"/>
      <c r="C17" s="33"/>
      <c r="D17" s="33"/>
      <c r="E17" s="33"/>
      <c r="F17" s="33"/>
      <c r="G17" s="33"/>
      <c r="H17" s="38"/>
      <c r="I17" s="39"/>
      <c r="J17" s="35"/>
      <c r="K17" s="35"/>
    </row>
    <row r="18" spans="1:11" ht="18.75" customHeight="1" x14ac:dyDescent="0.25">
      <c r="A18" s="48"/>
      <c r="B18" s="32"/>
      <c r="C18" s="33"/>
      <c r="D18" s="33"/>
      <c r="E18" s="33"/>
      <c r="F18" s="33"/>
      <c r="G18" s="33"/>
      <c r="H18" s="38"/>
      <c r="I18" s="39"/>
      <c r="J18" s="35"/>
      <c r="K18" s="35"/>
    </row>
    <row r="19" spans="1:11" ht="18.75" customHeight="1" x14ac:dyDescent="0.25">
      <c r="A19" s="48"/>
      <c r="B19" s="32"/>
      <c r="C19" s="33"/>
      <c r="D19" s="33"/>
      <c r="E19" s="33"/>
      <c r="F19" s="33"/>
      <c r="G19" s="33"/>
      <c r="H19" s="38"/>
      <c r="I19" s="39"/>
      <c r="J19" s="35"/>
      <c r="K19" s="35"/>
    </row>
    <row r="20" spans="1:11" ht="18.75" customHeight="1" x14ac:dyDescent="0.25">
      <c r="A20" s="48"/>
      <c r="B20" s="32"/>
      <c r="C20" s="33"/>
      <c r="D20" s="33"/>
      <c r="E20" s="33"/>
      <c r="F20" s="33"/>
      <c r="G20" s="33"/>
      <c r="H20" s="38"/>
      <c r="I20" s="39"/>
      <c r="J20" s="35"/>
      <c r="K20" s="35"/>
    </row>
    <row r="21" spans="1:11" ht="18.75" customHeight="1" x14ac:dyDescent="0.25">
      <c r="A21" s="48"/>
      <c r="B21" s="32"/>
      <c r="C21" s="33"/>
      <c r="D21" s="33"/>
      <c r="E21" s="33"/>
      <c r="F21" s="33"/>
      <c r="G21" s="33"/>
      <c r="H21" s="38"/>
      <c r="I21" s="39"/>
      <c r="J21" s="35"/>
      <c r="K21" s="35"/>
    </row>
    <row r="22" spans="1:11" ht="18.75" customHeight="1" x14ac:dyDescent="0.25">
      <c r="A22" s="48"/>
      <c r="B22" s="32"/>
      <c r="C22" s="33"/>
      <c r="D22" s="33"/>
      <c r="E22" s="33"/>
      <c r="F22" s="33"/>
      <c r="G22" s="33"/>
      <c r="H22" s="38"/>
      <c r="I22" s="39"/>
      <c r="J22" s="35"/>
      <c r="K22" s="35"/>
    </row>
    <row r="23" spans="1:11" ht="18.75" customHeight="1" x14ac:dyDescent="0.25">
      <c r="A23" s="48"/>
      <c r="B23" s="32"/>
      <c r="C23" s="33"/>
      <c r="D23" s="33"/>
      <c r="E23" s="33"/>
      <c r="F23" s="33"/>
      <c r="G23" s="33"/>
      <c r="H23" s="38"/>
      <c r="I23" s="39"/>
      <c r="J23" s="35"/>
      <c r="K23" s="35"/>
    </row>
    <row r="24" spans="1:11" ht="18.75" customHeight="1" x14ac:dyDescent="0.25">
      <c r="A24" s="48"/>
      <c r="B24" s="32"/>
      <c r="C24" s="33"/>
      <c r="D24" s="33"/>
      <c r="E24" s="33"/>
      <c r="F24" s="33"/>
      <c r="G24" s="33"/>
      <c r="H24" s="38"/>
      <c r="I24" s="39"/>
      <c r="J24" s="35"/>
      <c r="K24" s="35"/>
    </row>
    <row r="25" spans="1:11" ht="18.75" customHeight="1" x14ac:dyDescent="0.25">
      <c r="A25" s="48"/>
      <c r="B25" s="32"/>
      <c r="C25" s="33"/>
      <c r="D25" s="33"/>
      <c r="E25" s="33"/>
      <c r="F25" s="33"/>
      <c r="G25" s="33"/>
      <c r="H25" s="38"/>
      <c r="I25" s="39"/>
      <c r="J25" s="35"/>
      <c r="K25" s="35"/>
    </row>
    <row r="26" spans="1:11" ht="18.75" customHeight="1" x14ac:dyDescent="0.25">
      <c r="A26" s="48"/>
      <c r="B26" s="32"/>
      <c r="C26" s="33"/>
      <c r="D26" s="33"/>
      <c r="E26" s="33"/>
      <c r="F26" s="33"/>
      <c r="G26" s="33"/>
      <c r="H26" s="38"/>
      <c r="I26" s="39"/>
      <c r="J26" s="35"/>
      <c r="K26" s="35"/>
    </row>
    <row r="27" spans="1:11" ht="18.75" customHeight="1" x14ac:dyDescent="0.25">
      <c r="A27" s="48"/>
      <c r="B27" s="32"/>
      <c r="C27" s="33"/>
      <c r="D27" s="33"/>
      <c r="E27" s="33"/>
      <c r="F27" s="33"/>
      <c r="G27" s="33"/>
      <c r="H27" s="38"/>
      <c r="I27" s="39"/>
      <c r="J27" s="35"/>
      <c r="K27" s="35"/>
    </row>
    <row r="28" spans="1:11" ht="18.75" customHeight="1" x14ac:dyDescent="0.25">
      <c r="A28" s="48"/>
      <c r="B28" s="2" t="s">
        <v>58</v>
      </c>
      <c r="C28" s="33"/>
      <c r="D28" s="33"/>
      <c r="F28" s="33"/>
      <c r="G28" s="25" t="s">
        <v>353</v>
      </c>
      <c r="H28" s="72">
        <v>0.5</v>
      </c>
      <c r="I28" s="39" t="s">
        <v>9</v>
      </c>
      <c r="J28" s="35"/>
      <c r="K28" s="35"/>
    </row>
    <row r="29" spans="1:11" ht="18.75" customHeight="1" x14ac:dyDescent="0.25">
      <c r="A29" s="48"/>
      <c r="B29" s="2" t="s">
        <v>59</v>
      </c>
      <c r="C29" s="33"/>
      <c r="D29" s="33"/>
      <c r="F29" s="33"/>
      <c r="G29" s="25" t="s">
        <v>80</v>
      </c>
      <c r="H29" s="72">
        <v>0.6</v>
      </c>
      <c r="I29" s="39" t="s">
        <v>9</v>
      </c>
      <c r="J29" s="35"/>
      <c r="K29" s="35"/>
    </row>
    <row r="30" spans="1:11" ht="18.75" customHeight="1" x14ac:dyDescent="0.25">
      <c r="A30" s="48"/>
      <c r="B30" s="2" t="s">
        <v>56</v>
      </c>
      <c r="C30" s="33"/>
      <c r="D30" s="33"/>
      <c r="F30" s="33"/>
      <c r="G30" s="25" t="s">
        <v>354</v>
      </c>
      <c r="H30" s="72">
        <v>1.6</v>
      </c>
      <c r="I30" s="39" t="s">
        <v>9</v>
      </c>
    </row>
    <row r="31" spans="1:11" ht="18.75" customHeight="1" x14ac:dyDescent="0.25">
      <c r="A31" s="48"/>
      <c r="B31" s="2" t="s">
        <v>57</v>
      </c>
      <c r="C31" s="33"/>
      <c r="D31" s="33"/>
      <c r="F31" s="33"/>
      <c r="G31" s="25" t="s">
        <v>355</v>
      </c>
      <c r="H31" s="72">
        <v>1.6</v>
      </c>
      <c r="I31" s="39" t="s">
        <v>9</v>
      </c>
    </row>
    <row r="32" spans="1:11" ht="18.75" customHeight="1" x14ac:dyDescent="0.25">
      <c r="A32" s="48"/>
      <c r="B32" s="2" t="s">
        <v>63</v>
      </c>
      <c r="C32" s="33"/>
      <c r="D32" s="33"/>
      <c r="F32" s="33"/>
      <c r="G32" s="25" t="s">
        <v>273</v>
      </c>
      <c r="H32" s="72">
        <v>0.4</v>
      </c>
      <c r="I32" s="39" t="s">
        <v>9</v>
      </c>
    </row>
    <row r="33" spans="1:9" ht="18.75" customHeight="1" x14ac:dyDescent="0.25">
      <c r="A33" s="48"/>
      <c r="B33" s="2" t="s">
        <v>147</v>
      </c>
      <c r="C33" s="33"/>
      <c r="D33" s="33"/>
      <c r="F33" s="33"/>
      <c r="G33" s="25" t="s">
        <v>148</v>
      </c>
      <c r="H33" s="73">
        <v>40</v>
      </c>
      <c r="I33" s="39"/>
    </row>
    <row r="34" spans="1:9" ht="18.75" customHeight="1" x14ac:dyDescent="0.25">
      <c r="A34" s="51"/>
      <c r="B34" s="9" t="s">
        <v>293</v>
      </c>
      <c r="C34" s="9"/>
      <c r="D34" s="31"/>
      <c r="E34" s="42"/>
      <c r="F34" s="43"/>
      <c r="G34" s="44" t="s">
        <v>294</v>
      </c>
      <c r="H34" s="170">
        <v>100</v>
      </c>
      <c r="I34" s="45" t="s">
        <v>0</v>
      </c>
    </row>
    <row r="35" spans="1:9" ht="18.75" customHeight="1" x14ac:dyDescent="0.25">
      <c r="A35" s="48"/>
      <c r="I35" s="40"/>
    </row>
    <row r="36" spans="1:9" ht="18.75" customHeight="1" x14ac:dyDescent="0.25">
      <c r="A36" s="48"/>
      <c r="I36" s="40"/>
    </row>
    <row r="37" spans="1:9" ht="18.75" customHeight="1" x14ac:dyDescent="0.25">
      <c r="A37" s="48"/>
      <c r="I37" s="40"/>
    </row>
    <row r="38" spans="1:9" ht="18.75" customHeight="1" x14ac:dyDescent="0.25">
      <c r="A38" s="48"/>
      <c r="I38" s="40"/>
    </row>
    <row r="39" spans="1:9" ht="18.75" customHeight="1" x14ac:dyDescent="0.25">
      <c r="A39" s="48"/>
      <c r="I39" s="40"/>
    </row>
    <row r="40" spans="1:9" ht="18.75" customHeight="1" x14ac:dyDescent="0.25">
      <c r="A40" s="48"/>
      <c r="I40" s="40"/>
    </row>
    <row r="41" spans="1:9" ht="18.75" customHeight="1" x14ac:dyDescent="0.25">
      <c r="A41" s="48"/>
      <c r="I41" s="40"/>
    </row>
    <row r="42" spans="1:9" ht="18.75" customHeight="1" x14ac:dyDescent="0.25">
      <c r="A42" s="48"/>
      <c r="I42" s="40"/>
    </row>
    <row r="43" spans="1:9" ht="18.75" customHeight="1" x14ac:dyDescent="0.25">
      <c r="A43" s="48"/>
      <c r="I43" s="40"/>
    </row>
    <row r="44" spans="1:9" ht="18.75" customHeight="1" x14ac:dyDescent="0.25">
      <c r="A44" s="48"/>
      <c r="I44" s="40"/>
    </row>
    <row r="45" spans="1:9" ht="18.75" customHeight="1" x14ac:dyDescent="0.25">
      <c r="A45" s="48"/>
      <c r="I45" s="40"/>
    </row>
    <row r="46" spans="1:9" ht="18.75" customHeight="1" x14ac:dyDescent="0.25">
      <c r="A46" s="48"/>
      <c r="I46" s="40"/>
    </row>
    <row r="47" spans="1:9" ht="18.75" customHeight="1" x14ac:dyDescent="0.25">
      <c r="A47" s="48"/>
      <c r="I47" s="40"/>
    </row>
    <row r="48" spans="1:9" ht="18.75" customHeight="1" x14ac:dyDescent="0.25">
      <c r="A48" s="48"/>
      <c r="I48" s="40"/>
    </row>
    <row r="49" spans="1:13" ht="18.75" customHeight="1" x14ac:dyDescent="0.25">
      <c r="A49" s="48"/>
      <c r="B49" s="343" t="s">
        <v>481</v>
      </c>
      <c r="C49" s="344"/>
      <c r="D49" s="344"/>
      <c r="E49" s="344"/>
      <c r="I49" s="40"/>
    </row>
    <row r="50" spans="1:13" ht="18.75" customHeight="1" x14ac:dyDescent="0.25">
      <c r="A50" s="48"/>
      <c r="B50" s="273"/>
      <c r="C50" s="273"/>
      <c r="D50" s="273"/>
      <c r="E50" s="273"/>
      <c r="I50" s="40"/>
    </row>
    <row r="51" spans="1:13" ht="18.75" customHeight="1" x14ac:dyDescent="0.25">
      <c r="A51" s="48"/>
      <c r="B51" s="273"/>
      <c r="C51" s="273"/>
      <c r="D51" s="273"/>
      <c r="E51" s="273"/>
      <c r="I51" s="40"/>
    </row>
    <row r="52" spans="1:13" ht="18.75" customHeight="1" x14ac:dyDescent="0.25">
      <c r="A52" s="48"/>
      <c r="B52" s="273"/>
      <c r="C52" s="273"/>
      <c r="D52" s="273"/>
      <c r="E52" s="273"/>
      <c r="I52" s="40"/>
    </row>
    <row r="53" spans="1:13" ht="18.75" customHeight="1" x14ac:dyDescent="0.25">
      <c r="A53" s="48"/>
      <c r="B53" s="273"/>
      <c r="C53" s="273"/>
      <c r="D53" s="273"/>
      <c r="E53" s="273"/>
      <c r="I53" s="40"/>
    </row>
    <row r="54" spans="1:13" ht="18.75" customHeight="1" x14ac:dyDescent="0.25">
      <c r="A54" s="48"/>
      <c r="B54" s="273"/>
      <c r="C54" s="273"/>
      <c r="D54" s="273"/>
      <c r="E54" s="273"/>
      <c r="I54" s="40"/>
    </row>
    <row r="55" spans="1:13" ht="18.75" customHeight="1" x14ac:dyDescent="0.25">
      <c r="A55" s="48"/>
      <c r="B55" s="273"/>
      <c r="C55" s="273"/>
      <c r="D55" s="273"/>
      <c r="E55" s="273"/>
      <c r="I55" s="40"/>
    </row>
    <row r="56" spans="1:13" ht="18.75" customHeight="1" x14ac:dyDescent="0.25">
      <c r="A56" s="48"/>
      <c r="B56" s="273"/>
      <c r="C56" s="273"/>
      <c r="D56" s="273"/>
      <c r="E56" s="273"/>
      <c r="I56" s="40"/>
    </row>
    <row r="57" spans="1:13" ht="18.75" customHeight="1" x14ac:dyDescent="0.25">
      <c r="A57" s="48"/>
      <c r="B57" s="273"/>
      <c r="C57" s="273"/>
      <c r="D57" s="273"/>
      <c r="E57" s="273"/>
      <c r="I57" s="40"/>
    </row>
    <row r="58" spans="1:13" ht="18.75" customHeight="1" x14ac:dyDescent="0.25">
      <c r="A58" s="48"/>
      <c r="B58" s="273"/>
      <c r="C58" s="273"/>
      <c r="D58" s="273"/>
      <c r="E58" s="273"/>
      <c r="I58" s="40"/>
    </row>
    <row r="59" spans="1:13" ht="18.75" customHeight="1" x14ac:dyDescent="0.25">
      <c r="A59" s="48"/>
      <c r="B59" s="273"/>
      <c r="C59" s="273"/>
      <c r="D59" s="273"/>
      <c r="E59" s="273"/>
      <c r="I59" s="40"/>
    </row>
    <row r="60" spans="1:13" ht="18.75" customHeight="1" x14ac:dyDescent="0.25">
      <c r="A60" s="48"/>
      <c r="B60" s="273"/>
      <c r="C60" s="344" t="s">
        <v>482</v>
      </c>
      <c r="D60" s="344"/>
      <c r="E60" s="273"/>
      <c r="G60" s="344" t="s">
        <v>483</v>
      </c>
      <c r="H60" s="344"/>
      <c r="I60" s="40"/>
    </row>
    <row r="61" spans="1:13" ht="18.75" customHeight="1" x14ac:dyDescent="0.25">
      <c r="A61" s="48"/>
      <c r="B61" s="273"/>
      <c r="C61" s="273"/>
      <c r="D61" s="273"/>
      <c r="E61" s="273"/>
      <c r="I61" s="40"/>
    </row>
    <row r="62" spans="1:13" ht="18.75" customHeight="1" x14ac:dyDescent="0.25">
      <c r="A62" s="48"/>
      <c r="B62" s="2" t="s">
        <v>486</v>
      </c>
      <c r="C62" s="33"/>
      <c r="D62" s="33"/>
      <c r="F62" s="33"/>
      <c r="G62" s="25" t="s">
        <v>485</v>
      </c>
      <c r="H62" s="274">
        <f>IF(H33=40,0,0.5*(H30-H28))</f>
        <v>0</v>
      </c>
      <c r="I62" s="39" t="s">
        <v>9</v>
      </c>
    </row>
    <row r="63" spans="1:13" ht="18.75" customHeight="1" x14ac:dyDescent="0.25">
      <c r="A63" s="48"/>
      <c r="B63" s="2"/>
      <c r="C63" s="33"/>
      <c r="D63" s="33"/>
      <c r="F63" s="33"/>
      <c r="G63" s="25" t="s">
        <v>484</v>
      </c>
      <c r="H63" s="274">
        <f>IF(H33=20,0.5*H31-0.5*H29,0)</f>
        <v>0</v>
      </c>
      <c r="I63" s="39" t="s">
        <v>9</v>
      </c>
      <c r="M63" s="1" t="s">
        <v>524</v>
      </c>
    </row>
    <row r="64" spans="1:13" ht="18.75" customHeight="1" x14ac:dyDescent="0.25">
      <c r="A64" s="48"/>
      <c r="B64" s="2" t="s">
        <v>508</v>
      </c>
      <c r="C64" s="33"/>
      <c r="D64" s="33"/>
      <c r="F64" s="33"/>
      <c r="G64" s="25" t="s">
        <v>509</v>
      </c>
      <c r="H64" s="72">
        <v>-1.2</v>
      </c>
      <c r="I64" s="39" t="s">
        <v>9</v>
      </c>
      <c r="K64" s="35" t="s">
        <v>510</v>
      </c>
      <c r="M64" s="1" t="s">
        <v>525</v>
      </c>
    </row>
    <row r="65" spans="1:13" ht="18.75" customHeight="1" x14ac:dyDescent="0.25">
      <c r="A65" s="48"/>
      <c r="B65" s="273"/>
      <c r="C65" s="273"/>
      <c r="D65" s="273"/>
      <c r="E65" s="273"/>
      <c r="I65" s="40"/>
    </row>
    <row r="66" spans="1:13" ht="18.75" customHeight="1" x14ac:dyDescent="0.25">
      <c r="A66" s="48"/>
      <c r="B66" s="273"/>
      <c r="C66" s="273"/>
      <c r="D66" s="273"/>
      <c r="E66" s="273"/>
      <c r="I66" s="40"/>
    </row>
    <row r="67" spans="1:13" ht="18.75" customHeight="1" x14ac:dyDescent="0.25">
      <c r="A67" s="48"/>
      <c r="B67" s="273"/>
      <c r="C67" s="273"/>
      <c r="D67" s="273"/>
      <c r="E67" s="273"/>
      <c r="I67" s="40"/>
      <c r="M67" s="25" t="s">
        <v>102</v>
      </c>
    </row>
    <row r="68" spans="1:13" ht="18.75" customHeight="1" x14ac:dyDescent="0.25">
      <c r="A68" s="48"/>
      <c r="B68" s="273"/>
      <c r="C68" s="273"/>
      <c r="D68" s="273"/>
      <c r="E68" s="273"/>
      <c r="I68" s="40"/>
    </row>
    <row r="69" spans="1:13" ht="18.75" customHeight="1" x14ac:dyDescent="0.25">
      <c r="A69" s="48"/>
      <c r="B69" s="273"/>
      <c r="C69" s="273"/>
      <c r="D69" s="273"/>
      <c r="E69" s="273"/>
      <c r="I69" s="40"/>
    </row>
    <row r="70" spans="1:13" ht="18.75" customHeight="1" x14ac:dyDescent="0.25">
      <c r="A70" s="48"/>
      <c r="B70" s="273"/>
      <c r="C70" s="273"/>
      <c r="D70" s="273"/>
      <c r="E70" s="273"/>
      <c r="I70" s="40"/>
    </row>
    <row r="71" spans="1:13" ht="18.75" customHeight="1" x14ac:dyDescent="0.25">
      <c r="A71" s="48"/>
      <c r="B71" s="273"/>
      <c r="C71" s="273"/>
      <c r="D71" s="273"/>
      <c r="E71" s="273"/>
      <c r="I71" s="40"/>
    </row>
    <row r="72" spans="1:13" ht="18.75" customHeight="1" x14ac:dyDescent="0.25">
      <c r="A72" s="48"/>
      <c r="B72" s="273"/>
      <c r="C72" s="273"/>
      <c r="D72" s="273"/>
      <c r="E72" s="273"/>
      <c r="I72" s="40"/>
    </row>
    <row r="73" spans="1:13" ht="18.75" customHeight="1" x14ac:dyDescent="0.25">
      <c r="A73" s="48"/>
      <c r="B73" s="273"/>
      <c r="C73" s="273"/>
      <c r="D73" s="273"/>
      <c r="E73" s="273"/>
      <c r="I73" s="40"/>
    </row>
    <row r="74" spans="1:13" ht="18.75" customHeight="1" x14ac:dyDescent="0.25">
      <c r="A74" s="55" t="s">
        <v>64</v>
      </c>
      <c r="B74" s="56" t="s">
        <v>274</v>
      </c>
      <c r="C74" s="59"/>
      <c r="D74" s="59"/>
      <c r="E74" s="59"/>
      <c r="F74" s="59"/>
      <c r="G74" s="60"/>
      <c r="H74" s="59"/>
      <c r="I74" s="61"/>
    </row>
    <row r="75" spans="1:13" ht="18.75" customHeight="1" x14ac:dyDescent="0.25">
      <c r="A75" s="50"/>
      <c r="B75" s="2" t="s">
        <v>65</v>
      </c>
      <c r="C75" s="2"/>
      <c r="D75" s="2"/>
      <c r="E75" s="2"/>
      <c r="F75" s="2"/>
      <c r="G75" s="41" t="s">
        <v>356</v>
      </c>
      <c r="H75" s="74">
        <v>30</v>
      </c>
      <c r="I75" s="40" t="s">
        <v>67</v>
      </c>
    </row>
    <row r="76" spans="1:13" ht="18.75" customHeight="1" x14ac:dyDescent="0.25">
      <c r="A76" s="50"/>
      <c r="B76" s="1" t="s">
        <v>68</v>
      </c>
      <c r="G76" s="41" t="s">
        <v>69</v>
      </c>
      <c r="H76" s="74">
        <v>400</v>
      </c>
      <c r="I76" s="40" t="s">
        <v>67</v>
      </c>
    </row>
    <row r="77" spans="1:13" ht="18.75" customHeight="1" x14ac:dyDescent="0.25">
      <c r="A77" s="50"/>
      <c r="B77" s="1" t="s">
        <v>70</v>
      </c>
      <c r="G77" s="41" t="s">
        <v>69</v>
      </c>
      <c r="H77" s="74">
        <v>240</v>
      </c>
      <c r="I77" s="40" t="s">
        <v>67</v>
      </c>
    </row>
    <row r="78" spans="1:13" ht="18.75" customHeight="1" x14ac:dyDescent="0.25">
      <c r="A78" s="50"/>
      <c r="B78" s="9" t="s">
        <v>71</v>
      </c>
      <c r="G78" s="41" t="s">
        <v>72</v>
      </c>
      <c r="H78" s="74">
        <v>200000</v>
      </c>
      <c r="I78" s="40" t="s">
        <v>67</v>
      </c>
    </row>
    <row r="79" spans="1:13" s="9" customFormat="1" ht="18.75" customHeight="1" x14ac:dyDescent="0.25">
      <c r="A79" s="51"/>
      <c r="B79" s="9" t="s">
        <v>73</v>
      </c>
      <c r="C79" s="31"/>
      <c r="D79" s="31"/>
      <c r="E79" s="42"/>
      <c r="F79" s="43"/>
      <c r="G79" s="44" t="s">
        <v>1</v>
      </c>
      <c r="H79" s="75">
        <v>16</v>
      </c>
      <c r="I79" s="45" t="s">
        <v>0</v>
      </c>
    </row>
    <row r="80" spans="1:13" s="9" customFormat="1" ht="18.75" customHeight="1" x14ac:dyDescent="0.25">
      <c r="A80" s="51"/>
      <c r="B80" s="9" t="s">
        <v>74</v>
      </c>
      <c r="C80" s="31"/>
      <c r="D80" s="31"/>
      <c r="E80" s="42"/>
      <c r="F80" s="43"/>
      <c r="G80" s="44" t="s">
        <v>1</v>
      </c>
      <c r="H80" s="75">
        <v>13</v>
      </c>
      <c r="I80" s="45" t="s">
        <v>0</v>
      </c>
    </row>
    <row r="81" spans="1:9" ht="18.75" customHeight="1" x14ac:dyDescent="0.25">
      <c r="A81" s="48"/>
      <c r="I81" s="40"/>
    </row>
    <row r="82" spans="1:9" s="11" customFormat="1" ht="18.75" customHeight="1" x14ac:dyDescent="0.25">
      <c r="A82" s="55" t="s">
        <v>75</v>
      </c>
      <c r="B82" s="56" t="s">
        <v>76</v>
      </c>
      <c r="C82" s="57"/>
      <c r="D82" s="57"/>
      <c r="E82" s="57"/>
      <c r="F82" s="57"/>
      <c r="G82" s="57"/>
      <c r="H82" s="57"/>
      <c r="I82" s="58"/>
    </row>
    <row r="83" spans="1:9" s="2" customFormat="1" ht="18.75" customHeight="1" x14ac:dyDescent="0.25">
      <c r="A83" s="52"/>
      <c r="B83" s="2" t="s">
        <v>513</v>
      </c>
      <c r="C83" s="33"/>
      <c r="D83" s="33"/>
      <c r="E83" s="33"/>
      <c r="F83" s="33"/>
      <c r="G83" s="25" t="s">
        <v>78</v>
      </c>
      <c r="H83" s="72">
        <v>17.2</v>
      </c>
      <c r="I83" s="39" t="s">
        <v>12</v>
      </c>
    </row>
    <row r="84" spans="1:9" s="11" customFormat="1" ht="18.75" customHeight="1" x14ac:dyDescent="0.25">
      <c r="A84" s="53"/>
      <c r="B84" s="11" t="s">
        <v>79</v>
      </c>
      <c r="G84" s="25" t="s">
        <v>80</v>
      </c>
      <c r="H84" s="72">
        <v>24</v>
      </c>
      <c r="I84" s="39" t="s">
        <v>12</v>
      </c>
    </row>
    <row r="85" spans="1:9" ht="18.75" customHeight="1" x14ac:dyDescent="0.25">
      <c r="A85" s="48"/>
      <c r="I85" s="40"/>
    </row>
    <row r="86" spans="1:9" ht="18.75" customHeight="1" x14ac:dyDescent="0.25">
      <c r="A86" s="54"/>
      <c r="B86" s="46"/>
      <c r="C86" s="46"/>
      <c r="D86" s="46"/>
      <c r="E86" s="46"/>
      <c r="F86" s="46"/>
      <c r="G86" s="46"/>
      <c r="H86" s="46"/>
      <c r="I86" s="47"/>
    </row>
  </sheetData>
  <mergeCells count="4">
    <mergeCell ref="B1:F1"/>
    <mergeCell ref="B49:E49"/>
    <mergeCell ref="C60:D60"/>
    <mergeCell ref="G60:H60"/>
  </mergeCells>
  <pageMargins left="0.7" right="0.7" top="0.75" bottom="0.75" header="0.3" footer="0.3"/>
  <pageSetup orientation="portrait" horizontalDpi="300" r:id="rId1"/>
  <ignoredErrors>
    <ignoredError sqref="H62:H6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23FCC-E97D-4485-A225-030D620A391C}">
  <sheetPr>
    <tabColor theme="7"/>
  </sheetPr>
  <dimension ref="A1:M77"/>
  <sheetViews>
    <sheetView topLeftCell="A16" workbookViewId="0">
      <selection activeCell="L36" sqref="L36"/>
    </sheetView>
  </sheetViews>
  <sheetFormatPr defaultRowHeight="15" x14ac:dyDescent="0.25"/>
  <sheetData>
    <row r="1" spans="1:8" x14ac:dyDescent="0.25">
      <c r="A1" s="114" t="s">
        <v>454</v>
      </c>
      <c r="B1" s="114" t="s">
        <v>445</v>
      </c>
      <c r="C1" s="114" t="s">
        <v>446</v>
      </c>
      <c r="D1" s="114" t="s">
        <v>447</v>
      </c>
      <c r="E1" s="114" t="s">
        <v>448</v>
      </c>
      <c r="F1" s="114" t="s">
        <v>453</v>
      </c>
      <c r="G1" s="1"/>
      <c r="H1" s="1"/>
    </row>
    <row r="2" spans="1:8" x14ac:dyDescent="0.25">
      <c r="A2" s="114" t="s">
        <v>449</v>
      </c>
      <c r="B2" s="114">
        <f>-0.5*'Input Data'!H30</f>
        <v>-0.8</v>
      </c>
      <c r="C2" s="114">
        <f>B2</f>
        <v>-0.8</v>
      </c>
      <c r="D2" s="114">
        <f>-C2</f>
        <v>0.8</v>
      </c>
      <c r="E2" s="114">
        <f>D2</f>
        <v>0.8</v>
      </c>
      <c r="F2" s="114">
        <f>B2</f>
        <v>-0.8</v>
      </c>
      <c r="G2" s="1"/>
      <c r="H2" s="1"/>
    </row>
    <row r="3" spans="1:8" x14ac:dyDescent="0.25">
      <c r="A3" s="114" t="s">
        <v>450</v>
      </c>
      <c r="B3" s="114">
        <f>-0.5*'Input Data'!H31</f>
        <v>-0.8</v>
      </c>
      <c r="C3" s="114">
        <f>-B3</f>
        <v>0.8</v>
      </c>
      <c r="D3" s="114">
        <f>C3</f>
        <v>0.8</v>
      </c>
      <c r="E3" s="114">
        <f>B3</f>
        <v>-0.8</v>
      </c>
      <c r="F3" s="114">
        <f>B3</f>
        <v>-0.8</v>
      </c>
      <c r="G3" s="1"/>
      <c r="H3" s="1"/>
    </row>
    <row r="4" spans="1:8" x14ac:dyDescent="0.25">
      <c r="A4" s="1"/>
      <c r="B4" s="114" cm="1">
        <f t="array" ref="B4">MAX(ABS(B2:E3),ABS(B8:D9),ABS(F8:H9),ABS(B21:D22),ABS(F21:H22))</f>
        <v>0.96</v>
      </c>
      <c r="C4" s="114">
        <v>50</v>
      </c>
      <c r="D4" s="114"/>
      <c r="E4" s="114"/>
      <c r="F4" s="114"/>
      <c r="G4" s="1"/>
      <c r="H4" s="1"/>
    </row>
    <row r="5" spans="1:8" x14ac:dyDescent="0.25">
      <c r="A5" s="114" t="s">
        <v>451</v>
      </c>
      <c r="B5" s="112">
        <f t="shared" ref="B5:E6" si="0">B2/$B$4*$C$4</f>
        <v>-41.666666666666671</v>
      </c>
      <c r="C5" s="112">
        <f t="shared" si="0"/>
        <v>-41.666666666666671</v>
      </c>
      <c r="D5" s="112">
        <f t="shared" si="0"/>
        <v>41.666666666666671</v>
      </c>
      <c r="E5" s="112">
        <f t="shared" si="0"/>
        <v>41.666666666666671</v>
      </c>
      <c r="F5" s="112">
        <f>B5</f>
        <v>-41.666666666666671</v>
      </c>
      <c r="G5" s="1"/>
      <c r="H5" s="1"/>
    </row>
    <row r="6" spans="1:8" x14ac:dyDescent="0.25">
      <c r="A6" s="114" t="s">
        <v>452</v>
      </c>
      <c r="B6" s="112">
        <f t="shared" si="0"/>
        <v>-41.666666666666671</v>
      </c>
      <c r="C6" s="112">
        <f t="shared" si="0"/>
        <v>41.666666666666671</v>
      </c>
      <c r="D6" s="112">
        <f t="shared" si="0"/>
        <v>41.666666666666671</v>
      </c>
      <c r="E6" s="112">
        <f t="shared" si="0"/>
        <v>-41.666666666666671</v>
      </c>
      <c r="F6" s="112">
        <f>B6</f>
        <v>-41.666666666666671</v>
      </c>
      <c r="G6" s="8"/>
      <c r="H6" s="8"/>
    </row>
    <row r="7" spans="1:8" x14ac:dyDescent="0.25">
      <c r="A7" s="1"/>
      <c r="B7" s="101" t="s">
        <v>445</v>
      </c>
      <c r="C7" s="101" t="s">
        <v>446</v>
      </c>
      <c r="D7" s="101" t="s">
        <v>447</v>
      </c>
      <c r="E7" s="1"/>
      <c r="F7" s="101" t="s">
        <v>445</v>
      </c>
      <c r="G7" s="101" t="s">
        <v>446</v>
      </c>
      <c r="H7" s="101" t="s">
        <v>447</v>
      </c>
    </row>
    <row r="8" spans="1:8" x14ac:dyDescent="0.25">
      <c r="A8" s="1" t="s">
        <v>461</v>
      </c>
      <c r="B8" s="1">
        <f>B2</f>
        <v>-0.8</v>
      </c>
      <c r="C8" s="1">
        <v>0</v>
      </c>
      <c r="D8" s="1">
        <f>D2</f>
        <v>0.8</v>
      </c>
      <c r="E8" s="1" t="s">
        <v>462</v>
      </c>
      <c r="F8" s="1">
        <f>1.2*B2</f>
        <v>-0.96</v>
      </c>
      <c r="G8" s="1">
        <f>F8</f>
        <v>-0.96</v>
      </c>
      <c r="H8" s="1">
        <f>G8</f>
        <v>-0.96</v>
      </c>
    </row>
    <row r="9" spans="1:8" x14ac:dyDescent="0.25">
      <c r="A9" s="1"/>
      <c r="B9" s="1">
        <f>B3*1.2</f>
        <v>-0.96</v>
      </c>
      <c r="C9" s="1">
        <f>B9</f>
        <v>-0.96</v>
      </c>
      <c r="D9" s="1">
        <f>C9</f>
        <v>-0.96</v>
      </c>
      <c r="E9" s="1"/>
      <c r="F9" s="1">
        <f>C3</f>
        <v>0.8</v>
      </c>
      <c r="G9" s="1">
        <v>0</v>
      </c>
      <c r="H9" s="1">
        <f>-F9</f>
        <v>-0.8</v>
      </c>
    </row>
    <row r="10" spans="1:8" x14ac:dyDescent="0.25">
      <c r="A10" s="114" t="s">
        <v>451</v>
      </c>
      <c r="B10" s="112">
        <f t="shared" ref="B10:D11" si="1">B8/$B$4*$C$4</f>
        <v>-41.666666666666671</v>
      </c>
      <c r="C10" s="112">
        <f t="shared" si="1"/>
        <v>0</v>
      </c>
      <c r="D10" s="112">
        <f t="shared" si="1"/>
        <v>41.666666666666671</v>
      </c>
      <c r="E10" s="114" t="s">
        <v>451</v>
      </c>
      <c r="F10" s="112">
        <f t="shared" ref="F10:H11" si="2">F8/$B$4*$C$4</f>
        <v>-50</v>
      </c>
      <c r="G10" s="112">
        <f t="shared" si="2"/>
        <v>-50</v>
      </c>
      <c r="H10" s="112">
        <f t="shared" si="2"/>
        <v>-50</v>
      </c>
    </row>
    <row r="11" spans="1:8" x14ac:dyDescent="0.25">
      <c r="A11" s="114" t="s">
        <v>452</v>
      </c>
      <c r="B11" s="112">
        <f t="shared" si="1"/>
        <v>-50</v>
      </c>
      <c r="C11" s="112">
        <f t="shared" si="1"/>
        <v>-50</v>
      </c>
      <c r="D11" s="112">
        <f t="shared" si="1"/>
        <v>-50</v>
      </c>
      <c r="E11" s="114" t="s">
        <v>452</v>
      </c>
      <c r="F11" s="112">
        <f t="shared" si="2"/>
        <v>41.666666666666671</v>
      </c>
      <c r="G11" s="112">
        <f t="shared" si="2"/>
        <v>0</v>
      </c>
      <c r="H11" s="112">
        <f t="shared" si="2"/>
        <v>-41.666666666666671</v>
      </c>
    </row>
    <row r="12" spans="1:8" x14ac:dyDescent="0.25">
      <c r="A12" s="9"/>
      <c r="B12" s="9"/>
      <c r="C12" s="9"/>
      <c r="D12" s="9"/>
      <c r="E12" s="1"/>
      <c r="F12" s="1"/>
      <c r="G12" s="10"/>
      <c r="H12" s="10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01" t="s">
        <v>455</v>
      </c>
      <c r="B14" s="101" t="s">
        <v>456</v>
      </c>
      <c r="C14" s="101" t="s">
        <v>457</v>
      </c>
      <c r="D14" s="101" t="s">
        <v>458</v>
      </c>
      <c r="E14" s="265" t="s">
        <v>459</v>
      </c>
      <c r="F14" s="265" t="s">
        <v>460</v>
      </c>
      <c r="G14" s="8"/>
      <c r="H14" s="8"/>
    </row>
    <row r="15" spans="1:8" x14ac:dyDescent="0.25">
      <c r="A15" s="114" t="s">
        <v>449</v>
      </c>
      <c r="B15" s="101">
        <f>IF('Input Data'!H33=40,-0.5*'Input Data'!H28,-0.5*'Input Data'!H28-0.5*('Input Data'!H30-'Input Data'!H28))</f>
        <v>-0.25</v>
      </c>
      <c r="C15" s="114">
        <f>B15</f>
        <v>-0.25</v>
      </c>
      <c r="D15" s="171">
        <f>C15+'Input Data'!H28</f>
        <v>0.25</v>
      </c>
      <c r="E15" s="114">
        <f>D15</f>
        <v>0.25</v>
      </c>
      <c r="F15" s="114">
        <f>B15</f>
        <v>-0.25</v>
      </c>
      <c r="G15" s="12"/>
      <c r="H15" s="12"/>
    </row>
    <row r="16" spans="1:8" x14ac:dyDescent="0.25">
      <c r="A16" s="114" t="s">
        <v>450</v>
      </c>
      <c r="B16" s="268">
        <f>C16-'Input Data'!H29</f>
        <v>-0.3</v>
      </c>
      <c r="C16" s="114">
        <f>IF('Input Data'!H33=20,0.5*'Input Data'!H29+0.5*('Input Data'!H31-'Input Data'!H29),0.5*'Input Data'!H29)</f>
        <v>0.3</v>
      </c>
      <c r="D16" s="114">
        <f>C16</f>
        <v>0.3</v>
      </c>
      <c r="E16" s="114">
        <f>B16</f>
        <v>-0.3</v>
      </c>
      <c r="F16" s="114">
        <f>B16</f>
        <v>-0.3</v>
      </c>
      <c r="G16" s="8"/>
      <c r="H16" s="8"/>
    </row>
    <row r="17" spans="1:13" x14ac:dyDescent="0.25">
      <c r="A17" s="1"/>
      <c r="B17" s="266"/>
      <c r="C17" s="31"/>
      <c r="D17" s="31"/>
      <c r="E17" s="267"/>
      <c r="F17" s="267"/>
      <c r="G17" s="1"/>
      <c r="H17" s="1"/>
    </row>
    <row r="18" spans="1:13" x14ac:dyDescent="0.25">
      <c r="A18" s="114" t="s">
        <v>451</v>
      </c>
      <c r="B18" s="112">
        <f t="shared" ref="B18:E19" si="3">B15/$B$4*$C$4</f>
        <v>-13.020833333333334</v>
      </c>
      <c r="C18" s="112">
        <f t="shared" si="3"/>
        <v>-13.020833333333334</v>
      </c>
      <c r="D18" s="112">
        <f t="shared" si="3"/>
        <v>13.020833333333334</v>
      </c>
      <c r="E18" s="112">
        <f t="shared" si="3"/>
        <v>13.020833333333334</v>
      </c>
      <c r="F18" s="112">
        <f>B18</f>
        <v>-13.020833333333334</v>
      </c>
      <c r="G18" s="1"/>
      <c r="H18" s="1"/>
    </row>
    <row r="19" spans="1:13" x14ac:dyDescent="0.25">
      <c r="A19" s="114" t="s">
        <v>452</v>
      </c>
      <c r="B19" s="112">
        <f t="shared" si="3"/>
        <v>-15.625</v>
      </c>
      <c r="C19" s="112">
        <f t="shared" si="3"/>
        <v>15.625</v>
      </c>
      <c r="D19" s="112">
        <f t="shared" si="3"/>
        <v>15.625</v>
      </c>
      <c r="E19" s="112">
        <f t="shared" si="3"/>
        <v>-15.625</v>
      </c>
      <c r="F19" s="112">
        <f>B19</f>
        <v>-15.625</v>
      </c>
      <c r="G19" s="1"/>
      <c r="H19" s="1"/>
    </row>
    <row r="20" spans="1:13" x14ac:dyDescent="0.25">
      <c r="A20" s="1"/>
      <c r="B20" s="101" t="s">
        <v>445</v>
      </c>
      <c r="C20" s="101" t="s">
        <v>446</v>
      </c>
      <c r="D20" s="101" t="s">
        <v>447</v>
      </c>
      <c r="E20" s="1"/>
      <c r="F20" s="101" t="s">
        <v>445</v>
      </c>
      <c r="G20" s="101" t="s">
        <v>446</v>
      </c>
      <c r="H20" s="101" t="s">
        <v>447</v>
      </c>
    </row>
    <row r="21" spans="1:13" x14ac:dyDescent="0.25">
      <c r="A21" s="1" t="s">
        <v>461</v>
      </c>
      <c r="B21" s="1">
        <f>B15</f>
        <v>-0.25</v>
      </c>
      <c r="C21" s="1">
        <f>(B21+D21)/2</f>
        <v>0</v>
      </c>
      <c r="D21" s="269">
        <f>D15</f>
        <v>0.25</v>
      </c>
      <c r="E21" s="1" t="s">
        <v>462</v>
      </c>
      <c r="F21" s="269">
        <f>D15+0.115</f>
        <v>0.36499999999999999</v>
      </c>
      <c r="G21" s="1">
        <f>F21</f>
        <v>0.36499999999999999</v>
      </c>
      <c r="H21" s="1">
        <f>G21</f>
        <v>0.36499999999999999</v>
      </c>
    </row>
    <row r="22" spans="1:13" x14ac:dyDescent="0.25">
      <c r="A22" s="1"/>
      <c r="B22" s="269">
        <f>B16-0.115</f>
        <v>-0.41499999999999998</v>
      </c>
      <c r="C22" s="1">
        <f>B22</f>
        <v>-0.41499999999999998</v>
      </c>
      <c r="D22" s="1">
        <f>C22</f>
        <v>-0.41499999999999998</v>
      </c>
      <c r="E22" s="1"/>
      <c r="F22" s="1">
        <f>C16</f>
        <v>0.3</v>
      </c>
      <c r="G22" s="1">
        <f>(F22+H22)/2</f>
        <v>0</v>
      </c>
      <c r="H22" s="1">
        <f>E16</f>
        <v>-0.3</v>
      </c>
    </row>
    <row r="23" spans="1:13" x14ac:dyDescent="0.25">
      <c r="A23" s="114" t="s">
        <v>451</v>
      </c>
      <c r="B23" s="112">
        <f t="shared" ref="B23:D24" si="4">B21/$B$4*$C$4</f>
        <v>-13.020833333333334</v>
      </c>
      <c r="C23" s="112">
        <f t="shared" si="4"/>
        <v>0</v>
      </c>
      <c r="D23" s="112">
        <f t="shared" si="4"/>
        <v>13.020833333333334</v>
      </c>
      <c r="E23" s="114" t="s">
        <v>451</v>
      </c>
      <c r="F23" s="112">
        <f t="shared" ref="F23:H24" si="5">F21/$B$4*$C$4</f>
        <v>19.010416666666664</v>
      </c>
      <c r="G23" s="112">
        <f t="shared" si="5"/>
        <v>19.010416666666664</v>
      </c>
      <c r="H23" s="112">
        <f t="shared" si="5"/>
        <v>19.010416666666664</v>
      </c>
    </row>
    <row r="24" spans="1:13" x14ac:dyDescent="0.25">
      <c r="A24" s="114" t="s">
        <v>452</v>
      </c>
      <c r="B24" s="112">
        <f t="shared" si="4"/>
        <v>-21.614583333333336</v>
      </c>
      <c r="C24" s="112">
        <f t="shared" si="4"/>
        <v>-21.614583333333336</v>
      </c>
      <c r="D24" s="112">
        <f t="shared" si="4"/>
        <v>-21.614583333333336</v>
      </c>
      <c r="E24" s="114" t="s">
        <v>452</v>
      </c>
      <c r="F24" s="112">
        <f t="shared" si="5"/>
        <v>15.625</v>
      </c>
      <c r="G24" s="112">
        <f t="shared" si="5"/>
        <v>0</v>
      </c>
      <c r="H24" s="112">
        <f t="shared" si="5"/>
        <v>-15.625</v>
      </c>
    </row>
    <row r="27" spans="1:13" x14ac:dyDescent="0.25">
      <c r="A27" s="101" t="s">
        <v>472</v>
      </c>
      <c r="B27" s="101" t="s">
        <v>445</v>
      </c>
      <c r="C27" s="101" t="s">
        <v>446</v>
      </c>
      <c r="D27" s="101" t="s">
        <v>447</v>
      </c>
      <c r="E27" s="101" t="s">
        <v>448</v>
      </c>
      <c r="F27" s="101" t="s">
        <v>445</v>
      </c>
      <c r="G27" s="101" t="s">
        <v>470</v>
      </c>
      <c r="H27" s="101" t="s">
        <v>471</v>
      </c>
      <c r="I27" s="1"/>
      <c r="J27" s="1"/>
    </row>
    <row r="28" spans="1:13" x14ac:dyDescent="0.25">
      <c r="A28" s="101" t="s">
        <v>449</v>
      </c>
      <c r="B28" s="101">
        <f>-0.5*'Input Data'!H30</f>
        <v>-0.8</v>
      </c>
      <c r="C28" s="101">
        <f>B28</f>
        <v>-0.8</v>
      </c>
      <c r="D28" s="101">
        <f>-C28</f>
        <v>0.8</v>
      </c>
      <c r="E28" s="101">
        <f>D28</f>
        <v>0.8</v>
      </c>
      <c r="F28" s="101">
        <f>B28</f>
        <v>-0.8</v>
      </c>
      <c r="G28" s="101" cm="1">
        <f t="array" ref="G28">MAX(ABS(B28:F29),ABS(B40:E41),ABS(B47:E48),ABS(B55:F56),ABS(B60:D61),ABS(B67:E68),ABS(B74:E75))</f>
        <v>1.44</v>
      </c>
      <c r="H28" s="101">
        <v>50</v>
      </c>
      <c r="I28" s="1"/>
      <c r="J28" s="1"/>
    </row>
    <row r="29" spans="1:13" x14ac:dyDescent="0.25">
      <c r="A29" s="101" t="s">
        <v>450</v>
      </c>
      <c r="B29" s="101">
        <f>1.2*'Input Data'!H4*0.5</f>
        <v>-1.2</v>
      </c>
      <c r="C29" s="268">
        <f>B29+'Input Data'!H32</f>
        <v>-0.79999999999999993</v>
      </c>
      <c r="D29" s="268">
        <f>C29</f>
        <v>-0.79999999999999993</v>
      </c>
      <c r="E29" s="101">
        <f>B29</f>
        <v>-1.2</v>
      </c>
      <c r="F29" s="101">
        <f>B29</f>
        <v>-1.2</v>
      </c>
      <c r="G29" s="1"/>
      <c r="H29" s="1"/>
      <c r="I29" s="1"/>
      <c r="J29" s="1"/>
    </row>
    <row r="30" spans="1:13" x14ac:dyDescent="0.25">
      <c r="A30" s="270" t="s">
        <v>451</v>
      </c>
      <c r="B30" s="271">
        <f t="shared" ref="B30:F31" si="6">B28/$G$28*$H$28</f>
        <v>-27.777777777777779</v>
      </c>
      <c r="C30" s="271">
        <f t="shared" si="6"/>
        <v>-27.777777777777779</v>
      </c>
      <c r="D30" s="271">
        <f t="shared" si="6"/>
        <v>27.777777777777779</v>
      </c>
      <c r="E30" s="271">
        <f t="shared" si="6"/>
        <v>27.777777777777779</v>
      </c>
      <c r="F30" s="271">
        <f t="shared" si="6"/>
        <v>-27.777777777777779</v>
      </c>
      <c r="G30" s="1"/>
      <c r="H30" s="1"/>
      <c r="I30" s="1"/>
      <c r="J30" s="1"/>
    </row>
    <row r="31" spans="1:13" x14ac:dyDescent="0.25">
      <c r="A31" s="270" t="s">
        <v>452</v>
      </c>
      <c r="B31" s="271">
        <f t="shared" si="6"/>
        <v>-41.666666666666671</v>
      </c>
      <c r="C31" s="271">
        <f t="shared" si="6"/>
        <v>-27.777777777777779</v>
      </c>
      <c r="D31" s="271">
        <f t="shared" si="6"/>
        <v>-27.777777777777779</v>
      </c>
      <c r="E31" s="271">
        <f t="shared" si="6"/>
        <v>-41.666666666666671</v>
      </c>
      <c r="F31" s="271">
        <f t="shared" si="6"/>
        <v>-41.666666666666671</v>
      </c>
      <c r="G31" s="1"/>
      <c r="H31" s="1"/>
      <c r="I31" s="1"/>
      <c r="J31" s="1"/>
    </row>
    <row r="32" spans="1:13" ht="18" x14ac:dyDescent="0.25">
      <c r="A32" s="101" t="s">
        <v>475</v>
      </c>
      <c r="B32" s="204" t="s">
        <v>445</v>
      </c>
      <c r="C32" s="204" t="s">
        <v>446</v>
      </c>
      <c r="D32" s="204" t="s">
        <v>447</v>
      </c>
      <c r="E32" s="204"/>
      <c r="F32" s="204" t="s">
        <v>476</v>
      </c>
      <c r="G32" s="204" t="s">
        <v>445</v>
      </c>
      <c r="H32" s="204" t="s">
        <v>446</v>
      </c>
      <c r="I32" s="204" t="s">
        <v>447</v>
      </c>
      <c r="J32" s="1"/>
      <c r="K32" s="101" t="s">
        <v>507</v>
      </c>
      <c r="L32" s="204" t="s">
        <v>445</v>
      </c>
      <c r="M32" s="204" t="s">
        <v>446</v>
      </c>
    </row>
    <row r="33" spans="1:13" x14ac:dyDescent="0.25">
      <c r="A33" s="101" t="s">
        <v>449</v>
      </c>
      <c r="B33" s="204">
        <f>B28</f>
        <v>-0.8</v>
      </c>
      <c r="C33" s="204">
        <f>(B33+D33)/2</f>
        <v>0</v>
      </c>
      <c r="D33" s="204">
        <f>E28</f>
        <v>0.8</v>
      </c>
      <c r="E33" s="204"/>
      <c r="F33" s="101" t="s">
        <v>449</v>
      </c>
      <c r="G33" s="204">
        <f>1.2*E28</f>
        <v>0.96</v>
      </c>
      <c r="H33" s="204">
        <f>(G33+I33)/2</f>
        <v>0.96</v>
      </c>
      <c r="I33" s="204">
        <f>G33</f>
        <v>0.96</v>
      </c>
      <c r="J33" s="1"/>
      <c r="K33" s="101" t="s">
        <v>449</v>
      </c>
      <c r="L33" s="204">
        <f>B40</f>
        <v>-1.4</v>
      </c>
      <c r="M33" s="204">
        <f>E40</f>
        <v>1.4</v>
      </c>
    </row>
    <row r="34" spans="1:13" x14ac:dyDescent="0.25">
      <c r="A34" s="101" t="s">
        <v>450</v>
      </c>
      <c r="B34" s="101">
        <f>B29*1.2</f>
        <v>-1.44</v>
      </c>
      <c r="C34" s="101">
        <f>B34</f>
        <v>-1.44</v>
      </c>
      <c r="D34" s="101">
        <f>C34</f>
        <v>-1.44</v>
      </c>
      <c r="E34" s="1"/>
      <c r="F34" s="101" t="s">
        <v>450</v>
      </c>
      <c r="G34" s="268">
        <f>D29</f>
        <v>-0.79999999999999993</v>
      </c>
      <c r="H34" s="204">
        <f>(G34+I34)/2</f>
        <v>-1</v>
      </c>
      <c r="I34" s="101">
        <f>E29</f>
        <v>-1.2</v>
      </c>
      <c r="J34" s="1"/>
      <c r="K34" s="101" t="s">
        <v>450</v>
      </c>
      <c r="L34" s="268">
        <f>B41+'Input Data'!H64</f>
        <v>-0.39999999999999991</v>
      </c>
      <c r="M34" s="101">
        <f>L34</f>
        <v>-0.39999999999999991</v>
      </c>
    </row>
    <row r="35" spans="1:13" x14ac:dyDescent="0.25">
      <c r="A35" s="270" t="s">
        <v>451</v>
      </c>
      <c r="B35" s="271">
        <f t="shared" ref="B35:D36" si="7">B33/$G$28*$H$28</f>
        <v>-27.777777777777779</v>
      </c>
      <c r="C35" s="271">
        <f t="shared" si="7"/>
        <v>0</v>
      </c>
      <c r="D35" s="271">
        <f t="shared" si="7"/>
        <v>27.777777777777779</v>
      </c>
      <c r="E35" s="1"/>
      <c r="F35" s="270" t="s">
        <v>451</v>
      </c>
      <c r="G35" s="271">
        <f t="shared" ref="G35:I36" si="8">G33/$G$28*$H$28</f>
        <v>33.333333333333329</v>
      </c>
      <c r="H35" s="271">
        <f t="shared" si="8"/>
        <v>33.333333333333329</v>
      </c>
      <c r="I35" s="271">
        <f t="shared" si="8"/>
        <v>33.333333333333329</v>
      </c>
      <c r="J35" s="1"/>
      <c r="K35" s="270" t="s">
        <v>451</v>
      </c>
      <c r="L35" s="271">
        <f t="shared" ref="L35:M35" si="9">L33/$G$28*$H$28</f>
        <v>-48.611111111111107</v>
      </c>
      <c r="M35" s="271">
        <f t="shared" si="9"/>
        <v>48.611111111111107</v>
      </c>
    </row>
    <row r="36" spans="1:13" x14ac:dyDescent="0.25">
      <c r="A36" s="270" t="s">
        <v>452</v>
      </c>
      <c r="B36" s="271">
        <f t="shared" si="7"/>
        <v>-50</v>
      </c>
      <c r="C36" s="271">
        <f t="shared" si="7"/>
        <v>-50</v>
      </c>
      <c r="D36" s="271">
        <f t="shared" si="7"/>
        <v>-50</v>
      </c>
      <c r="E36" s="1"/>
      <c r="F36" s="270" t="s">
        <v>452</v>
      </c>
      <c r="G36" s="271">
        <f t="shared" si="8"/>
        <v>-27.777777777777779</v>
      </c>
      <c r="H36" s="271">
        <f t="shared" si="8"/>
        <v>-34.722222222222221</v>
      </c>
      <c r="I36" s="271">
        <f t="shared" si="8"/>
        <v>-41.666666666666671</v>
      </c>
      <c r="J36" s="1"/>
      <c r="K36" s="270" t="s">
        <v>452</v>
      </c>
      <c r="L36" s="271">
        <f t="shared" ref="L36:M36" si="10">L34/$G$28*$H$28</f>
        <v>-13.888888888888888</v>
      </c>
      <c r="M36" s="271">
        <f t="shared" si="10"/>
        <v>-13.888888888888888</v>
      </c>
    </row>
    <row r="37" spans="1:13" x14ac:dyDescent="0.25">
      <c r="A37" s="1"/>
      <c r="B37" s="1"/>
      <c r="C37" s="1"/>
      <c r="D37" s="1"/>
      <c r="E37" s="1"/>
      <c r="F37" s="1"/>
      <c r="G37" s="9"/>
      <c r="H37" s="9"/>
      <c r="I37" s="10"/>
      <c r="J37" s="9"/>
    </row>
    <row r="38" spans="1:13" x14ac:dyDescent="0.25">
      <c r="A38" s="1"/>
      <c r="B38" s="1"/>
      <c r="C38" s="1"/>
      <c r="D38" s="1"/>
      <c r="E38" s="1"/>
      <c r="F38" s="1"/>
      <c r="G38" s="9"/>
      <c r="H38" s="9"/>
      <c r="I38" s="10"/>
      <c r="J38" s="9"/>
    </row>
    <row r="39" spans="1:13" x14ac:dyDescent="0.25">
      <c r="A39" s="1" t="s">
        <v>474</v>
      </c>
      <c r="B39" s="101" t="s">
        <v>463</v>
      </c>
      <c r="C39" s="101" t="s">
        <v>464</v>
      </c>
      <c r="D39" s="101" t="s">
        <v>465</v>
      </c>
      <c r="E39" s="101" t="s">
        <v>466</v>
      </c>
      <c r="F39" s="1"/>
      <c r="G39" s="204" t="s">
        <v>477</v>
      </c>
      <c r="H39" s="204" t="s">
        <v>445</v>
      </c>
      <c r="I39" s="204" t="s">
        <v>446</v>
      </c>
      <c r="J39" s="204" t="s">
        <v>447</v>
      </c>
    </row>
    <row r="40" spans="1:13" x14ac:dyDescent="0.25">
      <c r="A40" s="101" t="s">
        <v>449</v>
      </c>
      <c r="B40" s="101">
        <f>B28+0.3*'Input Data'!H4</f>
        <v>-1.4</v>
      </c>
      <c r="C40" s="101">
        <f>IF('Input Data'!H33=40,0-0.5*'Input Data'!H28,0-0.5*'Input Data'!H28-0.5*('Input Data'!H30-'Input Data'!H28))</f>
        <v>-0.25</v>
      </c>
      <c r="D40" s="268">
        <f>D47</f>
        <v>0.25</v>
      </c>
      <c r="E40" s="101">
        <f>-B40</f>
        <v>1.4</v>
      </c>
      <c r="F40" s="1"/>
      <c r="G40" s="101" t="s">
        <v>449</v>
      </c>
      <c r="H40" s="204">
        <f>1.5*G33</f>
        <v>1.44</v>
      </c>
      <c r="I40" s="204">
        <f>(H40+J40)/2</f>
        <v>1.44</v>
      </c>
      <c r="J40" s="204">
        <f>H40</f>
        <v>1.44</v>
      </c>
    </row>
    <row r="41" spans="1:13" x14ac:dyDescent="0.25">
      <c r="A41" s="101" t="s">
        <v>450</v>
      </c>
      <c r="B41" s="268">
        <f>B29+ABS('Input Data'!H4)</f>
        <v>0.8</v>
      </c>
      <c r="C41" s="268">
        <f>B41</f>
        <v>0.8</v>
      </c>
      <c r="D41" s="268">
        <f>C41</f>
        <v>0.8</v>
      </c>
      <c r="E41" s="268">
        <f>D41</f>
        <v>0.8</v>
      </c>
      <c r="F41" s="1"/>
      <c r="G41" s="101" t="s">
        <v>450</v>
      </c>
      <c r="H41" s="268">
        <f>E29</f>
        <v>-1.2</v>
      </c>
      <c r="I41" s="204">
        <f>(H41+J41)/2</f>
        <v>-0.19999999999999996</v>
      </c>
      <c r="J41" s="268">
        <f>E41</f>
        <v>0.8</v>
      </c>
    </row>
    <row r="42" spans="1:13" x14ac:dyDescent="0.25">
      <c r="A42" s="270" t="s">
        <v>451</v>
      </c>
      <c r="B42" s="271">
        <f t="shared" ref="B42:E43" si="11">B40/$G$28*$H$28</f>
        <v>-48.611111111111107</v>
      </c>
      <c r="C42" s="271">
        <f t="shared" si="11"/>
        <v>-8.6805555555555554</v>
      </c>
      <c r="D42" s="271">
        <f t="shared" si="11"/>
        <v>8.6805555555555554</v>
      </c>
      <c r="E42" s="271">
        <f t="shared" si="11"/>
        <v>48.611111111111107</v>
      </c>
      <c r="F42" s="9"/>
      <c r="G42" s="270" t="s">
        <v>451</v>
      </c>
      <c r="H42" s="271">
        <f t="shared" ref="H42:J43" si="12">H40/$G$28*$H$28</f>
        <v>50</v>
      </c>
      <c r="I42" s="271">
        <f t="shared" si="12"/>
        <v>50</v>
      </c>
      <c r="J42" s="271">
        <f t="shared" si="12"/>
        <v>50</v>
      </c>
    </row>
    <row r="43" spans="1:13" x14ac:dyDescent="0.25">
      <c r="A43" s="270" t="s">
        <v>452</v>
      </c>
      <c r="B43" s="271">
        <f t="shared" si="11"/>
        <v>27.777777777777779</v>
      </c>
      <c r="C43" s="271">
        <f t="shared" si="11"/>
        <v>27.777777777777779</v>
      </c>
      <c r="D43" s="271">
        <f t="shared" si="11"/>
        <v>27.777777777777779</v>
      </c>
      <c r="E43" s="271">
        <f t="shared" si="11"/>
        <v>27.777777777777779</v>
      </c>
      <c r="F43" s="9"/>
      <c r="G43" s="270" t="s">
        <v>452</v>
      </c>
      <c r="H43" s="271">
        <f t="shared" si="12"/>
        <v>-41.666666666666671</v>
      </c>
      <c r="I43" s="271">
        <f t="shared" si="12"/>
        <v>-6.9444444444444438</v>
      </c>
      <c r="J43" s="271">
        <f t="shared" si="12"/>
        <v>27.777777777777779</v>
      </c>
    </row>
    <row r="44" spans="1:13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3" x14ac:dyDescent="0.25">
      <c r="A45" s="11"/>
      <c r="B45" s="11"/>
      <c r="C45" s="11"/>
      <c r="D45" s="11"/>
      <c r="E45" s="11"/>
      <c r="F45" s="11"/>
      <c r="G45" s="1"/>
      <c r="H45" s="1"/>
      <c r="I45" s="1"/>
      <c r="J45" s="1"/>
    </row>
    <row r="46" spans="1:13" x14ac:dyDescent="0.25">
      <c r="A46" s="2" t="s">
        <v>473</v>
      </c>
      <c r="B46" s="114" t="s">
        <v>453</v>
      </c>
      <c r="C46" s="114" t="s">
        <v>467</v>
      </c>
      <c r="D46" s="114" t="s">
        <v>468</v>
      </c>
      <c r="E46" s="114" t="s">
        <v>469</v>
      </c>
      <c r="F46" s="2"/>
      <c r="G46" s="204" t="s">
        <v>478</v>
      </c>
      <c r="H46" s="204" t="s">
        <v>445</v>
      </c>
      <c r="I46" s="204" t="s">
        <v>446</v>
      </c>
      <c r="J46" s="204" t="s">
        <v>447</v>
      </c>
    </row>
    <row r="47" spans="1:13" x14ac:dyDescent="0.25">
      <c r="A47" s="101" t="s">
        <v>449</v>
      </c>
      <c r="B47" s="254">
        <f>IF('Input Data'!H33=40,-0.5*'Input Data'!H28,-0.5*'Input Data'!H28-0.5*('Input Data'!H30-'Input Data'!H28))</f>
        <v>-0.25</v>
      </c>
      <c r="C47" s="254">
        <f>B47</f>
        <v>-0.25</v>
      </c>
      <c r="D47" s="272">
        <f>C47+'Input Data'!H28</f>
        <v>0.25</v>
      </c>
      <c r="E47" s="254">
        <f>D47</f>
        <v>0.25</v>
      </c>
      <c r="F47" s="11"/>
      <c r="G47" s="101" t="s">
        <v>449</v>
      </c>
      <c r="H47" s="204">
        <f>C47</f>
        <v>-0.25</v>
      </c>
      <c r="I47" s="204">
        <f>(H47+J47)/2</f>
        <v>0</v>
      </c>
      <c r="J47" s="204">
        <f>D47</f>
        <v>0.25</v>
      </c>
    </row>
    <row r="48" spans="1:13" x14ac:dyDescent="0.25">
      <c r="A48" s="101" t="s">
        <v>450</v>
      </c>
      <c r="B48" s="101">
        <f>C29</f>
        <v>-0.79999999999999993</v>
      </c>
      <c r="C48" s="268">
        <f>C41-'Input Data'!H4*0.2</f>
        <v>1.2000000000000002</v>
      </c>
      <c r="D48" s="268">
        <f>C48</f>
        <v>1.2000000000000002</v>
      </c>
      <c r="E48" s="101">
        <f>C29</f>
        <v>-0.79999999999999993</v>
      </c>
      <c r="F48" s="1"/>
      <c r="G48" s="101" t="s">
        <v>450</v>
      </c>
      <c r="H48" s="101">
        <f>1.2*C48</f>
        <v>1.4400000000000002</v>
      </c>
      <c r="I48" s="101">
        <f>H48</f>
        <v>1.4400000000000002</v>
      </c>
      <c r="J48" s="101">
        <f>I48</f>
        <v>1.4400000000000002</v>
      </c>
    </row>
    <row r="49" spans="1:10" x14ac:dyDescent="0.25">
      <c r="A49" s="270" t="s">
        <v>451</v>
      </c>
      <c r="B49" s="271">
        <f t="shared" ref="B49:E50" si="13">B47/$G$28*$H$28</f>
        <v>-8.6805555555555554</v>
      </c>
      <c r="C49" s="271">
        <f t="shared" si="13"/>
        <v>-8.6805555555555554</v>
      </c>
      <c r="D49" s="271">
        <f t="shared" si="13"/>
        <v>8.6805555555555554</v>
      </c>
      <c r="E49" s="271">
        <f t="shared" si="13"/>
        <v>8.6805555555555554</v>
      </c>
      <c r="F49" s="1"/>
      <c r="G49" s="270" t="s">
        <v>451</v>
      </c>
      <c r="H49" s="271">
        <f t="shared" ref="H49:J50" si="14">H47/$G$28*$H$28</f>
        <v>-8.6805555555555554</v>
      </c>
      <c r="I49" s="271">
        <f t="shared" si="14"/>
        <v>0</v>
      </c>
      <c r="J49" s="271">
        <f t="shared" si="14"/>
        <v>8.6805555555555554</v>
      </c>
    </row>
    <row r="50" spans="1:10" x14ac:dyDescent="0.25">
      <c r="A50" s="270" t="s">
        <v>452</v>
      </c>
      <c r="B50" s="271">
        <f t="shared" si="13"/>
        <v>-27.777777777777779</v>
      </c>
      <c r="C50" s="271">
        <f t="shared" si="13"/>
        <v>41.666666666666671</v>
      </c>
      <c r="D50" s="271">
        <f t="shared" si="13"/>
        <v>41.666666666666671</v>
      </c>
      <c r="E50" s="271">
        <f t="shared" si="13"/>
        <v>-27.777777777777779</v>
      </c>
      <c r="F50" s="1"/>
      <c r="G50" s="270" t="s">
        <v>452</v>
      </c>
      <c r="H50" s="271">
        <f t="shared" si="14"/>
        <v>50.000000000000014</v>
      </c>
      <c r="I50" s="271">
        <f t="shared" si="14"/>
        <v>50.000000000000014</v>
      </c>
      <c r="J50" s="271">
        <f t="shared" si="14"/>
        <v>50.000000000000014</v>
      </c>
    </row>
    <row r="54" spans="1:10" x14ac:dyDescent="0.25">
      <c r="A54" s="101" t="s">
        <v>472</v>
      </c>
      <c r="B54" s="101" t="s">
        <v>445</v>
      </c>
      <c r="C54" s="101" t="s">
        <v>446</v>
      </c>
      <c r="D54" s="101" t="s">
        <v>447</v>
      </c>
      <c r="E54" s="101" t="s">
        <v>448</v>
      </c>
      <c r="F54" s="101" t="s">
        <v>445</v>
      </c>
      <c r="G54" s="101" t="s">
        <v>470</v>
      </c>
      <c r="H54" s="101" t="s">
        <v>471</v>
      </c>
      <c r="I54" s="1"/>
      <c r="J54" s="1"/>
    </row>
    <row r="55" spans="1:10" x14ac:dyDescent="0.25">
      <c r="A55" s="101" t="s">
        <v>449</v>
      </c>
      <c r="B55" s="101">
        <f>-0.5*'Input Data'!H31</f>
        <v>-0.8</v>
      </c>
      <c r="C55" s="101">
        <f>B55</f>
        <v>-0.8</v>
      </c>
      <c r="D55" s="101">
        <f>-C55</f>
        <v>0.8</v>
      </c>
      <c r="E55" s="101">
        <f>D55</f>
        <v>0.8</v>
      </c>
      <c r="F55" s="101">
        <f>B55</f>
        <v>-0.8</v>
      </c>
      <c r="G55" s="101">
        <f>G28</f>
        <v>1.44</v>
      </c>
      <c r="H55" s="101">
        <v>50</v>
      </c>
      <c r="I55" s="1"/>
      <c r="J55" s="1"/>
    </row>
    <row r="56" spans="1:10" x14ac:dyDescent="0.25">
      <c r="A56" s="101" t="s">
        <v>450</v>
      </c>
      <c r="B56" s="101">
        <f>1.2*'Input Data'!H4*0.5</f>
        <v>-1.2</v>
      </c>
      <c r="C56" s="268">
        <f>B56+'Input Data'!H32</f>
        <v>-0.79999999999999993</v>
      </c>
      <c r="D56" s="268">
        <f>C56</f>
        <v>-0.79999999999999993</v>
      </c>
      <c r="E56" s="101">
        <f>B56</f>
        <v>-1.2</v>
      </c>
      <c r="F56" s="101">
        <f>B56</f>
        <v>-1.2</v>
      </c>
      <c r="G56" s="1"/>
      <c r="H56" s="1"/>
      <c r="I56" s="1"/>
      <c r="J56" s="1"/>
    </row>
    <row r="57" spans="1:10" x14ac:dyDescent="0.25">
      <c r="A57" s="270" t="s">
        <v>451</v>
      </c>
      <c r="B57" s="271">
        <f t="shared" ref="B57:F58" si="15">B55/$G$55*$H$55</f>
        <v>-27.777777777777779</v>
      </c>
      <c r="C57" s="271">
        <f t="shared" si="15"/>
        <v>-27.777777777777779</v>
      </c>
      <c r="D57" s="271">
        <f t="shared" si="15"/>
        <v>27.777777777777779</v>
      </c>
      <c r="E57" s="271">
        <f t="shared" si="15"/>
        <v>27.777777777777779</v>
      </c>
      <c r="F57" s="271">
        <f t="shared" si="15"/>
        <v>-27.777777777777779</v>
      </c>
      <c r="G57" s="1"/>
      <c r="H57" s="1"/>
      <c r="I57" s="1"/>
      <c r="J57" s="1"/>
    </row>
    <row r="58" spans="1:10" x14ac:dyDescent="0.25">
      <c r="A58" s="270" t="s">
        <v>452</v>
      </c>
      <c r="B58" s="271">
        <f t="shared" si="15"/>
        <v>-41.666666666666671</v>
      </c>
      <c r="C58" s="271">
        <f t="shared" si="15"/>
        <v>-27.777777777777779</v>
      </c>
      <c r="D58" s="271">
        <f t="shared" si="15"/>
        <v>-27.777777777777779</v>
      </c>
      <c r="E58" s="271">
        <f t="shared" si="15"/>
        <v>-41.666666666666671</v>
      </c>
      <c r="F58" s="271">
        <f t="shared" si="15"/>
        <v>-41.666666666666671</v>
      </c>
      <c r="G58" s="1"/>
      <c r="H58" s="1"/>
      <c r="I58" s="1"/>
      <c r="J58" s="1"/>
    </row>
    <row r="59" spans="1:10" ht="18" x14ac:dyDescent="0.25">
      <c r="A59" s="101" t="s">
        <v>479</v>
      </c>
      <c r="B59" s="204" t="s">
        <v>445</v>
      </c>
      <c r="C59" s="204" t="s">
        <v>446</v>
      </c>
      <c r="D59" s="204" t="s">
        <v>447</v>
      </c>
      <c r="E59" s="204"/>
      <c r="F59" s="204" t="s">
        <v>476</v>
      </c>
      <c r="G59" s="204" t="s">
        <v>445</v>
      </c>
      <c r="H59" s="204" t="s">
        <v>446</v>
      </c>
      <c r="I59" s="204" t="s">
        <v>447</v>
      </c>
      <c r="J59" s="1"/>
    </row>
    <row r="60" spans="1:10" x14ac:dyDescent="0.25">
      <c r="A60" s="101" t="s">
        <v>449</v>
      </c>
      <c r="B60" s="204">
        <f>B55</f>
        <v>-0.8</v>
      </c>
      <c r="C60" s="204">
        <f>(B60+D60)/2</f>
        <v>0</v>
      </c>
      <c r="D60" s="204">
        <f>E55</f>
        <v>0.8</v>
      </c>
      <c r="E60" s="204"/>
      <c r="F60" s="101" t="s">
        <v>449</v>
      </c>
      <c r="G60" s="204">
        <f>1.2*E55</f>
        <v>0.96</v>
      </c>
      <c r="H60" s="204">
        <f>(G60+I60)/2</f>
        <v>0.96</v>
      </c>
      <c r="I60" s="204">
        <f>G60</f>
        <v>0.96</v>
      </c>
      <c r="J60" s="1"/>
    </row>
    <row r="61" spans="1:10" x14ac:dyDescent="0.25">
      <c r="A61" s="101" t="s">
        <v>450</v>
      </c>
      <c r="B61" s="101">
        <f>B56*1.2</f>
        <v>-1.44</v>
      </c>
      <c r="C61" s="101">
        <f>B61</f>
        <v>-1.44</v>
      </c>
      <c r="D61" s="101">
        <f>C61</f>
        <v>-1.44</v>
      </c>
      <c r="E61" s="1"/>
      <c r="F61" s="101" t="s">
        <v>450</v>
      </c>
      <c r="G61" s="268">
        <f>D56</f>
        <v>-0.79999999999999993</v>
      </c>
      <c r="H61" s="204">
        <f>(G61+I61)/2</f>
        <v>-1</v>
      </c>
      <c r="I61" s="101">
        <f>E56</f>
        <v>-1.2</v>
      </c>
      <c r="J61" s="1"/>
    </row>
    <row r="62" spans="1:10" x14ac:dyDescent="0.25">
      <c r="A62" s="270" t="s">
        <v>451</v>
      </c>
      <c r="B62" s="271">
        <f t="shared" ref="B62:D63" si="16">B60/$G$55*$H$55</f>
        <v>-27.777777777777779</v>
      </c>
      <c r="C62" s="271">
        <f t="shared" si="16"/>
        <v>0</v>
      </c>
      <c r="D62" s="271">
        <f t="shared" si="16"/>
        <v>27.777777777777779</v>
      </c>
      <c r="E62" s="1"/>
      <c r="F62" s="270" t="s">
        <v>451</v>
      </c>
      <c r="G62" s="271">
        <f t="shared" ref="G62:I63" si="17">G60/$G$55*$H$55</f>
        <v>33.333333333333329</v>
      </c>
      <c r="H62" s="271">
        <f t="shared" si="17"/>
        <v>33.333333333333329</v>
      </c>
      <c r="I62" s="271">
        <f t="shared" si="17"/>
        <v>33.333333333333329</v>
      </c>
      <c r="J62" s="1"/>
    </row>
    <row r="63" spans="1:10" x14ac:dyDescent="0.25">
      <c r="A63" s="270" t="s">
        <v>452</v>
      </c>
      <c r="B63" s="271">
        <f t="shared" si="16"/>
        <v>-50</v>
      </c>
      <c r="C63" s="271">
        <f t="shared" si="16"/>
        <v>-50</v>
      </c>
      <c r="D63" s="271">
        <f t="shared" si="16"/>
        <v>-50</v>
      </c>
      <c r="E63" s="1"/>
      <c r="F63" s="270" t="s">
        <v>452</v>
      </c>
      <c r="G63" s="271">
        <f t="shared" si="17"/>
        <v>-27.777777777777779</v>
      </c>
      <c r="H63" s="271">
        <f t="shared" si="17"/>
        <v>-34.722222222222221</v>
      </c>
      <c r="I63" s="271">
        <f t="shared" si="17"/>
        <v>-41.666666666666671</v>
      </c>
      <c r="J63" s="1"/>
    </row>
    <row r="64" spans="1:10" x14ac:dyDescent="0.25">
      <c r="A64" s="1"/>
      <c r="B64" s="1"/>
      <c r="C64" s="1"/>
      <c r="D64" s="1"/>
      <c r="E64" s="1"/>
      <c r="F64" s="1"/>
      <c r="G64" s="9"/>
      <c r="H64" s="9"/>
      <c r="I64" s="10"/>
      <c r="J64" s="9"/>
    </row>
    <row r="65" spans="1:10" x14ac:dyDescent="0.25">
      <c r="A65" s="1"/>
      <c r="B65" s="1"/>
      <c r="C65" s="1"/>
      <c r="D65" s="1"/>
      <c r="E65" s="1"/>
      <c r="F65" s="1"/>
      <c r="G65" s="9"/>
      <c r="H65" s="9"/>
      <c r="I65" s="10"/>
      <c r="J65" s="9"/>
    </row>
    <row r="66" spans="1:10" x14ac:dyDescent="0.25">
      <c r="A66" s="1" t="s">
        <v>474</v>
      </c>
      <c r="B66" s="101" t="s">
        <v>463</v>
      </c>
      <c r="C66" s="101" t="s">
        <v>464</v>
      </c>
      <c r="D66" s="101" t="s">
        <v>465</v>
      </c>
      <c r="E66" s="101" t="s">
        <v>466</v>
      </c>
      <c r="F66" s="1"/>
      <c r="G66" s="204" t="s">
        <v>477</v>
      </c>
      <c r="H66" s="204" t="s">
        <v>445</v>
      </c>
      <c r="I66" s="204" t="s">
        <v>446</v>
      </c>
      <c r="J66" s="204" t="s">
        <v>447</v>
      </c>
    </row>
    <row r="67" spans="1:10" x14ac:dyDescent="0.25">
      <c r="A67" s="101" t="s">
        <v>449</v>
      </c>
      <c r="B67" s="101">
        <f>B55+0.3*'Input Data'!H4</f>
        <v>-1.4</v>
      </c>
      <c r="C67" s="101">
        <f>IF('Input Data'!H33=20,0-0.5*'Input Data'!H29-0.5*('Input Data'!H31-'Input Data'!H29),0-0.5*'Input Data'!H29)</f>
        <v>-0.3</v>
      </c>
      <c r="D67" s="268">
        <f>D74</f>
        <v>0.3</v>
      </c>
      <c r="E67" s="101">
        <f>-B67</f>
        <v>1.4</v>
      </c>
      <c r="F67" s="1"/>
      <c r="G67" s="101" t="s">
        <v>449</v>
      </c>
      <c r="H67" s="204">
        <f>1.5*G60</f>
        <v>1.44</v>
      </c>
      <c r="I67" s="204">
        <f>(H67+J67)/2</f>
        <v>1.44</v>
      </c>
      <c r="J67" s="204">
        <f>H67</f>
        <v>1.44</v>
      </c>
    </row>
    <row r="68" spans="1:10" x14ac:dyDescent="0.25">
      <c r="A68" s="101" t="s">
        <v>450</v>
      </c>
      <c r="B68" s="268">
        <f>B56+ABS('Input Data'!H4)</f>
        <v>0.8</v>
      </c>
      <c r="C68" s="268">
        <f>B68</f>
        <v>0.8</v>
      </c>
      <c r="D68" s="268">
        <f>C68</f>
        <v>0.8</v>
      </c>
      <c r="E68" s="268">
        <f>D68</f>
        <v>0.8</v>
      </c>
      <c r="F68" s="1"/>
      <c r="G68" s="101" t="s">
        <v>450</v>
      </c>
      <c r="H68" s="268">
        <f>E56</f>
        <v>-1.2</v>
      </c>
      <c r="I68" s="204">
        <f>(H68+J68)/2</f>
        <v>-0.19999999999999996</v>
      </c>
      <c r="J68" s="268">
        <f>E68</f>
        <v>0.8</v>
      </c>
    </row>
    <row r="69" spans="1:10" x14ac:dyDescent="0.25">
      <c r="A69" s="270" t="s">
        <v>451</v>
      </c>
      <c r="B69" s="271">
        <f t="shared" ref="B69:E70" si="18">B67/$G$55*$H$55</f>
        <v>-48.611111111111107</v>
      </c>
      <c r="C69" s="271">
        <f t="shared" si="18"/>
        <v>-10.416666666666668</v>
      </c>
      <c r="D69" s="271">
        <f t="shared" si="18"/>
        <v>10.416666666666668</v>
      </c>
      <c r="E69" s="271">
        <f t="shared" si="18"/>
        <v>48.611111111111107</v>
      </c>
      <c r="F69" s="9"/>
      <c r="G69" s="270" t="s">
        <v>451</v>
      </c>
      <c r="H69" s="271">
        <f t="shared" ref="H69:J70" si="19">H67/$G$55*$H$55</f>
        <v>50</v>
      </c>
      <c r="I69" s="271">
        <f t="shared" si="19"/>
        <v>50</v>
      </c>
      <c r="J69" s="271">
        <f t="shared" si="19"/>
        <v>50</v>
      </c>
    </row>
    <row r="70" spans="1:10" x14ac:dyDescent="0.25">
      <c r="A70" s="270" t="s">
        <v>452</v>
      </c>
      <c r="B70" s="271">
        <f t="shared" si="18"/>
        <v>27.777777777777779</v>
      </c>
      <c r="C70" s="271">
        <f t="shared" si="18"/>
        <v>27.777777777777779</v>
      </c>
      <c r="D70" s="271">
        <f t="shared" si="18"/>
        <v>27.777777777777779</v>
      </c>
      <c r="E70" s="271">
        <f t="shared" si="18"/>
        <v>27.777777777777779</v>
      </c>
      <c r="F70" s="9"/>
      <c r="G70" s="270" t="s">
        <v>452</v>
      </c>
      <c r="H70" s="271">
        <f t="shared" si="19"/>
        <v>-41.666666666666671</v>
      </c>
      <c r="I70" s="271">
        <f t="shared" si="19"/>
        <v>-6.9444444444444438</v>
      </c>
      <c r="J70" s="271">
        <f t="shared" si="19"/>
        <v>27.777777777777779</v>
      </c>
    </row>
    <row r="71" spans="1:10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</row>
    <row r="72" spans="1:10" x14ac:dyDescent="0.25">
      <c r="A72" s="11"/>
      <c r="B72" s="11"/>
      <c r="C72" s="11"/>
      <c r="D72" s="11"/>
      <c r="E72" s="11"/>
      <c r="F72" s="11"/>
      <c r="G72" s="1"/>
      <c r="H72" s="1"/>
      <c r="I72" s="1"/>
      <c r="J72" s="1"/>
    </row>
    <row r="73" spans="1:10" x14ac:dyDescent="0.25">
      <c r="A73" s="2" t="s">
        <v>473</v>
      </c>
      <c r="B73" s="114" t="s">
        <v>453</v>
      </c>
      <c r="C73" s="114" t="s">
        <v>467</v>
      </c>
      <c r="D73" s="114" t="s">
        <v>468</v>
      </c>
      <c r="E73" s="114" t="s">
        <v>469</v>
      </c>
      <c r="F73" s="2"/>
      <c r="G73" s="204" t="s">
        <v>480</v>
      </c>
      <c r="H73" s="204" t="s">
        <v>445</v>
      </c>
      <c r="I73" s="204" t="s">
        <v>446</v>
      </c>
      <c r="J73" s="204" t="s">
        <v>447</v>
      </c>
    </row>
    <row r="74" spans="1:10" x14ac:dyDescent="0.25">
      <c r="A74" s="101" t="s">
        <v>449</v>
      </c>
      <c r="B74" s="254">
        <f>IF('Input Data'!H33=20,-0.5*'Input Data'!H29-0.5*('Input Data'!H31-'Input Data'!H29),-0.5*'Input Data'!H29)</f>
        <v>-0.3</v>
      </c>
      <c r="C74" s="254">
        <f>B74</f>
        <v>-0.3</v>
      </c>
      <c r="D74" s="272">
        <f>C74+'Input Data'!H29</f>
        <v>0.3</v>
      </c>
      <c r="E74" s="254">
        <f>D74</f>
        <v>0.3</v>
      </c>
      <c r="F74" s="11"/>
      <c r="G74" s="101" t="s">
        <v>449</v>
      </c>
      <c r="H74" s="204">
        <f>C74</f>
        <v>-0.3</v>
      </c>
      <c r="I74" s="204">
        <f>(H74+J74)/2</f>
        <v>0</v>
      </c>
      <c r="J74" s="204">
        <f>D74</f>
        <v>0.3</v>
      </c>
    </row>
    <row r="75" spans="1:10" x14ac:dyDescent="0.25">
      <c r="A75" s="101" t="s">
        <v>450</v>
      </c>
      <c r="B75" s="101">
        <f>C56</f>
        <v>-0.79999999999999993</v>
      </c>
      <c r="C75" s="268">
        <f>C68-'Input Data'!H4*0.2</f>
        <v>1.2000000000000002</v>
      </c>
      <c r="D75" s="268">
        <f>C75</f>
        <v>1.2000000000000002</v>
      </c>
      <c r="E75" s="101">
        <f>C56</f>
        <v>-0.79999999999999993</v>
      </c>
      <c r="F75" s="1"/>
      <c r="G75" s="101" t="s">
        <v>450</v>
      </c>
      <c r="H75" s="101">
        <f>1.2*C75</f>
        <v>1.4400000000000002</v>
      </c>
      <c r="I75" s="101">
        <f>H75</f>
        <v>1.4400000000000002</v>
      </c>
      <c r="J75" s="101">
        <f>I75</f>
        <v>1.4400000000000002</v>
      </c>
    </row>
    <row r="76" spans="1:10" x14ac:dyDescent="0.25">
      <c r="A76" s="270" t="s">
        <v>451</v>
      </c>
      <c r="B76" s="271">
        <f t="shared" ref="B76:E77" si="20">B74/$G$55*$H$55</f>
        <v>-10.416666666666668</v>
      </c>
      <c r="C76" s="271">
        <f t="shared" si="20"/>
        <v>-10.416666666666668</v>
      </c>
      <c r="D76" s="271">
        <f t="shared" si="20"/>
        <v>10.416666666666668</v>
      </c>
      <c r="E76" s="271">
        <f t="shared" si="20"/>
        <v>10.416666666666668</v>
      </c>
      <c r="F76" s="1"/>
      <c r="G76" s="270" t="s">
        <v>451</v>
      </c>
      <c r="H76" s="271">
        <f t="shared" ref="H76:J77" si="21">H74/$G$55*$H$55</f>
        <v>-10.416666666666668</v>
      </c>
      <c r="I76" s="271">
        <f t="shared" si="21"/>
        <v>0</v>
      </c>
      <c r="J76" s="271">
        <f t="shared" si="21"/>
        <v>10.416666666666668</v>
      </c>
    </row>
    <row r="77" spans="1:10" x14ac:dyDescent="0.25">
      <c r="A77" s="270" t="s">
        <v>452</v>
      </c>
      <c r="B77" s="271">
        <f t="shared" si="20"/>
        <v>-27.777777777777779</v>
      </c>
      <c r="C77" s="271">
        <f t="shared" si="20"/>
        <v>41.666666666666671</v>
      </c>
      <c r="D77" s="271">
        <f t="shared" si="20"/>
        <v>41.666666666666671</v>
      </c>
      <c r="E77" s="271">
        <f t="shared" si="20"/>
        <v>-27.777777777777779</v>
      </c>
      <c r="F77" s="1"/>
      <c r="G77" s="270" t="s">
        <v>452</v>
      </c>
      <c r="H77" s="271">
        <f t="shared" si="21"/>
        <v>50.000000000000014</v>
      </c>
      <c r="I77" s="271">
        <f t="shared" si="21"/>
        <v>50.000000000000014</v>
      </c>
      <c r="J77" s="271">
        <f t="shared" si="21"/>
        <v>50.000000000000014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11D19-D604-40EC-A878-912349FC4A30}">
  <sheetPr>
    <tabColor theme="7"/>
  </sheetPr>
  <dimension ref="A1:I27"/>
  <sheetViews>
    <sheetView showGridLines="0" workbookViewId="0">
      <selection activeCell="N17" sqref="N17"/>
    </sheetView>
  </sheetViews>
  <sheetFormatPr defaultRowHeight="18.75" customHeight="1" x14ac:dyDescent="0.25"/>
  <cols>
    <col min="1" max="1" width="6.7109375" customWidth="1"/>
    <col min="2" max="2" width="32.42578125" bestFit="1" customWidth="1"/>
    <col min="3" max="3" width="14.28515625" customWidth="1"/>
    <col min="4" max="4" width="11.5703125" customWidth="1"/>
    <col min="5" max="6" width="11.7109375" hidden="1" customWidth="1"/>
    <col min="7" max="9" width="11.7109375" customWidth="1"/>
  </cols>
  <sheetData>
    <row r="1" spans="1:9" ht="18.75" customHeight="1" x14ac:dyDescent="0.25">
      <c r="A1" s="104" t="s">
        <v>264</v>
      </c>
      <c r="B1" s="69" t="s">
        <v>487</v>
      </c>
      <c r="C1" s="105"/>
      <c r="D1" s="105"/>
      <c r="E1" s="105"/>
      <c r="F1" s="105"/>
      <c r="G1" s="105"/>
      <c r="H1" s="105"/>
      <c r="I1" s="105"/>
    </row>
    <row r="2" spans="1:9" ht="18.75" customHeight="1" x14ac:dyDescent="0.25">
      <c r="A2" s="101"/>
      <c r="B2" s="1"/>
    </row>
    <row r="3" spans="1:9" ht="18.75" customHeight="1" x14ac:dyDescent="0.25">
      <c r="A3" s="101"/>
      <c r="B3" s="1"/>
    </row>
    <row r="4" spans="1:9" ht="18.75" customHeight="1" x14ac:dyDescent="0.25">
      <c r="A4" s="101"/>
      <c r="B4" s="1"/>
    </row>
    <row r="5" spans="1:9" ht="18.75" customHeight="1" x14ac:dyDescent="0.25">
      <c r="A5" s="101"/>
      <c r="B5" s="1"/>
    </row>
    <row r="6" spans="1:9" ht="18.75" customHeight="1" x14ac:dyDescent="0.25">
      <c r="A6" s="101"/>
      <c r="B6" s="1"/>
    </row>
    <row r="7" spans="1:9" ht="18.75" customHeight="1" x14ac:dyDescent="0.25">
      <c r="A7" s="101"/>
      <c r="B7" s="1"/>
    </row>
    <row r="8" spans="1:9" ht="18.75" customHeight="1" x14ac:dyDescent="0.25">
      <c r="A8" s="101"/>
      <c r="B8" s="1"/>
    </row>
    <row r="9" spans="1:9" ht="18.75" customHeight="1" x14ac:dyDescent="0.25">
      <c r="A9" s="101"/>
      <c r="B9" s="1"/>
    </row>
    <row r="10" spans="1:9" ht="18.75" customHeight="1" x14ac:dyDescent="0.25">
      <c r="A10" s="101"/>
      <c r="B10" s="1"/>
    </row>
    <row r="11" spans="1:9" ht="18.75" customHeight="1" x14ac:dyDescent="0.25">
      <c r="A11" s="101"/>
      <c r="B11" s="1"/>
    </row>
    <row r="12" spans="1:9" ht="18.75" customHeight="1" x14ac:dyDescent="0.25">
      <c r="A12" s="101"/>
      <c r="B12" s="1"/>
    </row>
    <row r="13" spans="1:9" ht="18.75" customHeight="1" x14ac:dyDescent="0.25">
      <c r="A13" s="101"/>
      <c r="B13" s="1"/>
    </row>
    <row r="14" spans="1:9" ht="18.75" customHeight="1" x14ac:dyDescent="0.25">
      <c r="A14" s="101"/>
      <c r="B14" s="1"/>
    </row>
    <row r="15" spans="1:9" ht="18.75" customHeight="1" x14ac:dyDescent="0.25">
      <c r="A15" s="101"/>
      <c r="B15" s="1"/>
    </row>
    <row r="16" spans="1:9" ht="18.75" customHeight="1" x14ac:dyDescent="0.25">
      <c r="A16" s="101"/>
      <c r="B16" s="1"/>
    </row>
    <row r="17" spans="1:9" ht="18.75" customHeight="1" x14ac:dyDescent="0.25">
      <c r="A17" s="345" t="s">
        <v>47</v>
      </c>
      <c r="B17" s="346" t="s">
        <v>48</v>
      </c>
      <c r="C17" s="346" t="s">
        <v>49</v>
      </c>
      <c r="D17" s="346" t="s">
        <v>50</v>
      </c>
      <c r="E17" s="106" t="s">
        <v>259</v>
      </c>
      <c r="F17" s="106" t="s">
        <v>260</v>
      </c>
      <c r="G17" s="106" t="s">
        <v>261</v>
      </c>
      <c r="H17" s="106" t="s">
        <v>262</v>
      </c>
      <c r="I17" s="106" t="s">
        <v>263</v>
      </c>
    </row>
    <row r="18" spans="1:9" ht="18.75" customHeight="1" x14ac:dyDescent="0.25">
      <c r="A18" s="345"/>
      <c r="B18" s="346"/>
      <c r="C18" s="346"/>
      <c r="D18" s="346"/>
      <c r="E18" s="107" t="s">
        <v>5</v>
      </c>
      <c r="F18" s="107" t="s">
        <v>5</v>
      </c>
      <c r="G18" s="107" t="s">
        <v>5</v>
      </c>
      <c r="H18" s="107" t="s">
        <v>2</v>
      </c>
      <c r="I18" s="107" t="s">
        <v>2</v>
      </c>
    </row>
    <row r="19" spans="1:9" ht="18.75" customHeight="1" x14ac:dyDescent="0.25">
      <c r="A19" s="217">
        <v>1</v>
      </c>
      <c r="B19" s="218" t="s">
        <v>61</v>
      </c>
      <c r="C19" s="218" t="s">
        <v>51</v>
      </c>
      <c r="D19" s="219" t="s">
        <v>42</v>
      </c>
      <c r="E19" s="260"/>
      <c r="F19" s="260"/>
      <c r="G19" s="220">
        <v>620</v>
      </c>
      <c r="H19" s="260"/>
      <c r="I19" s="260"/>
    </row>
    <row r="20" spans="1:9" ht="18.75" customHeight="1" x14ac:dyDescent="0.25">
      <c r="A20" s="217">
        <v>2</v>
      </c>
      <c r="B20" s="218" t="s">
        <v>81</v>
      </c>
      <c r="C20" s="218" t="s">
        <v>51</v>
      </c>
      <c r="D20" s="219" t="s">
        <v>42</v>
      </c>
      <c r="E20" s="260"/>
      <c r="F20" s="260"/>
      <c r="G20" s="220">
        <v>220</v>
      </c>
      <c r="H20" s="220">
        <v>8</v>
      </c>
      <c r="I20" s="220">
        <v>14</v>
      </c>
    </row>
    <row r="21" spans="1:9" ht="18.75" customHeight="1" x14ac:dyDescent="0.25">
      <c r="A21" s="221">
        <v>3</v>
      </c>
      <c r="B21" s="222" t="s">
        <v>60</v>
      </c>
      <c r="C21" s="222" t="s">
        <v>51</v>
      </c>
      <c r="D21" s="223" t="s">
        <v>42</v>
      </c>
      <c r="E21" s="261"/>
      <c r="F21" s="261"/>
      <c r="G21" s="224">
        <v>170</v>
      </c>
      <c r="H21" s="224">
        <v>60</v>
      </c>
      <c r="I21" s="224">
        <v>90</v>
      </c>
    </row>
    <row r="22" spans="1:9" ht="18.75" customHeight="1" x14ac:dyDescent="0.25">
      <c r="A22" s="221">
        <v>4</v>
      </c>
      <c r="B22" s="222" t="s">
        <v>60</v>
      </c>
      <c r="C22" s="222" t="s">
        <v>51</v>
      </c>
      <c r="D22" s="223" t="s">
        <v>43</v>
      </c>
      <c r="E22" s="261"/>
      <c r="F22" s="261"/>
      <c r="G22" s="224">
        <v>90</v>
      </c>
      <c r="H22" s="224">
        <v>-30</v>
      </c>
      <c r="I22" s="224">
        <v>-95</v>
      </c>
    </row>
    <row r="23" spans="1:9" ht="18.75" customHeight="1" x14ac:dyDescent="0.25">
      <c r="A23" s="213">
        <v>5</v>
      </c>
      <c r="B23" s="214" t="s">
        <v>62</v>
      </c>
      <c r="C23" s="214" t="s">
        <v>51</v>
      </c>
      <c r="D23" s="215" t="s">
        <v>42</v>
      </c>
      <c r="E23" s="262"/>
      <c r="F23" s="262"/>
      <c r="G23" s="216">
        <v>160</v>
      </c>
      <c r="H23" s="216">
        <v>110</v>
      </c>
      <c r="I23" s="216">
        <v>40</v>
      </c>
    </row>
    <row r="24" spans="1:9" ht="18.75" customHeight="1" x14ac:dyDescent="0.25">
      <c r="A24" s="213">
        <v>6</v>
      </c>
      <c r="B24" s="214" t="s">
        <v>62</v>
      </c>
      <c r="C24" s="214" t="s">
        <v>51</v>
      </c>
      <c r="D24" s="215" t="s">
        <v>43</v>
      </c>
      <c r="E24" s="262"/>
      <c r="F24" s="262"/>
      <c r="G24" s="216">
        <v>100</v>
      </c>
      <c r="H24" s="216">
        <v>-90</v>
      </c>
      <c r="I24" s="216">
        <v>-30</v>
      </c>
    </row>
    <row r="27" spans="1:9" ht="18.75" customHeight="1" x14ac:dyDescent="0.25">
      <c r="E27" s="6"/>
      <c r="F27" s="6"/>
      <c r="G27" s="6"/>
      <c r="H27" s="6"/>
      <c r="I27" s="6"/>
    </row>
  </sheetData>
  <mergeCells count="4">
    <mergeCell ref="A17:A18"/>
    <mergeCell ref="B17:B18"/>
    <mergeCell ref="C17:C18"/>
    <mergeCell ref="D17:D1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D4083-1A77-4DDC-BED4-E83713AC0BFD}">
  <sheetPr>
    <tabColor theme="9"/>
  </sheetPr>
  <dimension ref="A1:BX166"/>
  <sheetViews>
    <sheetView showGridLines="0" zoomScaleNormal="100" workbookViewId="0">
      <selection activeCell="A10" sqref="A10:XFD51"/>
    </sheetView>
  </sheetViews>
  <sheetFormatPr defaultColWidth="8.85546875" defaultRowHeight="18.75" customHeight="1" x14ac:dyDescent="0.25"/>
  <cols>
    <col min="1" max="1" width="6.7109375" style="14" customWidth="1"/>
    <col min="2" max="8" width="12.85546875" style="1" customWidth="1"/>
    <col min="9" max="9" width="12.85546875" style="87" customWidth="1"/>
    <col min="10" max="10" width="8.85546875" style="35"/>
    <col min="11" max="16384" width="8.85546875" style="1"/>
  </cols>
  <sheetData>
    <row r="1" spans="1:11" ht="18.75" customHeight="1" x14ac:dyDescent="0.25">
      <c r="A1" s="141" t="s">
        <v>47</v>
      </c>
      <c r="B1" s="342" t="s">
        <v>253</v>
      </c>
      <c r="C1" s="342"/>
      <c r="D1" s="342"/>
      <c r="E1" s="342"/>
      <c r="F1" s="342"/>
      <c r="G1" s="142" t="s">
        <v>254</v>
      </c>
      <c r="H1" s="142" t="s">
        <v>255</v>
      </c>
      <c r="I1" s="143" t="s">
        <v>256</v>
      </c>
      <c r="J1" s="1"/>
    </row>
    <row r="2" spans="1:11" ht="18.75" customHeight="1" x14ac:dyDescent="0.25">
      <c r="A2" s="103" t="s">
        <v>269</v>
      </c>
      <c r="B2" s="88" t="s">
        <v>272</v>
      </c>
      <c r="C2" s="89"/>
      <c r="D2" s="89"/>
      <c r="E2" s="89"/>
      <c r="F2" s="89"/>
      <c r="G2" s="89"/>
      <c r="H2" s="89"/>
      <c r="I2" s="90"/>
      <c r="J2" s="1"/>
    </row>
    <row r="3" spans="1:11" s="76" customFormat="1" ht="18.75" customHeight="1" x14ac:dyDescent="0.25">
      <c r="A3" s="55" t="s">
        <v>270</v>
      </c>
      <c r="B3" s="91" t="s">
        <v>83</v>
      </c>
      <c r="C3" s="92"/>
      <c r="D3" s="92"/>
      <c r="E3" s="92"/>
      <c r="F3" s="92"/>
      <c r="G3" s="92"/>
      <c r="H3" s="92"/>
      <c r="I3" s="93"/>
      <c r="J3" s="77"/>
    </row>
    <row r="4" spans="1:11" s="13" customFormat="1" ht="18.75" customHeight="1" x14ac:dyDescent="0.25">
      <c r="A4" s="49" t="s">
        <v>266</v>
      </c>
      <c r="B4" s="32" t="s">
        <v>84</v>
      </c>
      <c r="C4" s="94"/>
      <c r="D4" s="94"/>
      <c r="E4" s="94"/>
      <c r="F4" s="94"/>
      <c r="G4" s="94"/>
      <c r="H4" s="94"/>
      <c r="I4" s="95"/>
      <c r="J4" s="78"/>
    </row>
    <row r="5" spans="1:11" s="13" customFormat="1" ht="18.75" customHeight="1" x14ac:dyDescent="0.25">
      <c r="A5" s="49"/>
      <c r="B5" s="13" t="s">
        <v>105</v>
      </c>
      <c r="D5" s="94"/>
      <c r="E5" s="94"/>
      <c r="F5" s="94"/>
      <c r="G5" s="25" t="s">
        <v>6</v>
      </c>
      <c r="H5" s="79">
        <f>'Input Data'!H8</f>
        <v>0</v>
      </c>
      <c r="I5" s="96" t="s">
        <v>21</v>
      </c>
      <c r="J5" s="78"/>
    </row>
    <row r="6" spans="1:11" s="13" customFormat="1" ht="18.75" customHeight="1" x14ac:dyDescent="0.25">
      <c r="A6" s="49"/>
      <c r="B6" s="13" t="s">
        <v>106</v>
      </c>
      <c r="D6" s="94"/>
      <c r="E6" s="94"/>
      <c r="F6" s="94"/>
      <c r="G6" s="25" t="s">
        <v>8</v>
      </c>
      <c r="H6" s="79">
        <f>'Input Data'!H4</f>
        <v>-2</v>
      </c>
      <c r="I6" s="96" t="s">
        <v>9</v>
      </c>
      <c r="J6" s="78"/>
    </row>
    <row r="7" spans="1:11" s="13" customFormat="1" ht="18.75" customHeight="1" x14ac:dyDescent="0.25">
      <c r="A7" s="49"/>
      <c r="B7" s="13" t="s">
        <v>533</v>
      </c>
      <c r="D7" s="94"/>
      <c r="E7" s="94"/>
      <c r="F7" s="94"/>
      <c r="G7" s="25" t="s">
        <v>102</v>
      </c>
      <c r="H7" s="86">
        <f>IF('Input Data'!H64&gt;'Input Data'!H4,(('Input Data'!H5*ABS('Input Data'!H64)+('Input Data'!H6*ABS('Input Data'!H4-'Input Data'!H64)))/ABS('Input Data'!H4)),'Input Data'!H5)</f>
        <v>16.8</v>
      </c>
      <c r="I7" s="96" t="s">
        <v>12</v>
      </c>
      <c r="J7" s="78"/>
    </row>
    <row r="8" spans="1:11" s="13" customFormat="1" ht="18.75" customHeight="1" x14ac:dyDescent="0.25">
      <c r="A8" s="49"/>
      <c r="B8" s="13" t="s">
        <v>109</v>
      </c>
      <c r="D8" s="94"/>
      <c r="E8" s="94"/>
      <c r="F8" s="94"/>
      <c r="G8" s="25" t="s">
        <v>23</v>
      </c>
      <c r="H8" s="79">
        <f>MIN('Input Data'!H30:H31)</f>
        <v>1.6</v>
      </c>
      <c r="I8" s="96" t="s">
        <v>9</v>
      </c>
      <c r="J8" s="78"/>
    </row>
    <row r="9" spans="1:11" s="13" customFormat="1" ht="18.75" customHeight="1" x14ac:dyDescent="0.25">
      <c r="A9" s="49"/>
      <c r="B9" s="13" t="s">
        <v>108</v>
      </c>
      <c r="D9" s="94"/>
      <c r="E9" s="94"/>
      <c r="F9" s="94"/>
      <c r="G9" s="25" t="s">
        <v>25</v>
      </c>
      <c r="H9" s="79">
        <f>MAX('Input Data'!H30:H31)</f>
        <v>1.6</v>
      </c>
      <c r="I9" s="96" t="s">
        <v>9</v>
      </c>
      <c r="J9" s="78"/>
    </row>
    <row r="10" spans="1:11" s="13" customFormat="1" ht="18.75" customHeight="1" x14ac:dyDescent="0.25">
      <c r="A10" s="49"/>
      <c r="B10" s="13" t="s">
        <v>528</v>
      </c>
      <c r="D10" s="94"/>
      <c r="E10" s="94"/>
      <c r="F10" s="94"/>
      <c r="I10" s="96"/>
      <c r="J10" s="78"/>
      <c r="K10" s="1"/>
    </row>
    <row r="11" spans="1:11" s="13" customFormat="1" ht="18.75" customHeight="1" x14ac:dyDescent="0.25">
      <c r="A11" s="49"/>
      <c r="D11" s="94"/>
      <c r="E11" s="94"/>
      <c r="F11" s="94"/>
      <c r="G11" s="25" t="s">
        <v>526</v>
      </c>
      <c r="H11" s="79">
        <f>0.5*(1+IF('Input Data'!H64&lt;='Input Data'!H4,ABS('Input Data'!H4),(ABS('Input Data'!H4-'Input Data'!H64)))/ABS(H6))</f>
        <v>0.7</v>
      </c>
      <c r="I11" s="96"/>
      <c r="J11" s="78"/>
      <c r="K11" s="1"/>
    </row>
    <row r="12" spans="1:11" s="13" customFormat="1" ht="18.75" customHeight="1" x14ac:dyDescent="0.25">
      <c r="A12" s="49"/>
      <c r="D12" s="94"/>
      <c r="E12" s="94"/>
      <c r="F12" s="94"/>
      <c r="G12" s="25" t="s">
        <v>527</v>
      </c>
      <c r="H12" s="79">
        <f>0.5*(1+IF('Input Data'!H64&lt;-(ABS('Input Data'!H4)+MAX('Input Data'!H30:H31)),MAX('Input Data'!H30:H31),IF('Input Data'!H64&lt;'Input Data'!H4,ABS('Input Data'!H64)-ABS('Input Data'!H4),0))/ABS(H6))</f>
        <v>0.5</v>
      </c>
      <c r="I12" s="96"/>
      <c r="J12" s="78"/>
      <c r="K12" s="1"/>
    </row>
    <row r="13" spans="1:11" s="13" customFormat="1" ht="18.75" customHeight="1" x14ac:dyDescent="0.25">
      <c r="A13" s="49"/>
      <c r="B13" s="97" t="s">
        <v>13</v>
      </c>
      <c r="C13" s="94"/>
      <c r="D13" s="94"/>
      <c r="E13" s="94"/>
      <c r="F13" s="94"/>
      <c r="G13" s="25" t="s">
        <v>103</v>
      </c>
      <c r="H13" s="79">
        <f>'Input Data'!H7</f>
        <v>34</v>
      </c>
      <c r="I13" s="96" t="s">
        <v>15</v>
      </c>
      <c r="J13" s="78"/>
    </row>
    <row r="14" spans="1:11" s="13" customFormat="1" ht="18.75" customHeight="1" x14ac:dyDescent="0.25">
      <c r="A14" s="49"/>
      <c r="C14" s="94"/>
      <c r="E14" s="94"/>
      <c r="F14" s="94"/>
      <c r="G14" s="25" t="s">
        <v>96</v>
      </c>
      <c r="H14" s="80">
        <f>'Input Data'!H7/180*PI()</f>
        <v>0.59341194567807198</v>
      </c>
      <c r="I14" s="96" t="s">
        <v>26</v>
      </c>
      <c r="J14" s="78"/>
    </row>
    <row r="15" spans="1:11" s="13" customFormat="1" ht="18.75" customHeight="1" x14ac:dyDescent="0.25">
      <c r="A15" s="49"/>
      <c r="C15" s="94"/>
      <c r="D15" s="94"/>
      <c r="E15" s="94"/>
      <c r="F15" s="94"/>
      <c r="G15" s="25" t="s">
        <v>97</v>
      </c>
      <c r="H15" s="80">
        <f>EXP((3*PI()/4-H14/2)*TAN(H14))</f>
        <v>4.0114089764168144</v>
      </c>
      <c r="I15" s="96"/>
      <c r="J15" s="78"/>
    </row>
    <row r="16" spans="1:11" s="13" customFormat="1" ht="18.75" customHeight="1" x14ac:dyDescent="0.25">
      <c r="A16" s="49"/>
      <c r="C16" s="94"/>
      <c r="D16" s="94"/>
      <c r="E16" s="94"/>
      <c r="F16" s="94"/>
      <c r="G16" s="25" t="s">
        <v>98</v>
      </c>
      <c r="H16" s="80">
        <f>3*(TAN((45+1/2*(H13+33))/180*PI()))^2</f>
        <v>72.4763059202661</v>
      </c>
      <c r="I16" s="96"/>
      <c r="J16" s="78"/>
    </row>
    <row r="17" spans="1:15" s="13" customFormat="1" ht="18.75" customHeight="1" x14ac:dyDescent="0.25">
      <c r="A17" s="49"/>
      <c r="B17" s="13" t="s">
        <v>27</v>
      </c>
      <c r="C17" s="94"/>
      <c r="D17" s="94"/>
      <c r="E17" s="94"/>
      <c r="F17" s="94"/>
      <c r="G17" s="2"/>
      <c r="I17" s="96"/>
      <c r="J17" s="78"/>
    </row>
    <row r="18" spans="1:15" s="13" customFormat="1" ht="18.75" customHeight="1" x14ac:dyDescent="0.25">
      <c r="A18" s="49"/>
      <c r="B18" s="307" t="s">
        <v>515</v>
      </c>
      <c r="C18" s="94"/>
      <c r="D18" s="94"/>
      <c r="E18" s="94"/>
      <c r="F18" s="94"/>
      <c r="G18" s="25" t="s">
        <v>99</v>
      </c>
      <c r="H18" s="80">
        <f>1/TAN(H14)*(H15^2/(2*(COS(PI()/4+H14/2))^2)-1)</f>
        <v>52.637449090803408</v>
      </c>
      <c r="I18" s="96"/>
      <c r="J18" s="78"/>
      <c r="L18" s="298"/>
      <c r="M18" s="6"/>
      <c r="N18" s="6"/>
      <c r="O18" s="6"/>
    </row>
    <row r="19" spans="1:15" s="13" customFormat="1" ht="18.75" customHeight="1" x14ac:dyDescent="0.25">
      <c r="A19" s="49"/>
      <c r="C19" s="94"/>
      <c r="D19" s="94"/>
      <c r="E19" s="94"/>
      <c r="F19" s="94"/>
      <c r="G19" s="25" t="s">
        <v>100</v>
      </c>
      <c r="H19" s="80">
        <f>H15^2/((2*(COS(PI()/4+H14/2))^2))</f>
        <v>36.504407716606536</v>
      </c>
      <c r="I19" s="96"/>
      <c r="J19" s="78"/>
      <c r="L19" s="6"/>
      <c r="M19" s="299"/>
      <c r="N19" s="299"/>
      <c r="O19" s="299"/>
    </row>
    <row r="20" spans="1:15" s="13" customFormat="1" ht="18.75" customHeight="1" x14ac:dyDescent="0.25">
      <c r="A20" s="49"/>
      <c r="C20" s="94"/>
      <c r="D20" s="94"/>
      <c r="E20" s="94"/>
      <c r="F20" s="94"/>
      <c r="G20" s="25" t="s">
        <v>101</v>
      </c>
      <c r="H20" s="80">
        <f>1/2*TAN(H14)*(H16/(COS(H14))^2-1)</f>
        <v>35.226292320396446</v>
      </c>
      <c r="I20" s="96"/>
      <c r="J20" s="78"/>
      <c r="L20" s="6"/>
      <c r="M20" s="299"/>
      <c r="N20" s="299"/>
      <c r="O20" s="299"/>
    </row>
    <row r="21" spans="1:15" s="13" customFormat="1" ht="18.75" customHeight="1" x14ac:dyDescent="0.25">
      <c r="A21" s="49"/>
      <c r="C21" s="94"/>
      <c r="D21" s="94"/>
      <c r="E21" s="94"/>
      <c r="F21" s="94"/>
      <c r="G21" s="36"/>
      <c r="H21" s="81"/>
      <c r="I21" s="96"/>
      <c r="J21" s="78"/>
      <c r="L21" s="6"/>
      <c r="M21" s="299"/>
      <c r="N21" s="299"/>
      <c r="O21" s="299"/>
    </row>
    <row r="22" spans="1:15" s="13" customFormat="1" ht="18.75" customHeight="1" x14ac:dyDescent="0.25">
      <c r="A22" s="49"/>
      <c r="B22" s="307" t="s">
        <v>516</v>
      </c>
      <c r="C22" s="94"/>
      <c r="D22" s="94"/>
      <c r="E22" s="300" t="s">
        <v>514</v>
      </c>
      <c r="F22" s="301" t="s">
        <v>520</v>
      </c>
      <c r="G22" s="301" t="s">
        <v>521</v>
      </c>
      <c r="H22" s="301" t="s">
        <v>522</v>
      </c>
      <c r="I22" s="96"/>
      <c r="J22" s="78"/>
      <c r="L22" s="6"/>
      <c r="M22" s="299"/>
      <c r="N22" s="299"/>
      <c r="O22" s="299"/>
    </row>
    <row r="23" spans="1:15" s="13" customFormat="1" ht="18.75" customHeight="1" x14ac:dyDescent="0.25">
      <c r="A23" s="49"/>
      <c r="C23" s="94"/>
      <c r="D23" s="94"/>
      <c r="E23" s="302">
        <v>0</v>
      </c>
      <c r="F23" s="303">
        <v>5.7</v>
      </c>
      <c r="G23" s="303">
        <v>1</v>
      </c>
      <c r="H23" s="303">
        <v>0</v>
      </c>
      <c r="I23" s="96"/>
      <c r="J23" s="78"/>
      <c r="L23" s="6"/>
      <c r="M23" s="299"/>
      <c r="N23" s="299"/>
      <c r="O23" s="299"/>
    </row>
    <row r="24" spans="1:15" s="13" customFormat="1" ht="18.75" customHeight="1" x14ac:dyDescent="0.25">
      <c r="A24" s="49"/>
      <c r="C24" s="94"/>
      <c r="D24" s="94"/>
      <c r="E24" s="302">
        <f>E23+5</f>
        <v>5</v>
      </c>
      <c r="F24" s="303">
        <v>6.7</v>
      </c>
      <c r="G24" s="303">
        <v>1.4</v>
      </c>
      <c r="H24" s="303">
        <v>0.2</v>
      </c>
      <c r="I24" s="96"/>
      <c r="J24" s="78"/>
      <c r="L24" s="6"/>
      <c r="M24" s="299"/>
      <c r="N24" s="299"/>
      <c r="O24" s="299"/>
    </row>
    <row r="25" spans="1:15" s="13" customFormat="1" ht="18.75" customHeight="1" x14ac:dyDescent="0.25">
      <c r="A25" s="49"/>
      <c r="C25" s="94"/>
      <c r="D25" s="94"/>
      <c r="E25" s="302">
        <f t="shared" ref="E25:E26" si="0">E24+5</f>
        <v>10</v>
      </c>
      <c r="F25" s="303">
        <v>8</v>
      </c>
      <c r="G25" s="303">
        <v>1.9</v>
      </c>
      <c r="H25" s="303">
        <v>0.5</v>
      </c>
      <c r="I25" s="96"/>
      <c r="J25" s="78"/>
      <c r="L25" s="6"/>
      <c r="M25" s="299"/>
      <c r="N25" s="299"/>
      <c r="O25" s="299"/>
    </row>
    <row r="26" spans="1:15" s="13" customFormat="1" ht="18.75" customHeight="1" x14ac:dyDescent="0.25">
      <c r="A26" s="49"/>
      <c r="C26" s="94"/>
      <c r="D26" s="94"/>
      <c r="E26" s="302">
        <f t="shared" si="0"/>
        <v>15</v>
      </c>
      <c r="F26" s="303">
        <v>9.6999999999999993</v>
      </c>
      <c r="G26" s="303">
        <v>2.7</v>
      </c>
      <c r="H26" s="303">
        <v>0.9</v>
      </c>
      <c r="I26" s="96"/>
      <c r="J26" s="78"/>
      <c r="L26" s="6"/>
      <c r="M26" s="299"/>
      <c r="N26" s="299"/>
      <c r="O26" s="299"/>
    </row>
    <row r="27" spans="1:15" s="13" customFormat="1" ht="18.75" customHeight="1" x14ac:dyDescent="0.25">
      <c r="A27" s="49"/>
      <c r="C27" s="94"/>
      <c r="D27" s="94"/>
      <c r="E27" s="302">
        <f>E26+5</f>
        <v>20</v>
      </c>
      <c r="F27" s="303">
        <v>11.8</v>
      </c>
      <c r="G27" s="303">
        <v>3.9</v>
      </c>
      <c r="H27" s="303">
        <v>1.7</v>
      </c>
      <c r="I27" s="96"/>
      <c r="J27" s="78"/>
      <c r="L27" s="6"/>
      <c r="M27" s="299"/>
      <c r="N27" s="299"/>
      <c r="O27" s="299"/>
    </row>
    <row r="28" spans="1:15" s="13" customFormat="1" ht="18.75" customHeight="1" x14ac:dyDescent="0.25">
      <c r="A28" s="49"/>
      <c r="C28" s="94"/>
      <c r="D28" s="94"/>
      <c r="E28" s="302">
        <f t="shared" ref="E28:E29" si="1">E27+5</f>
        <v>25</v>
      </c>
      <c r="F28" s="303">
        <v>14.8</v>
      </c>
      <c r="G28" s="303">
        <v>5.6</v>
      </c>
      <c r="H28" s="303">
        <v>3.2</v>
      </c>
      <c r="I28" s="96"/>
      <c r="J28" s="78"/>
      <c r="L28" s="6"/>
      <c r="M28" s="299"/>
      <c r="N28" s="299"/>
      <c r="O28" s="299"/>
    </row>
    <row r="29" spans="1:15" s="13" customFormat="1" ht="18.75" customHeight="1" x14ac:dyDescent="0.25">
      <c r="A29" s="49"/>
      <c r="C29" s="94"/>
      <c r="D29" s="94"/>
      <c r="E29" s="302">
        <f t="shared" si="1"/>
        <v>30</v>
      </c>
      <c r="F29" s="303">
        <v>19</v>
      </c>
      <c r="G29" s="303">
        <v>8.3000000000000007</v>
      </c>
      <c r="H29" s="303">
        <v>5.7</v>
      </c>
      <c r="I29" s="96"/>
      <c r="J29" s="78"/>
      <c r="L29" s="6"/>
      <c r="M29" s="299"/>
      <c r="N29" s="299"/>
      <c r="O29" s="299"/>
    </row>
    <row r="30" spans="1:15" s="13" customFormat="1" ht="18.75" customHeight="1" x14ac:dyDescent="0.25">
      <c r="A30" s="49"/>
      <c r="C30" s="94"/>
      <c r="D30" s="94"/>
      <c r="E30" s="302">
        <v>34</v>
      </c>
      <c r="F30" s="303">
        <v>23.7</v>
      </c>
      <c r="G30" s="303">
        <v>11.7</v>
      </c>
      <c r="H30" s="303">
        <v>9</v>
      </c>
      <c r="I30" s="96"/>
      <c r="J30" s="78"/>
      <c r="L30" s="6"/>
      <c r="M30" s="299"/>
      <c r="N30" s="299"/>
      <c r="O30" s="299"/>
    </row>
    <row r="31" spans="1:15" s="13" customFormat="1" ht="18.75" customHeight="1" x14ac:dyDescent="0.25">
      <c r="A31" s="49"/>
      <c r="C31" s="94"/>
      <c r="D31" s="94"/>
      <c r="E31" s="302">
        <v>35</v>
      </c>
      <c r="F31" s="303">
        <v>25.2</v>
      </c>
      <c r="G31" s="303">
        <v>12.6</v>
      </c>
      <c r="H31" s="303">
        <v>10.1</v>
      </c>
      <c r="I31" s="96"/>
      <c r="J31" s="78"/>
      <c r="L31" s="6"/>
      <c r="M31" s="299"/>
      <c r="N31" s="299"/>
      <c r="O31" s="299"/>
    </row>
    <row r="32" spans="1:15" s="13" customFormat="1" ht="18.75" customHeight="1" x14ac:dyDescent="0.25">
      <c r="A32" s="49"/>
      <c r="C32" s="94"/>
      <c r="D32" s="94"/>
      <c r="E32" s="302">
        <v>40</v>
      </c>
      <c r="F32" s="303">
        <v>34.9</v>
      </c>
      <c r="G32" s="303">
        <v>20.5</v>
      </c>
      <c r="H32" s="303">
        <v>18.8</v>
      </c>
      <c r="I32" s="96"/>
      <c r="J32" s="78"/>
    </row>
    <row r="33" spans="1:10" s="13" customFormat="1" ht="18.75" customHeight="1" x14ac:dyDescent="0.25">
      <c r="A33" s="49"/>
      <c r="C33" s="94"/>
      <c r="D33" s="94"/>
      <c r="E33" s="302">
        <v>45</v>
      </c>
      <c r="F33" s="303">
        <v>51.2</v>
      </c>
      <c r="G33" s="303">
        <v>35.1</v>
      </c>
      <c r="H33" s="303">
        <v>37.700000000000003</v>
      </c>
      <c r="I33" s="96"/>
      <c r="J33" s="78"/>
    </row>
    <row r="34" spans="1:10" s="13" customFormat="1" ht="18.75" customHeight="1" x14ac:dyDescent="0.25">
      <c r="A34" s="49"/>
      <c r="C34" s="94"/>
      <c r="D34" s="94"/>
      <c r="E34" s="302">
        <v>48</v>
      </c>
      <c r="F34" s="303">
        <v>66.8</v>
      </c>
      <c r="G34" s="303">
        <v>50.5</v>
      </c>
      <c r="H34" s="303">
        <v>60.4</v>
      </c>
      <c r="I34" s="96"/>
      <c r="J34" s="78"/>
    </row>
    <row r="35" spans="1:10" s="13" customFormat="1" ht="18.75" customHeight="1" x14ac:dyDescent="0.25">
      <c r="A35" s="49"/>
      <c r="C35" s="94"/>
      <c r="D35" s="94"/>
      <c r="E35" s="302">
        <v>50</v>
      </c>
      <c r="F35" s="303">
        <v>81.3</v>
      </c>
      <c r="G35" s="303">
        <v>65.599999999999994</v>
      </c>
      <c r="H35" s="303">
        <v>87.1</v>
      </c>
      <c r="I35" s="96"/>
      <c r="J35" s="78"/>
    </row>
    <row r="36" spans="1:10" s="13" customFormat="1" ht="18.75" customHeight="1" x14ac:dyDescent="0.25">
      <c r="A36" s="49"/>
      <c r="C36" s="94"/>
      <c r="D36" s="94"/>
      <c r="E36" s="94"/>
      <c r="F36" s="94"/>
      <c r="G36" s="36"/>
      <c r="H36" s="81"/>
      <c r="I36" s="96"/>
      <c r="J36" s="78"/>
    </row>
    <row r="37" spans="1:10" s="13" customFormat="1" ht="18.75" customHeight="1" x14ac:dyDescent="0.25">
      <c r="A37" s="49"/>
      <c r="C37" s="94"/>
      <c r="D37" s="94"/>
      <c r="E37" s="300" t="s">
        <v>514</v>
      </c>
      <c r="F37" s="300" t="s">
        <v>517</v>
      </c>
      <c r="G37" s="300" t="s">
        <v>518</v>
      </c>
      <c r="H37" s="300" t="s">
        <v>519</v>
      </c>
      <c r="I37" s="96"/>
      <c r="J37" s="78"/>
    </row>
    <row r="38" spans="1:10" s="13" customFormat="1" ht="18.75" customHeight="1" x14ac:dyDescent="0.25">
      <c r="A38" s="49"/>
      <c r="C38" s="94"/>
      <c r="D38" s="94"/>
      <c r="E38" s="306">
        <f>H13</f>
        <v>34</v>
      </c>
      <c r="F38" s="304">
        <f>IF(ISNUMBER(MATCH(E38, E23:E35, 0)), INDEX(F23:F35, MATCH(E38, E23:E35, 0)),
_xlfn.FORECAST.LINEAR(E38, INDEX(F23:F35, MATCH(E38, E23:E35, 1)):INDEX(F23:F35, MATCH(E38, E23:E35, 1)+1),
INDEX(E23:E35, MATCH(E38, E23:E35, 1)):INDEX(E23:E35, MATCH(E38, E23:E35, 1)+1)))</f>
        <v>23.7</v>
      </c>
      <c r="G38" s="304">
        <f>IF(ISNUMBER(MATCH(E38, E23:E35, 0)), INDEX(G23:G35, MATCH(E38, E23:E35, 0)),
_xlfn.FORECAST.LINEAR(E38, INDEX(G23:G35, MATCH(E38, E23:E35, 1)):INDEX(G23:G35, MATCH(E38, E23:E35, 1)+1),
INDEX(E23:E35, MATCH(E38, E23:E35, 1)):INDEX(E23:E35, MATCH(E38, E23:E35, 1)+1)))</f>
        <v>11.7</v>
      </c>
      <c r="H38" s="305">
        <f>IF(ISNUMBER(MATCH(E38, E23:E35, 0)), INDEX(H23:H35, MATCH(E38, E23:E35, 0)),
_xlfn.FORECAST.LINEAR(E38, INDEX(H23:H35, MATCH(E38, E23:E35, 1)):INDEX(H23:H35, MATCH(E38, E23:E35, 1)+1),
INDEX(E23:E35, MATCH(E38, E23:E35, 1)):INDEX(E23:E35, MATCH(E38, E23:E35, 1)+1)))</f>
        <v>9</v>
      </c>
      <c r="I38" s="96"/>
      <c r="J38" s="78"/>
    </row>
    <row r="39" spans="1:10" s="13" customFormat="1" ht="18.75" customHeight="1" x14ac:dyDescent="0.25">
      <c r="A39" s="49"/>
      <c r="C39" s="94"/>
      <c r="D39" s="94"/>
      <c r="E39" s="268"/>
      <c r="F39" s="268"/>
      <c r="G39" s="268"/>
      <c r="H39" s="101"/>
      <c r="I39" s="96"/>
      <c r="J39" s="78"/>
    </row>
    <row r="40" spans="1:10" s="13" customFormat="1" ht="18.75" customHeight="1" x14ac:dyDescent="0.25">
      <c r="A40" s="49"/>
      <c r="C40" s="94"/>
      <c r="D40" s="94"/>
      <c r="E40" s="268"/>
      <c r="F40" s="268"/>
      <c r="G40" s="268"/>
      <c r="H40" s="101"/>
      <c r="I40" s="96"/>
      <c r="J40" s="78"/>
    </row>
    <row r="41" spans="1:10" s="13" customFormat="1" ht="18.75" customHeight="1" x14ac:dyDescent="0.25">
      <c r="A41" s="49"/>
      <c r="B41" s="13" t="s">
        <v>523</v>
      </c>
      <c r="C41" s="94"/>
      <c r="D41" s="94"/>
      <c r="E41" s="94"/>
      <c r="F41" s="360" t="str">
        <f>IF(H13&lt;28,"Kegagalan geser lokal",IF(H13&lt;36,"Kegagalan geser lokal / umum",IF(H13&gt;=36,"Kegagalan geser umum","[ EROR ]")))</f>
        <v>Kegagalan geser lokal / umum</v>
      </c>
      <c r="G41" s="361"/>
      <c r="H41" s="362"/>
      <c r="I41" s="96"/>
      <c r="J41" s="78"/>
    </row>
    <row r="42" spans="1:10" s="13" customFormat="1" ht="18.75" customHeight="1" x14ac:dyDescent="0.25">
      <c r="A42" s="49"/>
      <c r="B42" s="13" t="s">
        <v>529</v>
      </c>
      <c r="C42" s="94"/>
      <c r="D42" s="94"/>
      <c r="E42" s="300" t="s">
        <v>514</v>
      </c>
      <c r="F42" s="300" t="s">
        <v>530</v>
      </c>
      <c r="G42" s="300" t="s">
        <v>531</v>
      </c>
      <c r="H42" s="300" t="s">
        <v>532</v>
      </c>
      <c r="I42" s="96"/>
      <c r="J42" s="78"/>
    </row>
    <row r="43" spans="1:10" s="13" customFormat="1" ht="18.75" customHeight="1" x14ac:dyDescent="0.25">
      <c r="A43" s="49"/>
      <c r="B43" s="307" t="s">
        <v>515</v>
      </c>
      <c r="C43" s="94"/>
      <c r="D43" s="94"/>
      <c r="E43" s="363">
        <f>E38</f>
        <v>34</v>
      </c>
      <c r="F43" s="304">
        <f>H18</f>
        <v>52.637449090803408</v>
      </c>
      <c r="G43" s="304">
        <f>H19</f>
        <v>36.504407716606536</v>
      </c>
      <c r="H43" s="304">
        <f>H20</f>
        <v>35.226292320396446</v>
      </c>
      <c r="I43" s="96"/>
      <c r="J43" s="78"/>
    </row>
    <row r="44" spans="1:10" s="13" customFormat="1" ht="18.75" customHeight="1" x14ac:dyDescent="0.25">
      <c r="A44" s="49"/>
      <c r="B44" s="307" t="s">
        <v>516</v>
      </c>
      <c r="C44" s="94"/>
      <c r="D44" s="94"/>
      <c r="E44" s="364"/>
      <c r="F44" s="304">
        <f>F38</f>
        <v>23.7</v>
      </c>
      <c r="G44" s="304">
        <f>G38</f>
        <v>11.7</v>
      </c>
      <c r="H44" s="304">
        <f>H38</f>
        <v>9</v>
      </c>
      <c r="I44" s="96"/>
      <c r="J44" s="78"/>
    </row>
    <row r="45" spans="1:10" s="13" customFormat="1" ht="18.75" customHeight="1" x14ac:dyDescent="0.25">
      <c r="A45" s="49"/>
      <c r="C45" s="94"/>
      <c r="D45" s="94"/>
      <c r="E45" s="94"/>
      <c r="F45" s="94"/>
      <c r="G45" s="308"/>
      <c r="H45" s="308"/>
      <c r="I45" s="96"/>
      <c r="J45" s="78"/>
    </row>
    <row r="46" spans="1:10" s="13" customFormat="1" ht="18.75" customHeight="1" x14ac:dyDescent="0.25">
      <c r="A46" s="49"/>
      <c r="B46" s="13" t="s">
        <v>28</v>
      </c>
      <c r="C46" s="94"/>
      <c r="D46" s="94"/>
      <c r="E46" s="94"/>
      <c r="F46" s="94"/>
      <c r="G46" s="36"/>
      <c r="H46" s="81"/>
      <c r="I46" s="96"/>
      <c r="J46" s="78"/>
    </row>
    <row r="47" spans="1:10" s="13" customFormat="1" ht="18.75" customHeight="1" x14ac:dyDescent="0.25">
      <c r="A47" s="49"/>
      <c r="C47" s="94"/>
      <c r="D47" s="94"/>
      <c r="E47" s="94"/>
      <c r="F47" s="94"/>
      <c r="G47" s="25" t="s">
        <v>534</v>
      </c>
      <c r="I47" s="96"/>
      <c r="J47" s="78"/>
    </row>
    <row r="48" spans="1:10" s="13" customFormat="1" ht="18.75" customHeight="1" x14ac:dyDescent="0.25">
      <c r="A48" s="49"/>
      <c r="C48" s="94"/>
      <c r="D48" s="94"/>
      <c r="E48" s="94"/>
      <c r="F48" s="94"/>
      <c r="G48" s="25" t="s">
        <v>535</v>
      </c>
      <c r="H48" s="79">
        <f>'Input Data'!H8*F43*(1+0.3*H8/H9)+ABS('Input Data'!H4)*'Input Data'!H5*G43+0.5*H8*H43*(1-0.2*H8/H9)</f>
        <v>1190.6858740164628</v>
      </c>
      <c r="I48" s="96" t="s">
        <v>21</v>
      </c>
      <c r="J48" s="78"/>
    </row>
    <row r="49" spans="1:15" s="13" customFormat="1" ht="18.75" customHeight="1" x14ac:dyDescent="0.25">
      <c r="A49" s="49"/>
      <c r="C49" s="94"/>
      <c r="D49" s="94"/>
      <c r="E49" s="94"/>
      <c r="F49" s="94"/>
      <c r="G49" s="25" t="s">
        <v>536</v>
      </c>
      <c r="H49" s="79">
        <f>'Input Data'!H8*F44*(1+0.3*H8/H9)+ABS('Input Data'!H4)*'Input Data'!H5*G44+0.5*H8*H44*(1-0.2*H8/H9)</f>
        <v>380.15999999999997</v>
      </c>
      <c r="I49" s="96" t="s">
        <v>21</v>
      </c>
      <c r="J49" s="78"/>
    </row>
    <row r="50" spans="1:15" s="13" customFormat="1" ht="18.75" customHeight="1" x14ac:dyDescent="0.25">
      <c r="A50" s="49"/>
      <c r="C50" s="94"/>
      <c r="D50" s="94"/>
      <c r="E50" s="94"/>
      <c r="F50" s="94"/>
      <c r="G50" s="25" t="s">
        <v>537</v>
      </c>
      <c r="H50" s="79">
        <f>IF(H13&lt;28,H49,IF(H13&lt;36,(H49*(36-H13)+H48*(H13-28))/8,IF(H13&gt;=36,H48,"[ EROR ]")))</f>
        <v>988.0544055123471</v>
      </c>
      <c r="I50" s="96" t="s">
        <v>21</v>
      </c>
      <c r="J50" s="78"/>
    </row>
    <row r="51" spans="1:15" s="13" customFormat="1" ht="18.75" customHeight="1" x14ac:dyDescent="0.25">
      <c r="A51" s="49"/>
      <c r="B51" s="13" t="s">
        <v>29</v>
      </c>
      <c r="C51" s="94"/>
      <c r="D51" s="94"/>
      <c r="E51" s="94"/>
      <c r="F51" s="94"/>
      <c r="G51" s="98" t="s">
        <v>506</v>
      </c>
      <c r="H51" s="79">
        <f>H50/3+H7*ABS(H6)</f>
        <v>362.95146850411572</v>
      </c>
      <c r="I51" s="96" t="s">
        <v>21</v>
      </c>
      <c r="J51" s="78"/>
    </row>
    <row r="52" spans="1:15" s="13" customFormat="1" ht="18.75" customHeight="1" x14ac:dyDescent="0.25">
      <c r="A52" s="49"/>
      <c r="B52" s="94"/>
      <c r="C52" s="94"/>
      <c r="D52" s="94"/>
      <c r="E52" s="94"/>
      <c r="F52" s="94"/>
      <c r="G52" s="36"/>
      <c r="H52" s="99"/>
      <c r="I52" s="95"/>
      <c r="J52" s="78"/>
    </row>
    <row r="53" spans="1:15" s="13" customFormat="1" ht="18.75" customHeight="1" x14ac:dyDescent="0.25">
      <c r="A53" s="49" t="s">
        <v>267</v>
      </c>
      <c r="B53" s="32" t="s">
        <v>85</v>
      </c>
      <c r="I53" s="96"/>
      <c r="J53" s="82"/>
      <c r="L53" s="76"/>
      <c r="M53" s="76"/>
      <c r="N53" s="76"/>
      <c r="O53" s="76"/>
    </row>
    <row r="54" spans="1:15" s="13" customFormat="1" ht="18.75" customHeight="1" x14ac:dyDescent="0.25">
      <c r="A54" s="49"/>
      <c r="B54" s="98" t="s">
        <v>19</v>
      </c>
      <c r="C54" s="13" t="s">
        <v>30</v>
      </c>
      <c r="I54" s="96"/>
      <c r="J54" s="82"/>
    </row>
    <row r="55" spans="1:15" s="13" customFormat="1" ht="18.75" customHeight="1" x14ac:dyDescent="0.25">
      <c r="A55" s="49"/>
      <c r="B55" s="98" t="s">
        <v>31</v>
      </c>
      <c r="C55" s="13" t="s">
        <v>24</v>
      </c>
      <c r="G55" s="98" t="s">
        <v>23</v>
      </c>
      <c r="H55" s="79">
        <f>H8</f>
        <v>1.6</v>
      </c>
      <c r="I55" s="96" t="s">
        <v>9</v>
      </c>
      <c r="J55" s="82"/>
    </row>
    <row r="56" spans="1:15" s="13" customFormat="1" ht="18.75" customHeight="1" x14ac:dyDescent="0.25">
      <c r="A56" s="49"/>
      <c r="B56" s="98" t="s">
        <v>8</v>
      </c>
      <c r="C56" s="13" t="s">
        <v>22</v>
      </c>
      <c r="G56" s="98" t="s">
        <v>8</v>
      </c>
      <c r="H56" s="79">
        <f>ABS('Input Data'!H4)</f>
        <v>2</v>
      </c>
      <c r="I56" s="96" t="s">
        <v>9</v>
      </c>
      <c r="J56" s="82"/>
    </row>
    <row r="57" spans="1:15" s="13" customFormat="1" ht="18.75" customHeight="1" x14ac:dyDescent="0.25">
      <c r="A57" s="49"/>
      <c r="B57" s="98"/>
      <c r="G57" s="98" t="s">
        <v>45</v>
      </c>
      <c r="H57" s="80">
        <f>1+0.33*H56/H55</f>
        <v>1.4125000000000001</v>
      </c>
      <c r="I57" s="96" t="str">
        <f>IF(H57&gt;1.33,"&gt; 1.33","&lt; 1.33")</f>
        <v>&gt; 1.33</v>
      </c>
      <c r="J57" s="82"/>
    </row>
    <row r="58" spans="1:15" s="13" customFormat="1" ht="18.75" customHeight="1" x14ac:dyDescent="0.25">
      <c r="A58" s="49"/>
      <c r="B58" s="98"/>
      <c r="E58" s="100" t="s">
        <v>3</v>
      </c>
      <c r="F58" s="13" t="s">
        <v>32</v>
      </c>
      <c r="G58" s="98" t="s">
        <v>33</v>
      </c>
      <c r="H58" s="80">
        <f>IF(H57&gt;1.33,1.33,H57)</f>
        <v>1.33</v>
      </c>
      <c r="I58" s="96"/>
      <c r="J58" s="82"/>
    </row>
    <row r="59" spans="1:15" s="13" customFormat="1" ht="18.75" customHeight="1" x14ac:dyDescent="0.25">
      <c r="A59" s="49"/>
      <c r="B59" s="13" t="s">
        <v>34</v>
      </c>
      <c r="G59" s="98" t="s">
        <v>19</v>
      </c>
      <c r="H59" s="79">
        <f>'Input Data'!H9</f>
        <v>200</v>
      </c>
      <c r="I59" s="96" t="s">
        <v>20</v>
      </c>
      <c r="J59" s="82"/>
    </row>
    <row r="60" spans="1:15" s="13" customFormat="1" ht="18.75" customHeight="1" x14ac:dyDescent="0.25">
      <c r="A60" s="49"/>
      <c r="G60" s="98" t="s">
        <v>46</v>
      </c>
      <c r="H60" s="80">
        <f>H59/33*0.85*((H55+0.3)/H55)^2*H58</f>
        <v>9.6617069128787882</v>
      </c>
      <c r="I60" s="96" t="s">
        <v>20</v>
      </c>
      <c r="J60" s="82"/>
    </row>
    <row r="61" spans="1:15" s="13" customFormat="1" ht="18.75" customHeight="1" x14ac:dyDescent="0.25">
      <c r="A61" s="49"/>
      <c r="B61" s="13" t="s">
        <v>35</v>
      </c>
      <c r="G61" s="98" t="s">
        <v>36</v>
      </c>
      <c r="H61" s="79">
        <f>H60*100</f>
        <v>966.17069128787887</v>
      </c>
      <c r="I61" s="96" t="s">
        <v>21</v>
      </c>
      <c r="J61" s="82"/>
    </row>
    <row r="62" spans="1:15" s="13" customFormat="1" ht="18.75" customHeight="1" x14ac:dyDescent="0.25">
      <c r="A62" s="49"/>
      <c r="I62" s="96"/>
      <c r="J62" s="82"/>
    </row>
    <row r="63" spans="1:15" s="13" customFormat="1" ht="18.75" customHeight="1" x14ac:dyDescent="0.25">
      <c r="A63" s="49" t="s">
        <v>268</v>
      </c>
      <c r="B63" s="32" t="s">
        <v>86</v>
      </c>
      <c r="I63" s="96"/>
      <c r="J63" s="82"/>
    </row>
    <row r="64" spans="1:15" s="13" customFormat="1" ht="18.75" customHeight="1" x14ac:dyDescent="0.25">
      <c r="A64" s="49"/>
      <c r="B64" s="13" t="s">
        <v>37</v>
      </c>
      <c r="G64" s="98" t="s">
        <v>36</v>
      </c>
      <c r="H64" s="79">
        <f>H51</f>
        <v>362.95146850411572</v>
      </c>
      <c r="I64" s="96" t="s">
        <v>21</v>
      </c>
      <c r="J64" s="82"/>
    </row>
    <row r="65" spans="1:15" s="13" customFormat="1" ht="18.75" customHeight="1" x14ac:dyDescent="0.25">
      <c r="A65" s="49"/>
      <c r="B65" s="13" t="s">
        <v>38</v>
      </c>
      <c r="G65" s="98" t="s">
        <v>36</v>
      </c>
      <c r="H65" s="79">
        <f>H61</f>
        <v>966.17069128787887</v>
      </c>
      <c r="I65" s="96" t="s">
        <v>21</v>
      </c>
      <c r="J65" s="82"/>
    </row>
    <row r="66" spans="1:15" s="13" customFormat="1" ht="18.75" customHeight="1" x14ac:dyDescent="0.25">
      <c r="A66" s="49"/>
      <c r="B66" s="13" t="s">
        <v>39</v>
      </c>
      <c r="G66" s="98" t="s">
        <v>36</v>
      </c>
      <c r="H66" s="79">
        <f>MIN(H64:H65)</f>
        <v>362.95146850411572</v>
      </c>
      <c r="I66" s="96" t="s">
        <v>21</v>
      </c>
      <c r="J66" s="82"/>
    </row>
    <row r="67" spans="1:15" s="13" customFormat="1" ht="18.75" customHeight="1" x14ac:dyDescent="0.25">
      <c r="A67" s="49"/>
      <c r="G67" s="98"/>
      <c r="H67" s="83"/>
      <c r="I67" s="96"/>
      <c r="J67" s="82"/>
    </row>
    <row r="68" spans="1:15" s="13" customFormat="1" ht="18.75" customHeight="1" x14ac:dyDescent="0.25">
      <c r="A68" s="49"/>
      <c r="B68" s="94"/>
      <c r="C68" s="94"/>
      <c r="D68" s="94"/>
      <c r="E68" s="94"/>
      <c r="F68" s="94"/>
      <c r="G68" s="94"/>
      <c r="H68" s="94"/>
      <c r="I68" s="95"/>
      <c r="J68" s="78"/>
    </row>
    <row r="69" spans="1:15" s="76" customFormat="1" ht="18.75" customHeight="1" x14ac:dyDescent="0.25">
      <c r="A69" s="55" t="s">
        <v>271</v>
      </c>
      <c r="B69" s="91" t="s">
        <v>90</v>
      </c>
      <c r="C69" s="92"/>
      <c r="D69" s="92"/>
      <c r="E69" s="92"/>
      <c r="F69" s="92"/>
      <c r="G69" s="92"/>
      <c r="H69" s="92"/>
      <c r="I69" s="93"/>
      <c r="J69" s="77"/>
      <c r="L69" s="13"/>
      <c r="M69" s="13"/>
      <c r="N69" s="13"/>
      <c r="O69" s="13"/>
    </row>
    <row r="70" spans="1:15" s="13" customFormat="1" ht="18.75" customHeight="1" x14ac:dyDescent="0.25">
      <c r="A70" s="49"/>
      <c r="B70" s="13" t="s">
        <v>104</v>
      </c>
      <c r="G70" s="98" t="s">
        <v>358</v>
      </c>
      <c r="H70" s="79">
        <f>'Input Data'!H30*'Input Data'!H31</f>
        <v>2.5600000000000005</v>
      </c>
      <c r="I70" s="96" t="s">
        <v>40</v>
      </c>
      <c r="J70" s="78"/>
    </row>
    <row r="71" spans="1:15" s="13" customFormat="1" ht="18.75" customHeight="1" x14ac:dyDescent="0.25">
      <c r="A71" s="49"/>
      <c r="B71" s="13" t="s">
        <v>87</v>
      </c>
      <c r="G71" s="98" t="s">
        <v>359</v>
      </c>
      <c r="H71" s="79">
        <f>'Input Data'!H32</f>
        <v>0.4</v>
      </c>
      <c r="I71" s="96" t="s">
        <v>9</v>
      </c>
      <c r="J71" s="78"/>
    </row>
    <row r="72" spans="1:15" s="13" customFormat="1" ht="18.75" customHeight="1" x14ac:dyDescent="0.25">
      <c r="A72" s="49"/>
      <c r="B72" s="13" t="s">
        <v>89</v>
      </c>
      <c r="G72" s="98" t="s">
        <v>360</v>
      </c>
      <c r="H72" s="79">
        <f>(H56-H71)*(H70-('Input Data'!H28*'Input Data'!H29))</f>
        <v>3.6160000000000014</v>
      </c>
      <c r="I72" s="96" t="s">
        <v>41</v>
      </c>
      <c r="J72" s="78"/>
    </row>
    <row r="73" spans="1:15" s="13" customFormat="1" ht="18.75" customHeight="1" x14ac:dyDescent="0.25">
      <c r="A73" s="49"/>
      <c r="B73" s="13" t="s">
        <v>91</v>
      </c>
      <c r="G73" s="98" t="s">
        <v>361</v>
      </c>
      <c r="H73" s="79">
        <f>'Input Data'!H84*'Process (1)'!H70*'Process (1)'!H71</f>
        <v>24.576000000000008</v>
      </c>
      <c r="I73" s="96" t="s">
        <v>5</v>
      </c>
      <c r="J73" s="78"/>
    </row>
    <row r="74" spans="1:15" s="13" customFormat="1" ht="18.75" customHeight="1" x14ac:dyDescent="0.25">
      <c r="A74" s="49"/>
      <c r="B74" s="13" t="s">
        <v>92</v>
      </c>
      <c r="G74" s="98" t="s">
        <v>93</v>
      </c>
      <c r="H74" s="79">
        <f>'Input Data'!H83*'Process (1)'!H72</f>
        <v>62.195200000000021</v>
      </c>
      <c r="I74" s="96" t="s">
        <v>5</v>
      </c>
      <c r="J74" s="78"/>
    </row>
    <row r="75" spans="1:15" s="13" customFormat="1" ht="18.75" customHeight="1" x14ac:dyDescent="0.25">
      <c r="A75" s="49"/>
      <c r="B75" s="13" t="s">
        <v>143</v>
      </c>
      <c r="G75" s="98" t="s">
        <v>144</v>
      </c>
      <c r="H75" s="79">
        <f>H73+H74</f>
        <v>86.771200000000022</v>
      </c>
      <c r="I75" s="96" t="s">
        <v>5</v>
      </c>
      <c r="J75" s="78"/>
    </row>
    <row r="76" spans="1:15" s="13" customFormat="1" ht="18.75" customHeight="1" x14ac:dyDescent="0.25">
      <c r="A76" s="49"/>
      <c r="G76" s="98"/>
      <c r="H76" s="84"/>
      <c r="I76" s="96"/>
      <c r="J76" s="78"/>
    </row>
    <row r="77" spans="1:15" s="13" customFormat="1" ht="18.75" customHeight="1" x14ac:dyDescent="0.25">
      <c r="A77" s="49"/>
      <c r="B77" s="13" t="s">
        <v>494</v>
      </c>
      <c r="G77" s="98"/>
      <c r="H77" s="83"/>
      <c r="I77" s="96"/>
      <c r="J77" s="78"/>
    </row>
    <row r="78" spans="1:15" s="13" customFormat="1" ht="18.75" customHeight="1" x14ac:dyDescent="0.25">
      <c r="A78" s="49"/>
      <c r="B78" s="2" t="s">
        <v>486</v>
      </c>
      <c r="C78" s="33"/>
      <c r="D78" s="33"/>
      <c r="E78" s="1"/>
      <c r="F78" s="33"/>
      <c r="G78" s="25" t="s">
        <v>485</v>
      </c>
      <c r="H78" s="197">
        <f>'Input Data'!H62</f>
        <v>0</v>
      </c>
      <c r="I78" s="39" t="s">
        <v>9</v>
      </c>
      <c r="J78" s="78"/>
    </row>
    <row r="79" spans="1:15" s="13" customFormat="1" ht="18.75" customHeight="1" x14ac:dyDescent="0.25">
      <c r="A79" s="49"/>
      <c r="B79" s="2"/>
      <c r="C79" s="33"/>
      <c r="D79" s="33"/>
      <c r="E79" s="1"/>
      <c r="F79" s="33"/>
      <c r="G79" s="25" t="s">
        <v>484</v>
      </c>
      <c r="H79" s="197">
        <f>'Input Data'!H63</f>
        <v>0</v>
      </c>
      <c r="I79" s="39" t="s">
        <v>9</v>
      </c>
      <c r="J79" s="78"/>
    </row>
    <row r="80" spans="1:15" s="13" customFormat="1" ht="18.75" customHeight="1" x14ac:dyDescent="0.25">
      <c r="A80" s="49"/>
      <c r="G80" s="98"/>
      <c r="H80" s="84"/>
      <c r="I80" s="96"/>
      <c r="J80" s="78"/>
    </row>
    <row r="81" spans="1:10" s="13" customFormat="1" ht="18.75" customHeight="1" x14ac:dyDescent="0.25">
      <c r="A81" s="49"/>
      <c r="B81" s="356" t="s">
        <v>48</v>
      </c>
      <c r="C81" s="357"/>
      <c r="D81" s="346" t="s">
        <v>49</v>
      </c>
      <c r="E81" s="346" t="s">
        <v>50</v>
      </c>
      <c r="F81" s="106" t="s">
        <v>261</v>
      </c>
      <c r="G81" s="106" t="s">
        <v>262</v>
      </c>
      <c r="H81" s="106" t="s">
        <v>263</v>
      </c>
      <c r="I81" s="279"/>
    </row>
    <row r="82" spans="1:10" s="13" customFormat="1" ht="18.75" customHeight="1" x14ac:dyDescent="0.25">
      <c r="A82" s="49"/>
      <c r="B82" s="358"/>
      <c r="C82" s="359"/>
      <c r="D82" s="355"/>
      <c r="E82" s="355"/>
      <c r="F82" s="278" t="s">
        <v>5</v>
      </c>
      <c r="G82" s="278" t="s">
        <v>2</v>
      </c>
      <c r="H82" s="278" t="s">
        <v>2</v>
      </c>
      <c r="I82" s="279"/>
    </row>
    <row r="83" spans="1:10" s="13" customFormat="1" ht="18.75" customHeight="1" x14ac:dyDescent="0.25">
      <c r="A83" s="49"/>
      <c r="B83" s="353" t="s">
        <v>488</v>
      </c>
      <c r="C83" s="353"/>
      <c r="D83" s="275" t="s">
        <v>51</v>
      </c>
      <c r="E83" s="219" t="s">
        <v>42</v>
      </c>
      <c r="F83" s="220">
        <f>ABS('Input Beban'!G19)+1.2*$H$75</f>
        <v>724.12544000000003</v>
      </c>
      <c r="G83" s="260"/>
      <c r="H83" s="260"/>
      <c r="I83" s="279"/>
    </row>
    <row r="84" spans="1:10" s="13" customFormat="1" ht="18.75" customHeight="1" x14ac:dyDescent="0.25">
      <c r="A84" s="49"/>
      <c r="B84" s="353" t="s">
        <v>489</v>
      </c>
      <c r="C84" s="353"/>
      <c r="D84" s="275" t="s">
        <v>51</v>
      </c>
      <c r="E84" s="219" t="s">
        <v>42</v>
      </c>
      <c r="F84" s="220">
        <f>ABS('Input Beban'!G20)+$H$75</f>
        <v>306.77120000000002</v>
      </c>
      <c r="G84" s="220">
        <f>ABS('Input Beban'!H20)+F84*$H$78</f>
        <v>8</v>
      </c>
      <c r="H84" s="220">
        <f>ABS('Input Beban'!I20)+F84*$H$79</f>
        <v>14</v>
      </c>
      <c r="I84" s="279"/>
    </row>
    <row r="85" spans="1:10" s="13" customFormat="1" ht="18.75" customHeight="1" x14ac:dyDescent="0.25">
      <c r="A85" s="49"/>
      <c r="B85" s="354" t="s">
        <v>490</v>
      </c>
      <c r="C85" s="354"/>
      <c r="D85" s="276" t="s">
        <v>51</v>
      </c>
      <c r="E85" s="223" t="s">
        <v>42</v>
      </c>
      <c r="F85" s="224">
        <f>ABS('Input Beban'!G21)+$H$75</f>
        <v>256.77120000000002</v>
      </c>
      <c r="G85" s="224">
        <f>ABS('Input Beban'!H21)+F85*$H$78</f>
        <v>60</v>
      </c>
      <c r="H85" s="224">
        <f>ABS('Input Beban'!I21)+F85*$H$79</f>
        <v>90</v>
      </c>
      <c r="I85" s="279"/>
    </row>
    <row r="86" spans="1:10" s="13" customFormat="1" ht="18.75" customHeight="1" x14ac:dyDescent="0.25">
      <c r="A86" s="49"/>
      <c r="B86" s="354" t="s">
        <v>491</v>
      </c>
      <c r="C86" s="354"/>
      <c r="D86" s="276" t="s">
        <v>51</v>
      </c>
      <c r="E86" s="223" t="s">
        <v>43</v>
      </c>
      <c r="F86" s="224">
        <f>ABS('Input Beban'!G22)+$H$75</f>
        <v>176.77120000000002</v>
      </c>
      <c r="G86" s="224">
        <f>ABS('Input Beban'!H22)+F86*$H$78</f>
        <v>30</v>
      </c>
      <c r="H86" s="224">
        <f>ABS('Input Beban'!I22)+F86*$H$79</f>
        <v>95</v>
      </c>
      <c r="I86" s="279"/>
    </row>
    <row r="87" spans="1:10" s="13" customFormat="1" ht="18.75" customHeight="1" x14ac:dyDescent="0.25">
      <c r="A87" s="49"/>
      <c r="B87" s="352" t="s">
        <v>492</v>
      </c>
      <c r="C87" s="352"/>
      <c r="D87" s="277" t="s">
        <v>51</v>
      </c>
      <c r="E87" s="215" t="s">
        <v>42</v>
      </c>
      <c r="F87" s="216">
        <f>ABS('Input Beban'!G23)+$H$75</f>
        <v>246.77120000000002</v>
      </c>
      <c r="G87" s="216">
        <f>ABS('Input Beban'!H23)+F87*$H$78</f>
        <v>110</v>
      </c>
      <c r="H87" s="216">
        <f>ABS('Input Beban'!I23)+F87*$H$79</f>
        <v>40</v>
      </c>
      <c r="I87" s="279"/>
    </row>
    <row r="88" spans="1:10" s="13" customFormat="1" ht="18.75" customHeight="1" x14ac:dyDescent="0.25">
      <c r="A88" s="49"/>
      <c r="B88" s="352" t="s">
        <v>493</v>
      </c>
      <c r="C88" s="352"/>
      <c r="D88" s="277" t="s">
        <v>51</v>
      </c>
      <c r="E88" s="215" t="s">
        <v>43</v>
      </c>
      <c r="F88" s="216">
        <f>ABS('Input Beban'!G24)+$H$75</f>
        <v>186.77120000000002</v>
      </c>
      <c r="G88" s="216">
        <f>ABS('Input Beban'!H24)+F88*$H$78</f>
        <v>90</v>
      </c>
      <c r="H88" s="216">
        <f>ABS('Input Beban'!I24)+F88*$H$79</f>
        <v>30</v>
      </c>
      <c r="I88" s="279"/>
    </row>
    <row r="89" spans="1:10" s="13" customFormat="1" ht="18.75" customHeight="1" x14ac:dyDescent="0.25">
      <c r="A89" s="395"/>
      <c r="B89" s="396"/>
      <c r="G89" s="98"/>
      <c r="H89" s="84"/>
      <c r="I89" s="96"/>
      <c r="J89" s="78"/>
    </row>
    <row r="90" spans="1:10" s="13" customFormat="1" ht="18.75" customHeight="1" x14ac:dyDescent="0.25">
      <c r="A90" s="395"/>
      <c r="B90" s="397" t="s">
        <v>495</v>
      </c>
      <c r="G90" s="98" t="s">
        <v>362</v>
      </c>
      <c r="H90" s="79">
        <f>1/6*'Input Data'!H31*'Input Data'!H30^2</f>
        <v>0.68266666666666675</v>
      </c>
      <c r="I90" s="96" t="s">
        <v>41</v>
      </c>
      <c r="J90" s="78"/>
    </row>
    <row r="91" spans="1:10" s="13" customFormat="1" ht="18.75" customHeight="1" x14ac:dyDescent="0.25">
      <c r="A91" s="395"/>
      <c r="B91" s="397" t="s">
        <v>496</v>
      </c>
      <c r="G91" s="98" t="s">
        <v>363</v>
      </c>
      <c r="H91" s="79">
        <f>1/6*'Input Data'!H30*'Input Data'!H31^2</f>
        <v>0.68266666666666675</v>
      </c>
      <c r="I91" s="96" t="s">
        <v>41</v>
      </c>
      <c r="J91" s="78"/>
    </row>
    <row r="92" spans="1:10" s="13" customFormat="1" ht="18.75" customHeight="1" x14ac:dyDescent="0.25">
      <c r="A92" s="395"/>
      <c r="B92" s="397"/>
      <c r="I92" s="96"/>
      <c r="J92" s="78"/>
    </row>
    <row r="93" spans="1:10" s="13" customFormat="1" ht="18.75" customHeight="1" x14ac:dyDescent="0.25">
      <c r="A93" s="168"/>
      <c r="B93" s="397"/>
      <c r="I93" s="96"/>
      <c r="J93" s="78"/>
    </row>
    <row r="94" spans="1:10" s="13" customFormat="1" ht="18.75" customHeight="1" x14ac:dyDescent="0.25">
      <c r="A94" s="168"/>
      <c r="B94" s="397"/>
      <c r="I94" s="96"/>
      <c r="J94" s="78"/>
    </row>
    <row r="95" spans="1:10" s="13" customFormat="1" ht="18.75" customHeight="1" x14ac:dyDescent="0.25">
      <c r="A95" s="168"/>
      <c r="B95" s="397"/>
      <c r="I95" s="96"/>
      <c r="J95" s="78"/>
    </row>
    <row r="96" spans="1:10" s="13" customFormat="1" ht="18.75" customHeight="1" x14ac:dyDescent="0.25">
      <c r="A96" s="168"/>
      <c r="B96" s="397"/>
      <c r="I96" s="96"/>
      <c r="J96" s="78"/>
    </row>
    <row r="97" spans="1:15" s="13" customFormat="1" ht="18.75" customHeight="1" x14ac:dyDescent="0.25">
      <c r="A97" s="168"/>
      <c r="B97" s="397"/>
      <c r="I97" s="96"/>
      <c r="J97" s="78"/>
      <c r="L97" s="1"/>
      <c r="M97" s="1"/>
      <c r="N97" s="1"/>
      <c r="O97" s="1"/>
    </row>
    <row r="98" spans="1:15" s="13" customFormat="1" ht="18.75" customHeight="1" x14ac:dyDescent="0.25">
      <c r="A98" s="168"/>
      <c r="B98" s="397"/>
      <c r="I98" s="96"/>
      <c r="J98" s="78"/>
      <c r="L98" s="1"/>
      <c r="M98" s="1"/>
      <c r="N98" s="1"/>
      <c r="O98" s="1"/>
    </row>
    <row r="99" spans="1:15" s="13" customFormat="1" ht="18.75" customHeight="1" x14ac:dyDescent="0.25">
      <c r="A99" s="168"/>
      <c r="B99" s="397"/>
      <c r="I99" s="96"/>
      <c r="J99" s="78"/>
      <c r="L99" s="1"/>
      <c r="M99" s="1"/>
      <c r="N99" s="1"/>
      <c r="O99" s="1"/>
    </row>
    <row r="100" spans="1:15" s="13" customFormat="1" ht="18.75" customHeight="1" x14ac:dyDescent="0.25">
      <c r="A100" s="168"/>
      <c r="B100" s="397"/>
      <c r="I100" s="96"/>
      <c r="J100" s="78"/>
      <c r="L100" s="1"/>
      <c r="M100" s="1"/>
      <c r="N100" s="1"/>
      <c r="O100" s="1"/>
    </row>
    <row r="101" spans="1:15" s="13" customFormat="1" ht="18.75" customHeight="1" x14ac:dyDescent="0.25">
      <c r="A101" s="168"/>
      <c r="B101" s="397"/>
      <c r="I101" s="96"/>
      <c r="J101" s="78"/>
      <c r="L101" s="1"/>
      <c r="M101" s="1"/>
      <c r="N101" s="1"/>
      <c r="O101" s="1"/>
    </row>
    <row r="102" spans="1:15" s="13" customFormat="1" ht="18.75" customHeight="1" x14ac:dyDescent="0.25">
      <c r="A102" s="168"/>
      <c r="B102" s="397"/>
      <c r="I102" s="96"/>
      <c r="J102" s="78"/>
      <c r="L102" s="1"/>
      <c r="M102" s="1"/>
      <c r="N102" s="1"/>
      <c r="O102" s="1"/>
    </row>
    <row r="103" spans="1:15" s="13" customFormat="1" ht="18.75" customHeight="1" x14ac:dyDescent="0.25">
      <c r="A103" s="168"/>
      <c r="B103" s="397"/>
      <c r="F103" s="280" t="s">
        <v>500</v>
      </c>
      <c r="I103" s="96"/>
      <c r="J103" s="78"/>
      <c r="L103" s="1"/>
      <c r="M103" s="1"/>
      <c r="N103" s="1"/>
      <c r="O103" s="1"/>
    </row>
    <row r="104" spans="1:15" s="13" customFormat="1" ht="18.75" customHeight="1" x14ac:dyDescent="0.25">
      <c r="A104" s="168"/>
      <c r="B104" s="398"/>
      <c r="F104" s="280" t="s">
        <v>503</v>
      </c>
      <c r="I104" s="96"/>
      <c r="J104" s="78"/>
      <c r="L104" s="1"/>
      <c r="M104" s="1"/>
      <c r="N104" s="1"/>
      <c r="O104" s="1"/>
    </row>
    <row r="105" spans="1:15" s="13" customFormat="1" ht="18.75" customHeight="1" x14ac:dyDescent="0.25">
      <c r="A105" s="296"/>
      <c r="B105" s="346" t="s">
        <v>48</v>
      </c>
      <c r="C105" s="346"/>
      <c r="D105" s="106" t="s">
        <v>502</v>
      </c>
      <c r="E105" s="106" t="s">
        <v>497</v>
      </c>
      <c r="F105" s="106" t="s">
        <v>501</v>
      </c>
      <c r="G105" s="348" t="s">
        <v>499</v>
      </c>
      <c r="H105" s="348"/>
      <c r="I105" s="96"/>
      <c r="L105" s="1"/>
      <c r="M105" s="1"/>
      <c r="N105" s="1"/>
      <c r="O105" s="1"/>
    </row>
    <row r="106" spans="1:15" s="13" customFormat="1" ht="18.75" customHeight="1" x14ac:dyDescent="0.25">
      <c r="A106" s="296"/>
      <c r="B106" s="346"/>
      <c r="C106" s="346"/>
      <c r="D106" s="281" t="s">
        <v>498</v>
      </c>
      <c r="E106" s="281" t="s">
        <v>498</v>
      </c>
      <c r="F106" s="281" t="s">
        <v>498</v>
      </c>
      <c r="G106" s="349"/>
      <c r="H106" s="349"/>
      <c r="I106" s="96"/>
      <c r="L106" s="1"/>
      <c r="M106" s="1"/>
      <c r="N106" s="1"/>
      <c r="O106" s="1"/>
    </row>
    <row r="107" spans="1:15" s="13" customFormat="1" ht="18.75" customHeight="1" x14ac:dyDescent="0.25">
      <c r="A107" s="296"/>
      <c r="B107" s="351" t="s">
        <v>489</v>
      </c>
      <c r="C107" s="351"/>
      <c r="D107" s="79">
        <f>IF(F84/$H$70-G84/$H$91-H84/$H$90&gt;=0,F84/$H$70-G84/$H$91-H84/$H$90,0)</f>
        <v>87.605937499999982</v>
      </c>
      <c r="E107" s="4">
        <f>F84/$H$70+G84/$H$91+H84/$H$90</f>
        <v>152.05906249999998</v>
      </c>
      <c r="F107" s="347">
        <f>H51</f>
        <v>362.95146850411572</v>
      </c>
      <c r="G107" s="350" t="str">
        <f>IF(E107&lt;$F$107,"qmax &lt; qa → AMAN (OK)","TIDAK AMAN ! (NG)")</f>
        <v>qmax &lt; qa → AMAN (OK)</v>
      </c>
      <c r="H107" s="350"/>
      <c r="I107" s="96"/>
      <c r="L107" s="1"/>
      <c r="M107" s="1"/>
      <c r="N107" s="1"/>
      <c r="O107" s="1"/>
    </row>
    <row r="108" spans="1:15" s="13" customFormat="1" ht="18.75" customHeight="1" x14ac:dyDescent="0.25">
      <c r="A108" s="296"/>
      <c r="B108" s="351" t="s">
        <v>490</v>
      </c>
      <c r="C108" s="351"/>
      <c r="D108" s="79">
        <f t="shared" ref="D108:D111" si="2">IF(F85/$H$70-G85/$H$91-H85/$H$90&gt;=0,F85/$H$70-G85/$H$91-H85/$H$90,0)</f>
        <v>0</v>
      </c>
      <c r="E108" s="4">
        <f>F85/$H$70+G85/$H$91+H85/$H$90</f>
        <v>320.02781249999998</v>
      </c>
      <c r="F108" s="347"/>
      <c r="G108" s="350" t="str">
        <f t="shared" ref="G108:G111" si="3">IF(E108&lt;$F$107,"qmax &lt; qa → AMAN (OK)","TIDAK AMAN ! (NG)")</f>
        <v>qmax &lt; qa → AMAN (OK)</v>
      </c>
      <c r="H108" s="350"/>
      <c r="I108" s="96"/>
      <c r="L108" s="1"/>
      <c r="M108" s="1"/>
      <c r="N108" s="1"/>
      <c r="O108" s="1"/>
    </row>
    <row r="109" spans="1:15" s="13" customFormat="1" ht="18.75" customHeight="1" x14ac:dyDescent="0.25">
      <c r="A109" s="296"/>
      <c r="B109" s="351" t="s">
        <v>491</v>
      </c>
      <c r="C109" s="351"/>
      <c r="D109" s="79">
        <f t="shared" si="2"/>
        <v>0</v>
      </c>
      <c r="E109" s="4">
        <f>F86/$H$70+G86/$H$91+H86/$H$90</f>
        <v>252.15671874999995</v>
      </c>
      <c r="F109" s="347"/>
      <c r="G109" s="350" t="str">
        <f t="shared" si="3"/>
        <v>qmax &lt; qa → AMAN (OK)</v>
      </c>
      <c r="H109" s="350"/>
      <c r="I109" s="96"/>
      <c r="L109" s="1"/>
      <c r="M109" s="1"/>
      <c r="N109" s="1"/>
      <c r="O109" s="1"/>
    </row>
    <row r="110" spans="1:15" s="13" customFormat="1" ht="18.75" customHeight="1" x14ac:dyDescent="0.25">
      <c r="A110" s="296"/>
      <c r="B110" s="351" t="s">
        <v>492</v>
      </c>
      <c r="C110" s="351"/>
      <c r="D110" s="79">
        <f t="shared" si="2"/>
        <v>0</v>
      </c>
      <c r="E110" s="4">
        <f>F87/$H$70+G87/$H$91+H87/$H$90</f>
        <v>316.12156249999998</v>
      </c>
      <c r="F110" s="347"/>
      <c r="G110" s="350" t="str">
        <f t="shared" si="3"/>
        <v>qmax &lt; qa → AMAN (OK)</v>
      </c>
      <c r="H110" s="350"/>
      <c r="I110" s="96"/>
      <c r="L110" s="1"/>
      <c r="M110" s="1"/>
      <c r="N110" s="1"/>
      <c r="O110" s="1"/>
    </row>
    <row r="111" spans="1:15" s="13" customFormat="1" ht="18.75" customHeight="1" x14ac:dyDescent="0.25">
      <c r="A111" s="296"/>
      <c r="B111" s="351" t="s">
        <v>493</v>
      </c>
      <c r="C111" s="351"/>
      <c r="D111" s="79">
        <f t="shared" si="2"/>
        <v>0</v>
      </c>
      <c r="E111" s="4">
        <f>F88/$H$70+G88/$H$91+H88/$H$90</f>
        <v>248.73874999999998</v>
      </c>
      <c r="F111" s="347"/>
      <c r="G111" s="350" t="str">
        <f t="shared" si="3"/>
        <v>qmax &lt; qa → AMAN (OK)</v>
      </c>
      <c r="H111" s="350"/>
      <c r="I111" s="96"/>
      <c r="L111" s="1"/>
      <c r="M111" s="1"/>
      <c r="N111" s="1"/>
      <c r="O111" s="1"/>
    </row>
    <row r="112" spans="1:15" s="13" customFormat="1" ht="18.75" customHeight="1" x14ac:dyDescent="0.25">
      <c r="A112" s="168"/>
      <c r="I112" s="96"/>
      <c r="J112" s="78"/>
      <c r="L112" s="1"/>
      <c r="M112" s="1"/>
      <c r="N112" s="1"/>
      <c r="O112" s="1"/>
    </row>
    <row r="113" spans="2:9" ht="18.75" customHeight="1" x14ac:dyDescent="0.25">
      <c r="B113" s="46"/>
      <c r="C113" s="46"/>
      <c r="D113" s="46"/>
      <c r="E113" s="46"/>
      <c r="F113" s="46"/>
      <c r="G113" s="46"/>
      <c r="H113" s="46"/>
      <c r="I113" s="102"/>
    </row>
    <row r="166" spans="76:76" ht="18.75" customHeight="1" x14ac:dyDescent="0.25">
      <c r="BX166" s="1">
        <f>(1+0.24)^5</f>
        <v>2.9316250624000002</v>
      </c>
    </row>
  </sheetData>
  <mergeCells count="26">
    <mergeCell ref="B1:F1"/>
    <mergeCell ref="D81:D82"/>
    <mergeCell ref="E81:E82"/>
    <mergeCell ref="B81:C82"/>
    <mergeCell ref="F41:H41"/>
    <mergeCell ref="E43:E44"/>
    <mergeCell ref="B88:C88"/>
    <mergeCell ref="B105:C106"/>
    <mergeCell ref="B83:C83"/>
    <mergeCell ref="B84:C84"/>
    <mergeCell ref="B85:C85"/>
    <mergeCell ref="B86:C86"/>
    <mergeCell ref="B87:C87"/>
    <mergeCell ref="B107:C107"/>
    <mergeCell ref="B108:C108"/>
    <mergeCell ref="B109:C109"/>
    <mergeCell ref="B110:C110"/>
    <mergeCell ref="B111:C111"/>
    <mergeCell ref="F107:F111"/>
    <mergeCell ref="G105:H105"/>
    <mergeCell ref="G106:H106"/>
    <mergeCell ref="G107:H107"/>
    <mergeCell ref="G108:H108"/>
    <mergeCell ref="G109:H109"/>
    <mergeCell ref="G110:H110"/>
    <mergeCell ref="G111:H111"/>
  </mergeCells>
  <phoneticPr fontId="53" type="noConversion"/>
  <conditionalFormatting sqref="G107:H111">
    <cfRule type="containsText" dxfId="3" priority="1" operator="containsText" text="TIDAK AMAN ! (NG)">
      <formula>NOT(ISERROR(SEARCH("TIDAK AMAN ! (NG)",G107)))</formula>
    </cfRule>
    <cfRule type="containsText" dxfId="2" priority="2" operator="containsText" text="qmax &lt; qa → AMAN (OK)">
      <formula>NOT(ISERROR(SEARCH("qmax &lt; qa → AMAN (OK)",G107)))</formula>
    </cfRule>
  </conditionalFormatting>
  <pageMargins left="0.7" right="0.7" top="0.75" bottom="0.75" header="0.3" footer="0.3"/>
  <pageSetup paperSize="9" orientation="portrait" horizontalDpi="4294967293" verticalDpi="300" r:id="rId1"/>
  <ignoredErrors>
    <ignoredError sqref="H8:H9 H12" formulaRange="1"/>
    <ignoredError sqref="H78:H79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4C9C0-317C-452F-B7CB-02E331A48715}">
  <sheetPr>
    <tabColor theme="9"/>
  </sheetPr>
  <dimension ref="A1:R333"/>
  <sheetViews>
    <sheetView showGridLines="0" topLeftCell="A313" workbookViewId="0">
      <selection activeCell="G170" sqref="G170"/>
    </sheetView>
  </sheetViews>
  <sheetFormatPr defaultRowHeight="18.75" customHeight="1" x14ac:dyDescent="0.25"/>
  <cols>
    <col min="1" max="1" width="6.7109375" style="155" customWidth="1"/>
    <col min="2" max="6" width="13.5703125" style="1" customWidth="1"/>
    <col min="7" max="7" width="14.28515625" style="1" customWidth="1"/>
    <col min="8" max="8" width="15.7109375" style="1" customWidth="1"/>
    <col min="9" max="9" width="11.42578125" style="3" customWidth="1"/>
    <col min="10" max="10" width="9.140625" style="1" customWidth="1"/>
    <col min="11" max="16384" width="9.140625" style="1"/>
  </cols>
  <sheetData>
    <row r="1" spans="1:13" ht="18.75" customHeight="1" x14ac:dyDescent="0.25">
      <c r="A1" s="149" t="s">
        <v>47</v>
      </c>
      <c r="B1" s="342" t="s">
        <v>253</v>
      </c>
      <c r="C1" s="342"/>
      <c r="D1" s="342"/>
      <c r="E1" s="342"/>
      <c r="F1" s="342"/>
      <c r="G1" s="142" t="s">
        <v>254</v>
      </c>
      <c r="H1" s="142" t="s">
        <v>255</v>
      </c>
      <c r="I1" s="143" t="s">
        <v>256</v>
      </c>
    </row>
    <row r="2" spans="1:13" ht="18.75" customHeight="1" x14ac:dyDescent="0.25">
      <c r="A2" s="150" t="s">
        <v>265</v>
      </c>
      <c r="B2" s="88" t="s">
        <v>280</v>
      </c>
      <c r="C2" s="89"/>
      <c r="D2" s="89"/>
      <c r="E2" s="89"/>
      <c r="F2" s="89"/>
      <c r="G2" s="89"/>
      <c r="H2" s="89"/>
      <c r="I2" s="90"/>
    </row>
    <row r="3" spans="1:13" ht="18.75" customHeight="1" x14ac:dyDescent="0.25">
      <c r="A3" s="151" t="s">
        <v>82</v>
      </c>
      <c r="B3" s="63" t="s">
        <v>140</v>
      </c>
      <c r="C3" s="113"/>
      <c r="D3" s="113"/>
      <c r="E3" s="113"/>
      <c r="F3" s="113"/>
      <c r="G3" s="113"/>
      <c r="H3" s="113"/>
      <c r="I3" s="66"/>
      <c r="J3" s="2"/>
      <c r="K3" s="2"/>
      <c r="L3" s="2"/>
      <c r="M3" s="2"/>
    </row>
    <row r="4" spans="1:13" ht="18.75" customHeight="1" x14ac:dyDescent="0.25">
      <c r="A4" s="152"/>
      <c r="B4" s="2" t="s">
        <v>66</v>
      </c>
      <c r="C4" s="2"/>
      <c r="D4" s="2"/>
      <c r="E4" s="2"/>
      <c r="F4" s="2"/>
      <c r="G4" s="25" t="s">
        <v>289</v>
      </c>
      <c r="H4" s="15">
        <f>'Input Data'!H75</f>
        <v>30</v>
      </c>
      <c r="I4" s="39" t="s">
        <v>67</v>
      </c>
      <c r="J4" s="2"/>
      <c r="K4" s="2"/>
      <c r="L4" s="2"/>
      <c r="M4" s="2"/>
    </row>
    <row r="5" spans="1:13" ht="18.75" customHeight="1" x14ac:dyDescent="0.25">
      <c r="A5" s="152"/>
      <c r="B5" s="1" t="s">
        <v>68</v>
      </c>
      <c r="C5" s="2"/>
      <c r="D5" s="2"/>
      <c r="E5" s="2"/>
      <c r="F5" s="2"/>
      <c r="G5" s="25" t="s">
        <v>165</v>
      </c>
      <c r="H5" s="15">
        <f>'Input Data'!H76</f>
        <v>400</v>
      </c>
      <c r="I5" s="39" t="s">
        <v>67</v>
      </c>
      <c r="J5" s="2"/>
      <c r="K5" s="2"/>
      <c r="L5" s="2"/>
      <c r="M5" s="2"/>
    </row>
    <row r="6" spans="1:13" ht="18.75" customHeight="1" x14ac:dyDescent="0.25">
      <c r="A6" s="152"/>
      <c r="B6" s="2" t="s">
        <v>58</v>
      </c>
      <c r="G6" s="25" t="s">
        <v>353</v>
      </c>
      <c r="H6" s="15">
        <f>'Input Data'!H28</f>
        <v>0.5</v>
      </c>
      <c r="I6" s="39" t="s">
        <v>9</v>
      </c>
    </row>
    <row r="7" spans="1:13" ht="18.75" customHeight="1" x14ac:dyDescent="0.25">
      <c r="A7" s="152"/>
      <c r="B7" s="2" t="s">
        <v>59</v>
      </c>
      <c r="G7" s="25" t="s">
        <v>80</v>
      </c>
      <c r="H7" s="15">
        <f>'Input Data'!H29</f>
        <v>0.6</v>
      </c>
      <c r="I7" s="39" t="s">
        <v>9</v>
      </c>
    </row>
    <row r="8" spans="1:13" ht="18.75" customHeight="1" x14ac:dyDescent="0.25">
      <c r="A8" s="152"/>
      <c r="B8" s="2" t="s">
        <v>56</v>
      </c>
      <c r="G8" s="25" t="s">
        <v>354</v>
      </c>
      <c r="H8" s="15">
        <f>'Input Data'!H30</f>
        <v>1.6</v>
      </c>
      <c r="I8" s="39" t="s">
        <v>9</v>
      </c>
    </row>
    <row r="9" spans="1:13" ht="18.75" customHeight="1" x14ac:dyDescent="0.25">
      <c r="A9" s="152"/>
      <c r="B9" s="2" t="s">
        <v>57</v>
      </c>
      <c r="G9" s="25" t="s">
        <v>355</v>
      </c>
      <c r="H9" s="15">
        <f>'Input Data'!H31</f>
        <v>1.6</v>
      </c>
      <c r="I9" s="39" t="s">
        <v>9</v>
      </c>
    </row>
    <row r="10" spans="1:13" ht="18.75" customHeight="1" x14ac:dyDescent="0.25">
      <c r="A10" s="152"/>
      <c r="B10" s="2" t="s">
        <v>63</v>
      </c>
      <c r="G10" s="25" t="s">
        <v>273</v>
      </c>
      <c r="H10" s="15">
        <f>'Input Data'!H32</f>
        <v>0.4</v>
      </c>
      <c r="I10" s="39" t="s">
        <v>9</v>
      </c>
    </row>
    <row r="11" spans="1:13" ht="18.75" customHeight="1" x14ac:dyDescent="0.25">
      <c r="A11" s="152"/>
      <c r="B11" s="9" t="s">
        <v>73</v>
      </c>
      <c r="G11" s="44" t="s">
        <v>1</v>
      </c>
      <c r="H11" s="26">
        <f>'Input Data'!H79</f>
        <v>16</v>
      </c>
      <c r="I11" s="45" t="s">
        <v>0</v>
      </c>
    </row>
    <row r="12" spans="1:13" ht="18.75" customHeight="1" x14ac:dyDescent="0.25">
      <c r="A12" s="152"/>
      <c r="B12" s="9" t="s">
        <v>74</v>
      </c>
      <c r="G12" s="44" t="s">
        <v>1</v>
      </c>
      <c r="H12" s="26">
        <f>'Input Data'!H80</f>
        <v>13</v>
      </c>
      <c r="I12" s="45" t="s">
        <v>0</v>
      </c>
    </row>
    <row r="13" spans="1:13" ht="18.75" customHeight="1" x14ac:dyDescent="0.25">
      <c r="A13" s="152"/>
      <c r="B13" s="9"/>
      <c r="G13" s="44"/>
      <c r="H13" s="27"/>
      <c r="I13" s="45"/>
    </row>
    <row r="14" spans="1:13" ht="18.75" customHeight="1" x14ac:dyDescent="0.25">
      <c r="A14" s="152"/>
      <c r="B14" s="9" t="s">
        <v>151</v>
      </c>
      <c r="G14" s="98" t="s">
        <v>152</v>
      </c>
      <c r="H14" s="28">
        <f>MAX('Process (1)'!F84:F88)</f>
        <v>306.77120000000002</v>
      </c>
      <c r="I14" s="96" t="s">
        <v>5</v>
      </c>
    </row>
    <row r="15" spans="1:13" ht="18.75" customHeight="1" x14ac:dyDescent="0.25">
      <c r="A15" s="152"/>
      <c r="B15" s="97" t="s">
        <v>141</v>
      </c>
      <c r="G15" s="98" t="s">
        <v>138</v>
      </c>
      <c r="H15" s="28">
        <f>_xlfn.XLOOKUP(H14,'Process (1)'!F84:F88,'Process (1)'!E107:E111,"[ EROR ]")</f>
        <v>152.05906249999998</v>
      </c>
      <c r="I15" s="96" t="s">
        <v>21</v>
      </c>
    </row>
    <row r="16" spans="1:13" ht="18.75" customHeight="1" x14ac:dyDescent="0.25">
      <c r="A16" s="152"/>
      <c r="B16" s="97" t="s">
        <v>142</v>
      </c>
      <c r="G16" s="98" t="s">
        <v>139</v>
      </c>
      <c r="H16" s="28">
        <f>_xlfn.XLOOKUP(H14,'Process (1)'!F84:F88,'Process (1)'!D107:D111,"[ EROR ]")</f>
        <v>87.605937499999982</v>
      </c>
      <c r="I16" s="96" t="s">
        <v>21</v>
      </c>
    </row>
    <row r="17" spans="1:18" ht="18.75" customHeight="1" x14ac:dyDescent="0.25">
      <c r="A17" s="152"/>
      <c r="I17" s="40"/>
    </row>
    <row r="18" spans="1:18" s="11" customFormat="1" ht="19.149999999999999" customHeight="1" x14ac:dyDescent="0.25">
      <c r="A18" s="151" t="s">
        <v>88</v>
      </c>
      <c r="B18" s="56" t="s">
        <v>371</v>
      </c>
      <c r="C18" s="57"/>
      <c r="D18" s="57"/>
      <c r="E18" s="57"/>
      <c r="F18" s="57"/>
      <c r="G18" s="57"/>
      <c r="H18" s="57"/>
      <c r="I18" s="226"/>
      <c r="N18" s="8"/>
      <c r="O18" s="8"/>
      <c r="P18" s="8"/>
      <c r="Q18" s="8"/>
      <c r="R18" s="8"/>
    </row>
    <row r="19" spans="1:18" s="11" customFormat="1" ht="19.149999999999999" customHeight="1" x14ac:dyDescent="0.25">
      <c r="A19" s="152"/>
      <c r="B19" s="173"/>
      <c r="I19" s="227"/>
      <c r="N19" s="8"/>
      <c r="O19" s="8"/>
      <c r="P19" s="8"/>
      <c r="Q19" s="8"/>
      <c r="R19" s="8"/>
    </row>
    <row r="20" spans="1:18" s="11" customFormat="1" ht="19.149999999999999" customHeight="1" x14ac:dyDescent="0.25">
      <c r="A20" s="152"/>
      <c r="B20" s="173"/>
      <c r="I20" s="227"/>
      <c r="N20" s="8"/>
      <c r="O20" s="8"/>
      <c r="P20" s="8"/>
      <c r="Q20" s="8"/>
      <c r="R20" s="8"/>
    </row>
    <row r="21" spans="1:18" s="11" customFormat="1" ht="19.149999999999999" customHeight="1" x14ac:dyDescent="0.25">
      <c r="A21" s="152"/>
      <c r="B21" s="173"/>
      <c r="I21" s="227"/>
      <c r="N21" s="8"/>
      <c r="O21" s="8"/>
      <c r="P21" s="8"/>
      <c r="Q21" s="8"/>
      <c r="R21" s="8"/>
    </row>
    <row r="22" spans="1:18" s="11" customFormat="1" ht="19.149999999999999" customHeight="1" x14ac:dyDescent="0.25">
      <c r="A22" s="152"/>
      <c r="B22" s="173"/>
      <c r="I22" s="227"/>
      <c r="N22" s="8"/>
      <c r="O22" s="8"/>
      <c r="P22" s="8"/>
      <c r="Q22" s="8"/>
      <c r="R22" s="8"/>
    </row>
    <row r="23" spans="1:18" s="11" customFormat="1" ht="19.149999999999999" customHeight="1" x14ac:dyDescent="0.25">
      <c r="A23" s="152"/>
      <c r="B23" s="173"/>
      <c r="I23" s="227"/>
      <c r="N23" s="8"/>
      <c r="O23" s="8"/>
      <c r="P23" s="8"/>
      <c r="Q23" s="8"/>
      <c r="R23" s="8"/>
    </row>
    <row r="24" spans="1:18" s="11" customFormat="1" ht="19.149999999999999" customHeight="1" x14ac:dyDescent="0.25">
      <c r="A24" s="152"/>
      <c r="B24" s="173"/>
      <c r="I24" s="227"/>
      <c r="N24" s="8"/>
      <c r="O24" s="8"/>
      <c r="P24" s="8"/>
      <c r="Q24" s="8"/>
      <c r="R24" s="8"/>
    </row>
    <row r="25" spans="1:18" s="11" customFormat="1" ht="19.149999999999999" customHeight="1" x14ac:dyDescent="0.25">
      <c r="A25" s="152"/>
      <c r="B25" s="173"/>
      <c r="H25" s="1"/>
      <c r="I25" s="227"/>
      <c r="N25" s="8"/>
      <c r="O25" s="8"/>
      <c r="P25" s="8"/>
      <c r="Q25" s="8"/>
      <c r="R25" s="8"/>
    </row>
    <row r="26" spans="1:18" s="11" customFormat="1" ht="19.149999999999999" customHeight="1" x14ac:dyDescent="0.25">
      <c r="A26" s="152"/>
      <c r="B26" s="173"/>
      <c r="I26" s="227"/>
      <c r="N26" s="8"/>
      <c r="O26" s="8"/>
      <c r="P26" s="8"/>
      <c r="Q26" s="8"/>
      <c r="R26" s="8"/>
    </row>
    <row r="27" spans="1:18" s="11" customFormat="1" ht="19.149999999999999" customHeight="1" x14ac:dyDescent="0.25">
      <c r="A27" s="152"/>
      <c r="B27" s="173"/>
      <c r="I27" s="227"/>
      <c r="N27" s="8"/>
      <c r="O27" s="8"/>
      <c r="P27" s="8"/>
      <c r="Q27" s="8"/>
      <c r="R27" s="8"/>
    </row>
    <row r="28" spans="1:18" s="11" customFormat="1" ht="19.149999999999999" customHeight="1" x14ac:dyDescent="0.25">
      <c r="A28" s="152"/>
      <c r="B28" s="173"/>
      <c r="I28" s="227"/>
      <c r="N28" s="8"/>
      <c r="O28" s="8"/>
      <c r="P28" s="8"/>
      <c r="Q28" s="8"/>
      <c r="R28" s="8"/>
    </row>
    <row r="29" spans="1:18" s="11" customFormat="1" ht="19.149999999999999" customHeight="1" x14ac:dyDescent="0.25">
      <c r="A29" s="152"/>
      <c r="B29" s="173"/>
      <c r="I29" s="227"/>
      <c r="N29" s="8"/>
      <c r="O29" s="8"/>
      <c r="P29" s="8"/>
      <c r="Q29" s="8"/>
      <c r="R29" s="8"/>
    </row>
    <row r="30" spans="1:18" s="11" customFormat="1" ht="19.149999999999999" customHeight="1" x14ac:dyDescent="0.25">
      <c r="A30" s="152"/>
      <c r="B30" s="173"/>
      <c r="I30" s="227"/>
      <c r="N30" s="8"/>
      <c r="O30" s="8"/>
      <c r="P30" s="8"/>
      <c r="Q30" s="8"/>
      <c r="R30" s="8"/>
    </row>
    <row r="31" spans="1:18" ht="18.75" customHeight="1" x14ac:dyDescent="0.25">
      <c r="A31" s="152"/>
      <c r="B31" s="2" t="s">
        <v>110</v>
      </c>
      <c r="C31" s="2"/>
      <c r="D31" s="2"/>
      <c r="E31" s="2"/>
      <c r="G31" s="25" t="s">
        <v>292</v>
      </c>
      <c r="H31" s="332">
        <f>'Input Data'!H34+3/2*'Input Data'!H79</f>
        <v>124</v>
      </c>
      <c r="I31" s="39" t="s">
        <v>0</v>
      </c>
    </row>
    <row r="32" spans="1:18" ht="18.75" customHeight="1" x14ac:dyDescent="0.25">
      <c r="A32" s="152"/>
      <c r="B32" s="2" t="s">
        <v>301</v>
      </c>
      <c r="C32" s="2"/>
      <c r="D32" s="2"/>
      <c r="E32" s="2"/>
      <c r="G32" s="25" t="s">
        <v>415</v>
      </c>
      <c r="H32" s="332">
        <f>H10*1000-H31</f>
        <v>276</v>
      </c>
      <c r="I32" s="39" t="s">
        <v>0</v>
      </c>
    </row>
    <row r="33" spans="1:18" ht="18.75" customHeight="1" x14ac:dyDescent="0.25">
      <c r="A33" s="152"/>
      <c r="B33" s="2" t="s">
        <v>372</v>
      </c>
      <c r="C33" s="2"/>
      <c r="D33" s="2"/>
      <c r="E33" s="2"/>
      <c r="G33" s="25" t="str">
        <f>IF('Input Data'!H33=40,"cx = ( Lx - b - d ) / 2 =","cx = Lx - b - 0,5 * d =")</f>
        <v>cx = ( Lx - b - d ) / 2 =</v>
      </c>
      <c r="H33" s="332">
        <f>IF('Input Data'!H33=40,(H8*1000-H6*1000-H32)/2,(H8*1000-H6*1000-0.5*H32))</f>
        <v>412</v>
      </c>
      <c r="I33" s="39" t="s">
        <v>0</v>
      </c>
      <c r="K33" s="25"/>
      <c r="L33" s="25"/>
    </row>
    <row r="34" spans="1:18" ht="18.75" customHeight="1" x14ac:dyDescent="0.25">
      <c r="A34" s="152"/>
      <c r="B34" s="2" t="s">
        <v>373</v>
      </c>
      <c r="C34" s="2"/>
      <c r="D34" s="2"/>
      <c r="E34" s="2"/>
      <c r="G34" s="228" t="s">
        <v>416</v>
      </c>
      <c r="H34" s="332">
        <f>H33/1000*H9*H10*'Input Data'!H84</f>
        <v>6.3283200000000006</v>
      </c>
      <c r="I34" s="39" t="s">
        <v>114</v>
      </c>
      <c r="L34" s="25"/>
    </row>
    <row r="35" spans="1:18" ht="18.75" customHeight="1" x14ac:dyDescent="0.25">
      <c r="A35" s="152"/>
      <c r="B35" s="2" t="s">
        <v>374</v>
      </c>
      <c r="C35" s="2"/>
      <c r="D35" s="2"/>
      <c r="E35" s="2"/>
      <c r="G35" s="228" t="s">
        <v>375</v>
      </c>
      <c r="H35" s="332">
        <f>H33/1000*H9*(ABS('Input Data'!H4)-'Input Data'!H32)*'Input Data'!H83</f>
        <v>18.141184000000003</v>
      </c>
      <c r="I35" s="39" t="s">
        <v>114</v>
      </c>
    </row>
    <row r="36" spans="1:18" ht="18.75" customHeight="1" x14ac:dyDescent="0.25">
      <c r="A36" s="152"/>
      <c r="B36" s="2" t="s">
        <v>406</v>
      </c>
      <c r="C36" s="2"/>
      <c r="D36" s="2"/>
      <c r="E36" s="2"/>
      <c r="G36" s="25" t="s">
        <v>368</v>
      </c>
      <c r="H36" s="332">
        <f>H16+(H8-H33/1000)/H8*(H15-H16)</f>
        <v>135.46238281249998</v>
      </c>
      <c r="I36" s="39" t="s">
        <v>21</v>
      </c>
    </row>
    <row r="37" spans="1:18" ht="18.75" customHeight="1" x14ac:dyDescent="0.25">
      <c r="A37" s="152"/>
      <c r="B37" s="2" t="s">
        <v>407</v>
      </c>
      <c r="C37" s="2"/>
      <c r="D37" s="2"/>
      <c r="E37" s="2"/>
      <c r="G37" s="25" t="s">
        <v>408</v>
      </c>
      <c r="H37" s="332">
        <f>H36*H33/1000*H9</f>
        <v>89.296802749999983</v>
      </c>
      <c r="I37" s="39" t="s">
        <v>114</v>
      </c>
    </row>
    <row r="38" spans="1:18" ht="18.75" customHeight="1" x14ac:dyDescent="0.25">
      <c r="A38" s="152"/>
      <c r="B38" s="2" t="s">
        <v>409</v>
      </c>
      <c r="C38" s="2"/>
      <c r="D38" s="2"/>
      <c r="E38" s="2"/>
      <c r="G38" s="25" t="s">
        <v>410</v>
      </c>
      <c r="H38" s="332">
        <f>0.5*(H15-H36)*H33/1000*H9</f>
        <v>5.4702656249999997</v>
      </c>
      <c r="I38" s="39" t="s">
        <v>114</v>
      </c>
    </row>
    <row r="39" spans="1:18" s="11" customFormat="1" ht="19.149999999999999" customHeight="1" x14ac:dyDescent="0.25">
      <c r="A39" s="229"/>
      <c r="B39" s="2" t="s">
        <v>113</v>
      </c>
      <c r="C39" s="2"/>
      <c r="D39" s="2"/>
      <c r="E39" s="2"/>
      <c r="F39" s="1"/>
      <c r="G39" s="25" t="s">
        <v>411</v>
      </c>
      <c r="H39" s="332">
        <f>H37+H38-H34-H35</f>
        <v>70.297564374999979</v>
      </c>
      <c r="I39" s="39" t="s">
        <v>114</v>
      </c>
      <c r="N39" s="8"/>
      <c r="O39" s="8"/>
      <c r="P39" s="8"/>
      <c r="Q39" s="8"/>
      <c r="R39" s="8"/>
    </row>
    <row r="40" spans="1:18" s="11" customFormat="1" ht="19.149999999999999" customHeight="1" x14ac:dyDescent="0.25">
      <c r="A40" s="229"/>
      <c r="I40" s="227"/>
      <c r="N40" s="8"/>
      <c r="O40" s="8"/>
      <c r="P40" s="8"/>
      <c r="Q40" s="8"/>
      <c r="R40" s="8"/>
    </row>
    <row r="41" spans="1:18" s="11" customFormat="1" ht="19.149999999999999" customHeight="1" x14ac:dyDescent="0.25">
      <c r="A41" s="151" t="s">
        <v>233</v>
      </c>
      <c r="B41" s="56" t="s">
        <v>377</v>
      </c>
      <c r="C41" s="57"/>
      <c r="D41" s="57"/>
      <c r="E41" s="57"/>
      <c r="F41" s="57"/>
      <c r="G41" s="57"/>
      <c r="H41" s="57"/>
      <c r="I41" s="226"/>
      <c r="N41" s="8"/>
      <c r="O41" s="8"/>
      <c r="P41" s="8"/>
      <c r="Q41" s="8"/>
      <c r="R41" s="8"/>
    </row>
    <row r="42" spans="1:18" s="11" customFormat="1" ht="19.149999999999999" customHeight="1" x14ac:dyDescent="0.25">
      <c r="A42" s="152"/>
      <c r="I42" s="227"/>
      <c r="N42" s="8"/>
      <c r="O42" s="8"/>
      <c r="P42" s="8"/>
      <c r="Q42" s="8"/>
      <c r="R42" s="8"/>
    </row>
    <row r="43" spans="1:18" s="11" customFormat="1" ht="19.149999999999999" customHeight="1" x14ac:dyDescent="0.25">
      <c r="A43" s="152"/>
      <c r="I43" s="227"/>
      <c r="N43" s="8"/>
      <c r="O43" s="8"/>
      <c r="P43" s="8"/>
      <c r="Q43" s="8"/>
      <c r="R43" s="8"/>
    </row>
    <row r="44" spans="1:18" s="11" customFormat="1" ht="19.149999999999999" customHeight="1" x14ac:dyDescent="0.25">
      <c r="A44" s="152"/>
      <c r="I44" s="227"/>
      <c r="N44" s="8"/>
      <c r="O44" s="8"/>
      <c r="P44" s="8"/>
      <c r="Q44" s="8"/>
      <c r="R44" s="8"/>
    </row>
    <row r="45" spans="1:18" s="11" customFormat="1" ht="19.149999999999999" customHeight="1" x14ac:dyDescent="0.25">
      <c r="A45" s="152"/>
      <c r="I45" s="227"/>
      <c r="N45" s="8"/>
      <c r="O45" s="8"/>
      <c r="P45" s="8"/>
      <c r="Q45" s="8"/>
      <c r="R45" s="8"/>
    </row>
    <row r="46" spans="1:18" s="11" customFormat="1" ht="19.149999999999999" customHeight="1" x14ac:dyDescent="0.25">
      <c r="A46" s="152"/>
      <c r="I46" s="227"/>
      <c r="N46" s="8"/>
      <c r="O46" s="8"/>
      <c r="P46" s="8"/>
      <c r="Q46" s="8"/>
      <c r="R46" s="8"/>
    </row>
    <row r="47" spans="1:18" s="11" customFormat="1" ht="19.149999999999999" customHeight="1" x14ac:dyDescent="0.25">
      <c r="A47" s="152"/>
      <c r="I47" s="227"/>
      <c r="N47" s="8"/>
      <c r="O47" s="8"/>
      <c r="P47" s="8"/>
      <c r="Q47" s="8"/>
      <c r="R47" s="8"/>
    </row>
    <row r="48" spans="1:18" s="11" customFormat="1" ht="19.149999999999999" customHeight="1" x14ac:dyDescent="0.25">
      <c r="A48" s="152"/>
      <c r="I48" s="227"/>
      <c r="N48" s="8"/>
      <c r="O48" s="8"/>
      <c r="P48" s="8"/>
      <c r="Q48" s="8"/>
      <c r="R48" s="8"/>
    </row>
    <row r="49" spans="1:18" s="11" customFormat="1" ht="19.149999999999999" customHeight="1" x14ac:dyDescent="0.25">
      <c r="A49" s="152"/>
      <c r="I49" s="227"/>
      <c r="N49" s="8"/>
      <c r="O49" s="8"/>
      <c r="P49" s="8"/>
      <c r="Q49" s="8"/>
      <c r="R49" s="8"/>
    </row>
    <row r="50" spans="1:18" s="11" customFormat="1" ht="19.149999999999999" customHeight="1" x14ac:dyDescent="0.25">
      <c r="A50" s="152"/>
      <c r="I50" s="227"/>
      <c r="N50" s="8"/>
      <c r="O50" s="8"/>
      <c r="P50" s="8"/>
      <c r="Q50" s="8"/>
      <c r="R50" s="8"/>
    </row>
    <row r="51" spans="1:18" s="11" customFormat="1" ht="19.149999999999999" customHeight="1" x14ac:dyDescent="0.25">
      <c r="A51" s="152"/>
      <c r="I51" s="227"/>
      <c r="N51" s="8"/>
      <c r="O51" s="8"/>
      <c r="P51" s="8"/>
      <c r="Q51" s="8"/>
      <c r="R51" s="8"/>
    </row>
    <row r="52" spans="1:18" s="11" customFormat="1" ht="19.149999999999999" customHeight="1" x14ac:dyDescent="0.25">
      <c r="A52" s="152"/>
      <c r="I52" s="227"/>
      <c r="N52" s="8"/>
      <c r="O52" s="8"/>
      <c r="P52" s="8"/>
      <c r="Q52" s="8"/>
      <c r="R52" s="8"/>
    </row>
    <row r="53" spans="1:18" s="11" customFormat="1" ht="19.149999999999999" customHeight="1" x14ac:dyDescent="0.25">
      <c r="A53" s="152"/>
      <c r="I53" s="227"/>
      <c r="N53" s="8"/>
      <c r="O53" s="8"/>
      <c r="P53" s="8"/>
      <c r="Q53" s="8"/>
      <c r="R53" s="8"/>
    </row>
    <row r="54" spans="1:18" s="11" customFormat="1" ht="19.149999999999999" customHeight="1" x14ac:dyDescent="0.25">
      <c r="A54" s="152"/>
      <c r="B54" s="11" t="s">
        <v>378</v>
      </c>
      <c r="I54" s="227"/>
      <c r="N54" s="8"/>
      <c r="O54" s="8"/>
      <c r="P54" s="8"/>
      <c r="Q54" s="8"/>
      <c r="R54" s="8"/>
    </row>
    <row r="55" spans="1:18" s="11" customFormat="1" ht="19.149999999999999" customHeight="1" x14ac:dyDescent="0.25">
      <c r="A55" s="152"/>
      <c r="B55" s="41" t="s">
        <v>412</v>
      </c>
      <c r="C55" s="331">
        <f>H6</f>
        <v>0.5</v>
      </c>
      <c r="D55" s="232" t="s">
        <v>9</v>
      </c>
      <c r="E55" s="41" t="s">
        <v>413</v>
      </c>
      <c r="F55" s="311">
        <f>0.5*C56</f>
        <v>0.27500000000000002</v>
      </c>
      <c r="G55" s="232" t="s">
        <v>9</v>
      </c>
      <c r="H55" s="231"/>
      <c r="I55" s="234"/>
      <c r="N55" s="8"/>
      <c r="O55" s="8"/>
      <c r="P55" s="8"/>
      <c r="Q55" s="8"/>
      <c r="R55" s="8"/>
    </row>
    <row r="56" spans="1:18" s="11" customFormat="1" ht="19.149999999999999" customHeight="1" x14ac:dyDescent="0.25">
      <c r="A56" s="152"/>
      <c r="B56" s="231" t="s">
        <v>379</v>
      </c>
      <c r="C56" s="322">
        <f>IF('Input Data'!H33=40,(H8-H6)/2,(H8-H6))</f>
        <v>0.55000000000000004</v>
      </c>
      <c r="D56" s="232" t="s">
        <v>9</v>
      </c>
      <c r="E56" s="41" t="s">
        <v>414</v>
      </c>
      <c r="F56" s="311">
        <f>2/3*C56</f>
        <v>0.3666666666666667</v>
      </c>
      <c r="G56" s="232" t="s">
        <v>9</v>
      </c>
      <c r="I56" s="227"/>
      <c r="N56" s="8"/>
      <c r="O56" s="8"/>
      <c r="P56" s="8"/>
      <c r="Q56" s="8"/>
      <c r="R56" s="8"/>
    </row>
    <row r="57" spans="1:18" s="11" customFormat="1" ht="19.149999999999999" customHeight="1" x14ac:dyDescent="0.25">
      <c r="A57" s="152"/>
      <c r="B57" s="231"/>
      <c r="C57" s="272"/>
      <c r="D57" s="232"/>
      <c r="E57" s="231" t="s">
        <v>380</v>
      </c>
      <c r="F57" s="311">
        <f>0.5*(C56)</f>
        <v>0.27500000000000002</v>
      </c>
      <c r="G57" s="232" t="s">
        <v>9</v>
      </c>
      <c r="I57" s="227"/>
      <c r="L57" s="237"/>
      <c r="N57" s="8"/>
      <c r="O57" s="8"/>
      <c r="P57" s="8"/>
      <c r="Q57" s="8"/>
      <c r="R57" s="8"/>
    </row>
    <row r="58" spans="1:18" s="11" customFormat="1" ht="19.149999999999999" customHeight="1" x14ac:dyDescent="0.25">
      <c r="A58" s="152"/>
      <c r="B58" s="231" t="s">
        <v>382</v>
      </c>
      <c r="C58" s="322">
        <f>C55+2*C56</f>
        <v>1.6</v>
      </c>
      <c r="D58" s="232" t="s">
        <v>9</v>
      </c>
      <c r="E58" s="231" t="s">
        <v>381</v>
      </c>
      <c r="F58" s="311">
        <f>F57</f>
        <v>0.27500000000000002</v>
      </c>
      <c r="G58" s="232" t="s">
        <v>9</v>
      </c>
      <c r="I58" s="227"/>
      <c r="N58" s="8"/>
      <c r="O58" s="8"/>
      <c r="P58" s="8"/>
      <c r="Q58" s="8"/>
      <c r="R58" s="8"/>
    </row>
    <row r="59" spans="1:18" s="11" customFormat="1" ht="19.149999999999999" customHeight="1" x14ac:dyDescent="0.25">
      <c r="A59" s="152"/>
      <c r="B59" s="231" t="s">
        <v>383</v>
      </c>
      <c r="C59" s="331">
        <f>H10</f>
        <v>0.4</v>
      </c>
      <c r="D59" s="232" t="s">
        <v>9</v>
      </c>
      <c r="E59" s="237"/>
      <c r="I59" s="227"/>
      <c r="K59" s="8"/>
      <c r="L59" s="8"/>
      <c r="M59" s="8"/>
      <c r="N59" s="8"/>
      <c r="O59" s="8"/>
    </row>
    <row r="60" spans="1:18" s="11" customFormat="1" ht="19.149999999999999" customHeight="1" x14ac:dyDescent="0.25">
      <c r="A60" s="152"/>
      <c r="I60" s="227"/>
      <c r="N60" s="8"/>
      <c r="O60" s="8"/>
      <c r="P60" s="8"/>
      <c r="Q60" s="8"/>
      <c r="R60" s="8"/>
    </row>
    <row r="61" spans="1:18" s="11" customFormat="1" ht="19.149999999999999" customHeight="1" x14ac:dyDescent="0.25">
      <c r="A61" s="317"/>
      <c r="B61" s="367" t="s">
        <v>384</v>
      </c>
      <c r="C61" s="320" t="s">
        <v>385</v>
      </c>
      <c r="D61" s="320"/>
      <c r="E61" s="320"/>
      <c r="F61" s="368" t="s">
        <v>395</v>
      </c>
      <c r="G61" s="367" t="s">
        <v>386</v>
      </c>
      <c r="H61" s="367" t="s">
        <v>387</v>
      </c>
      <c r="I61" s="227"/>
      <c r="M61" s="8"/>
      <c r="N61" s="8"/>
      <c r="O61" s="8"/>
    </row>
    <row r="62" spans="1:18" s="11" customFormat="1" ht="19.149999999999999" customHeight="1" x14ac:dyDescent="0.25">
      <c r="A62" s="317"/>
      <c r="B62" s="367"/>
      <c r="C62" s="319" t="s">
        <v>388</v>
      </c>
      <c r="D62" s="319" t="s">
        <v>389</v>
      </c>
      <c r="E62" s="319" t="s">
        <v>390</v>
      </c>
      <c r="F62" s="368"/>
      <c r="G62" s="367"/>
      <c r="H62" s="367"/>
      <c r="I62" s="227"/>
      <c r="M62" s="8"/>
      <c r="N62" s="8"/>
      <c r="O62" s="8"/>
    </row>
    <row r="63" spans="1:18" s="11" customFormat="1" ht="19.149999999999999" customHeight="1" x14ac:dyDescent="0.25">
      <c r="A63" s="317"/>
      <c r="B63" s="367"/>
      <c r="C63" s="319" t="s">
        <v>391</v>
      </c>
      <c r="D63" s="319" t="s">
        <v>391</v>
      </c>
      <c r="E63" s="319" t="s">
        <v>391</v>
      </c>
      <c r="F63" s="319"/>
      <c r="G63" s="319" t="s">
        <v>376</v>
      </c>
      <c r="H63" s="319" t="s">
        <v>392</v>
      </c>
      <c r="I63" s="227"/>
      <c r="M63" s="8"/>
      <c r="N63" s="8"/>
      <c r="O63" s="8"/>
    </row>
    <row r="64" spans="1:18" s="11" customFormat="1" ht="19.149999999999999" customHeight="1" x14ac:dyDescent="0.25">
      <c r="A64" s="317"/>
      <c r="B64" s="321" t="s">
        <v>393</v>
      </c>
      <c r="C64" s="322">
        <f>C56</f>
        <v>0.55000000000000004</v>
      </c>
      <c r="D64" s="322">
        <f>H10</f>
        <v>0.4</v>
      </c>
      <c r="E64" s="322">
        <f>H9</f>
        <v>1.6</v>
      </c>
      <c r="F64" s="322">
        <v>1.2</v>
      </c>
      <c r="G64" s="323">
        <f>C64*D64*E64*'Input Data'!H84*F64</f>
        <v>10.137600000000003</v>
      </c>
      <c r="H64" s="324">
        <f>G64*F57</f>
        <v>2.787840000000001</v>
      </c>
      <c r="I64" s="227"/>
      <c r="M64" s="8"/>
      <c r="N64" s="8"/>
      <c r="O64" s="8"/>
    </row>
    <row r="65" spans="1:18" s="11" customFormat="1" ht="19.149999999999999" customHeight="1" x14ac:dyDescent="0.25">
      <c r="A65" s="317"/>
      <c r="B65" s="321" t="s">
        <v>394</v>
      </c>
      <c r="C65" s="322">
        <f>C56</f>
        <v>0.55000000000000004</v>
      </c>
      <c r="D65" s="322">
        <f>ABS('Input Data'!H4)-'Input Data'!H32</f>
        <v>1.6</v>
      </c>
      <c r="E65" s="322">
        <f>E64</f>
        <v>1.6</v>
      </c>
      <c r="F65" s="322">
        <v>2</v>
      </c>
      <c r="G65" s="323">
        <f>C65*D65*E65*'Input Data'!H83*F65</f>
        <v>48.435200000000009</v>
      </c>
      <c r="H65" s="324">
        <f>G65*F58</f>
        <v>13.319680000000004</v>
      </c>
      <c r="I65" s="227"/>
      <c r="M65" s="8"/>
      <c r="N65" s="8"/>
      <c r="O65" s="8"/>
    </row>
    <row r="66" spans="1:18" s="11" customFormat="1" ht="19.149999999999999" customHeight="1" x14ac:dyDescent="0.25">
      <c r="A66" s="317"/>
      <c r="B66" s="305" t="s">
        <v>417</v>
      </c>
      <c r="C66" s="322">
        <f>C56</f>
        <v>0.55000000000000004</v>
      </c>
      <c r="D66" s="322">
        <f>H36</f>
        <v>135.46238281249998</v>
      </c>
      <c r="E66" s="322">
        <f>E65</f>
        <v>1.6</v>
      </c>
      <c r="F66" s="322">
        <v>2</v>
      </c>
      <c r="G66" s="323">
        <f>C66*D66*E66*F66</f>
        <v>238.41379374999997</v>
      </c>
      <c r="H66" s="324">
        <f>G66*F55</f>
        <v>65.56379328125</v>
      </c>
      <c r="I66" s="227"/>
      <c r="M66" s="8"/>
      <c r="N66" s="8"/>
      <c r="O66" s="8"/>
    </row>
    <row r="67" spans="1:18" s="11" customFormat="1" ht="19.149999999999999" customHeight="1" x14ac:dyDescent="0.25">
      <c r="A67" s="317"/>
      <c r="B67" s="305" t="s">
        <v>418</v>
      </c>
      <c r="C67" s="322">
        <f>C56</f>
        <v>0.55000000000000004</v>
      </c>
      <c r="D67" s="322">
        <f>H15-H36</f>
        <v>16.5966796875</v>
      </c>
      <c r="E67" s="322">
        <f>E66</f>
        <v>1.6</v>
      </c>
      <c r="F67" s="322">
        <v>2</v>
      </c>
      <c r="G67" s="323">
        <f>0.5*C67*D67*E67*F67</f>
        <v>14.605078125</v>
      </c>
      <c r="H67" s="324">
        <f>G67*F56</f>
        <v>5.3551953125000002</v>
      </c>
      <c r="I67" s="227"/>
      <c r="M67" s="8"/>
      <c r="N67" s="8"/>
      <c r="O67" s="8"/>
    </row>
    <row r="68" spans="1:18" s="11" customFormat="1" ht="19.149999999999999" customHeight="1" x14ac:dyDescent="0.25">
      <c r="B68" s="318"/>
      <c r="F68" s="325" t="s">
        <v>420</v>
      </c>
      <c r="G68" s="326">
        <f>SUM(G64:G67)</f>
        <v>311.59167187499997</v>
      </c>
      <c r="H68" s="327"/>
      <c r="I68" s="227"/>
      <c r="M68" s="8"/>
      <c r="N68" s="8"/>
      <c r="O68" s="8"/>
    </row>
    <row r="69" spans="1:18" s="11" customFormat="1" ht="19.149999999999999" customHeight="1" x14ac:dyDescent="0.25">
      <c r="A69" s="152"/>
      <c r="G69" s="328" t="s">
        <v>419</v>
      </c>
      <c r="H69" s="329">
        <f>H66+H67-H64-H65</f>
        <v>54.811468593749993</v>
      </c>
      <c r="I69" s="246"/>
      <c r="M69" s="8"/>
      <c r="N69" s="8"/>
      <c r="O69" s="8"/>
      <c r="P69" s="8"/>
    </row>
    <row r="70" spans="1:18" customFormat="1" ht="18.75" customHeight="1" x14ac:dyDescent="0.25">
      <c r="A70" s="152"/>
      <c r="I70" s="247"/>
    </row>
    <row r="71" spans="1:18" s="11" customFormat="1" ht="19.149999999999999" customHeight="1" x14ac:dyDescent="0.25">
      <c r="A71" s="151" t="s">
        <v>281</v>
      </c>
      <c r="B71" s="56" t="s">
        <v>396</v>
      </c>
      <c r="C71" s="57"/>
      <c r="D71" s="57"/>
      <c r="E71" s="57"/>
      <c r="F71" s="57"/>
      <c r="G71" s="57"/>
      <c r="H71" s="57"/>
      <c r="I71" s="226"/>
      <c r="N71" s="8"/>
      <c r="O71" s="8"/>
      <c r="P71" s="8"/>
      <c r="Q71" s="8"/>
      <c r="R71" s="8"/>
    </row>
    <row r="72" spans="1:18" s="11" customFormat="1" ht="19.149999999999999" customHeight="1" x14ac:dyDescent="0.25">
      <c r="A72" s="152"/>
      <c r="B72" s="173"/>
      <c r="I72" s="227"/>
      <c r="N72" s="8"/>
      <c r="O72" s="8"/>
      <c r="P72" s="8"/>
      <c r="Q72" s="8"/>
      <c r="R72" s="8"/>
    </row>
    <row r="73" spans="1:18" s="11" customFormat="1" ht="19.149999999999999" customHeight="1" x14ac:dyDescent="0.25">
      <c r="A73" s="152"/>
      <c r="B73" s="173"/>
      <c r="I73" s="227"/>
      <c r="N73" s="8"/>
      <c r="O73" s="8"/>
      <c r="P73" s="8"/>
      <c r="Q73" s="8"/>
      <c r="R73" s="8"/>
    </row>
    <row r="74" spans="1:18" s="11" customFormat="1" ht="19.149999999999999" customHeight="1" x14ac:dyDescent="0.25">
      <c r="A74" s="152"/>
      <c r="B74" s="173"/>
      <c r="I74" s="227"/>
      <c r="N74" s="8"/>
      <c r="O74" s="8"/>
      <c r="P74" s="8"/>
      <c r="Q74" s="8"/>
      <c r="R74" s="8"/>
    </row>
    <row r="75" spans="1:18" s="11" customFormat="1" ht="19.149999999999999" customHeight="1" x14ac:dyDescent="0.25">
      <c r="A75" s="152"/>
      <c r="B75" s="173"/>
      <c r="I75" s="227"/>
      <c r="N75" s="8"/>
      <c r="O75" s="8"/>
      <c r="P75" s="8"/>
      <c r="Q75" s="8"/>
      <c r="R75" s="8"/>
    </row>
    <row r="76" spans="1:18" s="11" customFormat="1" ht="19.149999999999999" customHeight="1" x14ac:dyDescent="0.25">
      <c r="A76" s="152"/>
      <c r="B76" s="173"/>
      <c r="I76" s="227"/>
      <c r="N76" s="8"/>
      <c r="O76" s="8"/>
      <c r="P76" s="8"/>
      <c r="Q76" s="8"/>
      <c r="R76" s="8"/>
    </row>
    <row r="77" spans="1:18" s="11" customFormat="1" ht="19.149999999999999" customHeight="1" x14ac:dyDescent="0.25">
      <c r="A77" s="152"/>
      <c r="B77" s="173"/>
      <c r="I77" s="227"/>
      <c r="N77" s="8"/>
      <c r="O77" s="8"/>
      <c r="P77" s="8"/>
      <c r="Q77" s="8"/>
      <c r="R77" s="8"/>
    </row>
    <row r="78" spans="1:18" s="11" customFormat="1" ht="19.149999999999999" customHeight="1" x14ac:dyDescent="0.25">
      <c r="A78" s="152"/>
      <c r="B78" s="173"/>
      <c r="I78" s="227"/>
      <c r="N78" s="8"/>
      <c r="O78" s="8"/>
      <c r="P78" s="8"/>
      <c r="Q78" s="8"/>
      <c r="R78" s="8"/>
    </row>
    <row r="79" spans="1:18" s="11" customFormat="1" ht="19.149999999999999" customHeight="1" x14ac:dyDescent="0.25">
      <c r="A79" s="152"/>
      <c r="B79" s="173"/>
      <c r="I79" s="227"/>
      <c r="N79" s="8"/>
      <c r="O79" s="8"/>
      <c r="P79" s="8"/>
      <c r="Q79" s="8"/>
      <c r="R79" s="8"/>
    </row>
    <row r="80" spans="1:18" s="11" customFormat="1" ht="19.149999999999999" customHeight="1" x14ac:dyDescent="0.25">
      <c r="A80" s="152"/>
      <c r="B80" s="173"/>
      <c r="I80" s="227"/>
      <c r="N80" s="8"/>
      <c r="O80" s="8"/>
      <c r="P80" s="8"/>
      <c r="Q80" s="8"/>
      <c r="R80" s="8"/>
    </row>
    <row r="81" spans="1:18" s="11" customFormat="1" ht="19.149999999999999" customHeight="1" x14ac:dyDescent="0.25">
      <c r="A81" s="152"/>
      <c r="B81" s="173"/>
      <c r="I81" s="227"/>
      <c r="N81" s="8"/>
      <c r="O81" s="8"/>
      <c r="P81" s="8"/>
      <c r="Q81" s="8"/>
      <c r="R81" s="8"/>
    </row>
    <row r="82" spans="1:18" s="11" customFormat="1" ht="19.149999999999999" customHeight="1" x14ac:dyDescent="0.25">
      <c r="A82" s="152"/>
      <c r="B82" s="173"/>
      <c r="I82" s="227"/>
      <c r="N82" s="8"/>
      <c r="O82" s="8"/>
      <c r="P82" s="8"/>
      <c r="Q82" s="8"/>
      <c r="R82" s="8"/>
    </row>
    <row r="83" spans="1:18" s="11" customFormat="1" ht="19.149999999999999" customHeight="1" x14ac:dyDescent="0.25">
      <c r="A83" s="152"/>
      <c r="B83" s="173"/>
      <c r="I83" s="227"/>
      <c r="N83" s="8"/>
      <c r="O83" s="8"/>
      <c r="P83" s="8"/>
      <c r="Q83" s="8"/>
      <c r="R83" s="8"/>
    </row>
    <row r="84" spans="1:18" ht="18.75" customHeight="1" x14ac:dyDescent="0.25">
      <c r="A84" s="152"/>
      <c r="B84" s="2" t="s">
        <v>110</v>
      </c>
      <c r="C84" s="2"/>
      <c r="D84" s="2"/>
      <c r="E84" s="2"/>
      <c r="G84" s="25" t="s">
        <v>292</v>
      </c>
      <c r="H84" s="332">
        <f>H31</f>
        <v>124</v>
      </c>
      <c r="I84" s="39" t="s">
        <v>0</v>
      </c>
    </row>
    <row r="85" spans="1:18" ht="18.75" customHeight="1" x14ac:dyDescent="0.25">
      <c r="A85" s="152"/>
      <c r="B85" s="2" t="s">
        <v>301</v>
      </c>
      <c r="C85" s="2"/>
      <c r="D85" s="2"/>
      <c r="E85" s="2"/>
      <c r="G85" s="25" t="s">
        <v>415</v>
      </c>
      <c r="H85" s="332">
        <f>H32</f>
        <v>276</v>
      </c>
      <c r="I85" s="39" t="s">
        <v>0</v>
      </c>
    </row>
    <row r="86" spans="1:18" ht="18.75" customHeight="1" x14ac:dyDescent="0.25">
      <c r="A86" s="152"/>
      <c r="B86" s="2" t="s">
        <v>372</v>
      </c>
      <c r="C86" s="2"/>
      <c r="D86" s="2"/>
      <c r="E86" s="2"/>
      <c r="G86" s="25" t="str">
        <f>IF('Input Data'!H33=20,"cy = Ly - wc - 0,5 * d =","cy = ( Ly - wc - d ) / 2 =")</f>
        <v>cy = ( Ly - wc - d ) / 2 =</v>
      </c>
      <c r="H86" s="332">
        <f>IF('Input Data'!H33=20,(H9-H7-0.5*H85/1000)*1000,(H9-H7-H85/1000)/2*1000)</f>
        <v>362</v>
      </c>
      <c r="I86" s="39" t="s">
        <v>0</v>
      </c>
      <c r="L86" s="25"/>
    </row>
    <row r="87" spans="1:18" ht="18.75" customHeight="1" x14ac:dyDescent="0.25">
      <c r="A87" s="152"/>
      <c r="B87" s="2" t="s">
        <v>373</v>
      </c>
      <c r="C87" s="2"/>
      <c r="D87" s="2"/>
      <c r="E87" s="2"/>
      <c r="G87" s="228" t="s">
        <v>422</v>
      </c>
      <c r="H87" s="332">
        <f>H86/1000*H8*H10*'Input Data'!H84</f>
        <v>5.5603200000000008</v>
      </c>
      <c r="I87" s="39" t="s">
        <v>114</v>
      </c>
      <c r="L87" s="25"/>
    </row>
    <row r="88" spans="1:18" ht="18.75" customHeight="1" x14ac:dyDescent="0.25">
      <c r="A88" s="152"/>
      <c r="B88" s="2" t="s">
        <v>374</v>
      </c>
      <c r="C88" s="2"/>
      <c r="D88" s="2"/>
      <c r="E88" s="2"/>
      <c r="G88" s="228" t="s">
        <v>397</v>
      </c>
      <c r="H88" s="332">
        <f>H86/1000*H8*(ABS('Input Data'!H4)-'Input Data'!H32)*'Input Data'!H83</f>
        <v>15.939584000000002</v>
      </c>
      <c r="I88" s="39" t="s">
        <v>114</v>
      </c>
    </row>
    <row r="89" spans="1:18" ht="18.75" customHeight="1" x14ac:dyDescent="0.25">
      <c r="A89" s="152"/>
      <c r="B89" s="2" t="s">
        <v>406</v>
      </c>
      <c r="C89" s="2"/>
      <c r="D89" s="2"/>
      <c r="E89" s="2"/>
      <c r="G89" s="25" t="s">
        <v>369</v>
      </c>
      <c r="H89" s="332">
        <f>H16+(H9-H86/1000)/H9*(H15-H16)</f>
        <v>137.47654296874998</v>
      </c>
      <c r="I89" s="39" t="s">
        <v>21</v>
      </c>
    </row>
    <row r="90" spans="1:18" ht="18.75" customHeight="1" x14ac:dyDescent="0.25">
      <c r="A90" s="152"/>
      <c r="B90" s="2" t="s">
        <v>407</v>
      </c>
      <c r="C90" s="2"/>
      <c r="D90" s="2"/>
      <c r="E90" s="2"/>
      <c r="G90" s="25" t="s">
        <v>423</v>
      </c>
      <c r="H90" s="332">
        <f>H89*H86/1000*H8</f>
        <v>79.626413687499991</v>
      </c>
      <c r="I90" s="39" t="s">
        <v>114</v>
      </c>
    </row>
    <row r="91" spans="1:18" ht="18.75" customHeight="1" x14ac:dyDescent="0.25">
      <c r="A91" s="152"/>
      <c r="B91" s="2" t="s">
        <v>409</v>
      </c>
      <c r="C91" s="2"/>
      <c r="D91" s="2"/>
      <c r="E91" s="2"/>
      <c r="G91" s="25" t="s">
        <v>424</v>
      </c>
      <c r="H91" s="332">
        <f>0.5*(H15-H89)*H86/1000*H8</f>
        <v>4.2230976562500002</v>
      </c>
      <c r="I91" s="39" t="s">
        <v>114</v>
      </c>
    </row>
    <row r="92" spans="1:18" s="11" customFormat="1" ht="19.149999999999999" customHeight="1" x14ac:dyDescent="0.25">
      <c r="A92" s="229"/>
      <c r="B92" s="2" t="s">
        <v>113</v>
      </c>
      <c r="C92" s="2"/>
      <c r="D92" s="2"/>
      <c r="E92" s="2"/>
      <c r="F92" s="1"/>
      <c r="G92" s="25" t="s">
        <v>411</v>
      </c>
      <c r="H92" s="332">
        <f>H90+H91-H87-H88</f>
        <v>62.349607343749987</v>
      </c>
      <c r="I92" s="39" t="s">
        <v>114</v>
      </c>
      <c r="N92" s="8"/>
      <c r="O92" s="8"/>
      <c r="P92" s="8"/>
      <c r="Q92" s="8"/>
      <c r="R92" s="8"/>
    </row>
    <row r="93" spans="1:18" s="11" customFormat="1" ht="19.149999999999999" customHeight="1" x14ac:dyDescent="0.25">
      <c r="A93" s="229"/>
      <c r="I93" s="227"/>
      <c r="N93" s="8"/>
      <c r="O93" s="8"/>
      <c r="P93" s="8"/>
      <c r="Q93" s="8"/>
      <c r="R93" s="8"/>
    </row>
    <row r="94" spans="1:18" s="11" customFormat="1" ht="19.149999999999999" customHeight="1" x14ac:dyDescent="0.25">
      <c r="A94" s="151" t="s">
        <v>441</v>
      </c>
      <c r="B94" s="56" t="s">
        <v>398</v>
      </c>
      <c r="C94" s="57"/>
      <c r="D94" s="57"/>
      <c r="E94" s="57"/>
      <c r="F94" s="57"/>
      <c r="G94" s="57"/>
      <c r="H94" s="57"/>
      <c r="I94" s="226"/>
      <c r="N94" s="8"/>
      <c r="O94" s="8"/>
      <c r="P94" s="8"/>
      <c r="Q94" s="8"/>
      <c r="R94" s="8"/>
    </row>
    <row r="95" spans="1:18" s="11" customFormat="1" ht="19.149999999999999" customHeight="1" x14ac:dyDescent="0.25">
      <c r="A95" s="152"/>
      <c r="I95" s="227"/>
      <c r="N95" s="8"/>
      <c r="O95" s="8"/>
      <c r="P95" s="8"/>
      <c r="Q95" s="8"/>
      <c r="R95" s="8"/>
    </row>
    <row r="96" spans="1:18" s="11" customFormat="1" ht="19.149999999999999" customHeight="1" x14ac:dyDescent="0.25">
      <c r="A96" s="152"/>
      <c r="I96" s="227"/>
      <c r="N96" s="8"/>
      <c r="O96" s="8"/>
      <c r="P96" s="8"/>
      <c r="Q96" s="8"/>
      <c r="R96" s="8"/>
    </row>
    <row r="97" spans="1:18" s="11" customFormat="1" ht="19.149999999999999" customHeight="1" x14ac:dyDescent="0.25">
      <c r="A97" s="152"/>
      <c r="I97" s="227"/>
      <c r="N97" s="8"/>
      <c r="O97" s="8"/>
      <c r="P97" s="8"/>
      <c r="Q97" s="8"/>
      <c r="R97" s="8"/>
    </row>
    <row r="98" spans="1:18" s="11" customFormat="1" ht="19.149999999999999" customHeight="1" x14ac:dyDescent="0.25">
      <c r="A98" s="152"/>
      <c r="I98" s="227"/>
      <c r="N98" s="8"/>
      <c r="O98" s="8"/>
      <c r="P98" s="8"/>
      <c r="Q98" s="8"/>
      <c r="R98" s="8"/>
    </row>
    <row r="99" spans="1:18" s="11" customFormat="1" ht="19.149999999999999" customHeight="1" x14ac:dyDescent="0.25">
      <c r="A99" s="152"/>
      <c r="I99" s="227"/>
      <c r="N99" s="8"/>
      <c r="O99" s="8"/>
      <c r="P99" s="8"/>
      <c r="Q99" s="8"/>
      <c r="R99" s="8"/>
    </row>
    <row r="100" spans="1:18" s="11" customFormat="1" ht="19.149999999999999" customHeight="1" x14ac:dyDescent="0.25">
      <c r="A100" s="152"/>
      <c r="I100" s="227"/>
      <c r="N100" s="8"/>
      <c r="O100" s="8"/>
      <c r="P100" s="8"/>
      <c r="Q100" s="8"/>
      <c r="R100" s="8"/>
    </row>
    <row r="101" spans="1:18" s="11" customFormat="1" ht="19.149999999999999" customHeight="1" x14ac:dyDescent="0.25">
      <c r="A101" s="152"/>
      <c r="I101" s="227"/>
      <c r="N101" s="8"/>
      <c r="O101" s="8"/>
      <c r="P101" s="8"/>
      <c r="Q101" s="8"/>
      <c r="R101" s="8"/>
    </row>
    <row r="102" spans="1:18" s="11" customFormat="1" ht="19.149999999999999" customHeight="1" x14ac:dyDescent="0.25">
      <c r="A102" s="152"/>
      <c r="I102" s="227"/>
      <c r="N102" s="8"/>
      <c r="O102" s="8"/>
      <c r="P102" s="8"/>
      <c r="Q102" s="8"/>
      <c r="R102" s="8"/>
    </row>
    <row r="103" spans="1:18" s="11" customFormat="1" ht="19.149999999999999" customHeight="1" x14ac:dyDescent="0.25">
      <c r="A103" s="152"/>
      <c r="I103" s="227"/>
      <c r="N103" s="8"/>
      <c r="O103" s="8"/>
      <c r="P103" s="8"/>
      <c r="Q103" s="8"/>
      <c r="R103" s="8"/>
    </row>
    <row r="104" spans="1:18" s="11" customFormat="1" ht="19.149999999999999" customHeight="1" x14ac:dyDescent="0.25">
      <c r="A104" s="152"/>
      <c r="I104" s="227"/>
      <c r="N104" s="8"/>
      <c r="O104" s="8"/>
      <c r="P104" s="8"/>
      <c r="Q104" s="8"/>
      <c r="R104" s="8"/>
    </row>
    <row r="105" spans="1:18" s="11" customFormat="1" ht="19.149999999999999" customHeight="1" x14ac:dyDescent="0.25">
      <c r="A105" s="152"/>
      <c r="I105" s="227"/>
      <c r="N105" s="8"/>
      <c r="O105" s="8"/>
      <c r="P105" s="8"/>
      <c r="Q105" s="8"/>
      <c r="R105" s="8"/>
    </row>
    <row r="106" spans="1:18" s="11" customFormat="1" ht="19.149999999999999" customHeight="1" x14ac:dyDescent="0.25">
      <c r="A106" s="152"/>
      <c r="I106" s="227"/>
      <c r="N106" s="8"/>
      <c r="O106" s="8"/>
      <c r="P106" s="8"/>
      <c r="Q106" s="8"/>
      <c r="R106" s="8"/>
    </row>
    <row r="107" spans="1:18" s="11" customFormat="1" ht="19.149999999999999" customHeight="1" x14ac:dyDescent="0.25">
      <c r="A107" s="152"/>
      <c r="B107" s="11" t="s">
        <v>378</v>
      </c>
      <c r="I107" s="227"/>
      <c r="N107" s="8"/>
      <c r="O107" s="8"/>
      <c r="P107" s="8"/>
      <c r="Q107" s="8"/>
      <c r="R107" s="8"/>
    </row>
    <row r="108" spans="1:18" s="11" customFormat="1" ht="19.149999999999999" customHeight="1" x14ac:dyDescent="0.25">
      <c r="A108" s="152"/>
      <c r="B108" s="41" t="s">
        <v>427</v>
      </c>
      <c r="C108" s="331">
        <f>H7</f>
        <v>0.6</v>
      </c>
      <c r="D108" s="232" t="s">
        <v>9</v>
      </c>
      <c r="E108" s="41" t="s">
        <v>428</v>
      </c>
      <c r="F108" s="311">
        <f>0.5*C109</f>
        <v>0.25</v>
      </c>
      <c r="G108" s="232" t="s">
        <v>9</v>
      </c>
      <c r="H108" s="231"/>
      <c r="I108" s="234"/>
      <c r="N108" s="8"/>
      <c r="O108" s="8"/>
      <c r="P108" s="8"/>
      <c r="Q108" s="8"/>
      <c r="R108" s="8"/>
    </row>
    <row r="109" spans="1:18" s="11" customFormat="1" ht="19.149999999999999" customHeight="1" x14ac:dyDescent="0.25">
      <c r="A109" s="152"/>
      <c r="B109" s="41" t="s">
        <v>399</v>
      </c>
      <c r="C109" s="322">
        <f>IF('Input Data'!H33=20,(H9-H7),0.5*(H9-H7))</f>
        <v>0.5</v>
      </c>
      <c r="D109" s="232" t="s">
        <v>9</v>
      </c>
      <c r="E109" s="41" t="s">
        <v>429</v>
      </c>
      <c r="F109" s="311">
        <f>2/3*C109</f>
        <v>0.33333333333333331</v>
      </c>
      <c r="G109" s="232" t="s">
        <v>9</v>
      </c>
      <c r="I109" s="227"/>
      <c r="N109" s="8"/>
      <c r="O109" s="8"/>
      <c r="P109" s="8"/>
      <c r="Q109" s="8"/>
      <c r="R109" s="8"/>
    </row>
    <row r="110" spans="1:18" s="11" customFormat="1" ht="19.149999999999999" customHeight="1" x14ac:dyDescent="0.25">
      <c r="A110" s="152"/>
      <c r="B110" s="231"/>
      <c r="C110" s="272"/>
      <c r="D110" s="232"/>
      <c r="E110" s="41" t="s">
        <v>400</v>
      </c>
      <c r="F110" s="311">
        <f>0.5*(C109)</f>
        <v>0.25</v>
      </c>
      <c r="G110" s="232" t="s">
        <v>9</v>
      </c>
      <c r="I110" s="227"/>
      <c r="L110" s="237"/>
      <c r="N110" s="8"/>
      <c r="O110" s="8"/>
      <c r="P110" s="8"/>
      <c r="Q110" s="8"/>
      <c r="R110" s="8"/>
    </row>
    <row r="111" spans="1:18" s="11" customFormat="1" ht="19.149999999999999" customHeight="1" x14ac:dyDescent="0.25">
      <c r="A111" s="152"/>
      <c r="B111" s="41" t="s">
        <v>402</v>
      </c>
      <c r="C111" s="322">
        <f>C108+2*C109</f>
        <v>1.6</v>
      </c>
      <c r="D111" s="232" t="s">
        <v>9</v>
      </c>
      <c r="E111" s="41" t="s">
        <v>401</v>
      </c>
      <c r="F111" s="311">
        <f>F110</f>
        <v>0.25</v>
      </c>
      <c r="G111" s="232" t="s">
        <v>9</v>
      </c>
      <c r="I111" s="227"/>
      <c r="N111" s="8"/>
      <c r="O111" s="8"/>
      <c r="P111" s="8"/>
      <c r="Q111" s="8"/>
      <c r="R111" s="8"/>
    </row>
    <row r="112" spans="1:18" s="11" customFormat="1" ht="19.149999999999999" customHeight="1" x14ac:dyDescent="0.25">
      <c r="A112" s="152"/>
      <c r="B112" s="231" t="s">
        <v>383</v>
      </c>
      <c r="C112" s="331">
        <f>C59</f>
        <v>0.4</v>
      </c>
      <c r="D112" s="232" t="s">
        <v>9</v>
      </c>
      <c r="E112" s="237"/>
      <c r="I112" s="227"/>
      <c r="K112" s="8"/>
      <c r="L112" s="8"/>
      <c r="M112" s="8"/>
      <c r="N112" s="8"/>
      <c r="O112" s="8"/>
    </row>
    <row r="113" spans="1:18" s="11" customFormat="1" ht="19.149999999999999" customHeight="1" x14ac:dyDescent="0.25">
      <c r="A113" s="152"/>
      <c r="I113" s="227"/>
      <c r="N113" s="8"/>
      <c r="O113" s="8"/>
      <c r="P113" s="8"/>
      <c r="Q113" s="8"/>
      <c r="R113" s="8"/>
    </row>
    <row r="114" spans="1:18" s="11" customFormat="1" ht="19.149999999999999" customHeight="1" x14ac:dyDescent="0.25">
      <c r="A114" s="152"/>
      <c r="B114" s="367" t="s">
        <v>384</v>
      </c>
      <c r="C114" s="320" t="s">
        <v>385</v>
      </c>
      <c r="D114" s="320"/>
      <c r="E114" s="320"/>
      <c r="F114" s="368" t="s">
        <v>395</v>
      </c>
      <c r="G114" s="367" t="s">
        <v>386</v>
      </c>
      <c r="H114" s="367" t="s">
        <v>387</v>
      </c>
      <c r="I114" s="227"/>
      <c r="M114" s="8"/>
      <c r="N114" s="8"/>
      <c r="O114" s="8"/>
    </row>
    <row r="115" spans="1:18" s="11" customFormat="1" ht="19.149999999999999" customHeight="1" x14ac:dyDescent="0.25">
      <c r="A115" s="152"/>
      <c r="B115" s="367"/>
      <c r="C115" s="319" t="s">
        <v>403</v>
      </c>
      <c r="D115" s="319" t="s">
        <v>389</v>
      </c>
      <c r="E115" s="319" t="s">
        <v>404</v>
      </c>
      <c r="F115" s="368"/>
      <c r="G115" s="367"/>
      <c r="H115" s="367"/>
      <c r="I115" s="227"/>
      <c r="M115" s="8"/>
      <c r="N115" s="8"/>
      <c r="O115" s="8"/>
    </row>
    <row r="116" spans="1:18" s="11" customFormat="1" ht="19.149999999999999" customHeight="1" x14ac:dyDescent="0.25">
      <c r="A116" s="152"/>
      <c r="B116" s="367"/>
      <c r="C116" s="319" t="s">
        <v>391</v>
      </c>
      <c r="D116" s="319" t="s">
        <v>391</v>
      </c>
      <c r="E116" s="319" t="s">
        <v>391</v>
      </c>
      <c r="F116" s="319"/>
      <c r="G116" s="319" t="s">
        <v>376</v>
      </c>
      <c r="H116" s="319" t="s">
        <v>392</v>
      </c>
      <c r="I116" s="227"/>
      <c r="M116" s="8"/>
      <c r="N116" s="8"/>
      <c r="O116" s="8"/>
    </row>
    <row r="117" spans="1:18" s="11" customFormat="1" ht="19.149999999999999" customHeight="1" x14ac:dyDescent="0.25">
      <c r="A117" s="152"/>
      <c r="B117" s="321" t="s">
        <v>393</v>
      </c>
      <c r="C117" s="322">
        <f>C109</f>
        <v>0.5</v>
      </c>
      <c r="D117" s="322">
        <f>C112</f>
        <v>0.4</v>
      </c>
      <c r="E117" s="322">
        <f>H8</f>
        <v>1.6</v>
      </c>
      <c r="F117" s="322">
        <v>1.2</v>
      </c>
      <c r="G117" s="323">
        <f>C117*D117*E117*'Input Data'!H84*F117</f>
        <v>9.2160000000000011</v>
      </c>
      <c r="H117" s="324">
        <f>G117*F110</f>
        <v>2.3040000000000003</v>
      </c>
      <c r="I117" s="227"/>
      <c r="M117" s="8"/>
      <c r="N117" s="8"/>
      <c r="O117" s="8"/>
    </row>
    <row r="118" spans="1:18" s="11" customFormat="1" ht="19.149999999999999" customHeight="1" x14ac:dyDescent="0.25">
      <c r="A118" s="152"/>
      <c r="B118" s="321" t="s">
        <v>394</v>
      </c>
      <c r="C118" s="322">
        <f>C109</f>
        <v>0.5</v>
      </c>
      <c r="D118" s="322">
        <f>ABS('Input Data'!H4)-'Input Data'!H32</f>
        <v>1.6</v>
      </c>
      <c r="E118" s="322">
        <f>E117</f>
        <v>1.6</v>
      </c>
      <c r="F118" s="322">
        <v>2</v>
      </c>
      <c r="G118" s="323">
        <f>C118*D118*E118*'Input Data'!H83*F118</f>
        <v>44.032000000000004</v>
      </c>
      <c r="H118" s="324">
        <f>G118*F111</f>
        <v>11.008000000000001</v>
      </c>
      <c r="I118" s="227"/>
      <c r="M118" s="8"/>
      <c r="N118" s="8"/>
      <c r="O118" s="8"/>
    </row>
    <row r="119" spans="1:18" s="11" customFormat="1" ht="19.149999999999999" customHeight="1" x14ac:dyDescent="0.25">
      <c r="A119" s="152"/>
      <c r="B119" s="305" t="s">
        <v>417</v>
      </c>
      <c r="C119" s="322">
        <f>C109</f>
        <v>0.5</v>
      </c>
      <c r="D119" s="322">
        <f>H89</f>
        <v>137.47654296874998</v>
      </c>
      <c r="E119" s="322">
        <f>E118</f>
        <v>1.6</v>
      </c>
      <c r="F119" s="322">
        <v>2</v>
      </c>
      <c r="G119" s="323">
        <f>C119*D119*E119*F119</f>
        <v>219.96246874999997</v>
      </c>
      <c r="H119" s="324">
        <f>G119*F108</f>
        <v>54.990617187499993</v>
      </c>
      <c r="I119" s="227"/>
      <c r="M119" s="8"/>
      <c r="N119" s="8"/>
      <c r="O119" s="8"/>
    </row>
    <row r="120" spans="1:18" s="11" customFormat="1" ht="19.149999999999999" customHeight="1" x14ac:dyDescent="0.25">
      <c r="A120" s="152"/>
      <c r="B120" s="305" t="s">
        <v>418</v>
      </c>
      <c r="C120" s="322">
        <f>C109</f>
        <v>0.5</v>
      </c>
      <c r="D120" s="322">
        <f>H15-H89</f>
        <v>14.58251953125</v>
      </c>
      <c r="E120" s="322">
        <f>E119</f>
        <v>1.6</v>
      </c>
      <c r="F120" s="322">
        <v>2</v>
      </c>
      <c r="G120" s="323">
        <f>0.5*C120*D120*E120*F120</f>
        <v>11.666015625</v>
      </c>
      <c r="H120" s="324">
        <f>G120*F109</f>
        <v>3.888671875</v>
      </c>
      <c r="I120" s="227"/>
      <c r="M120" s="8"/>
      <c r="N120" s="8"/>
      <c r="O120" s="8"/>
    </row>
    <row r="121" spans="1:18" s="11" customFormat="1" ht="19.149999999999999" customHeight="1" x14ac:dyDescent="0.25">
      <c r="B121" s="318"/>
      <c r="F121" s="333" t="s">
        <v>420</v>
      </c>
      <c r="G121" s="326">
        <f>SUM(G117:G120)</f>
        <v>284.87648437499996</v>
      </c>
      <c r="H121" s="327"/>
      <c r="I121" s="227"/>
      <c r="M121" s="8"/>
      <c r="N121" s="8"/>
      <c r="O121" s="8"/>
    </row>
    <row r="122" spans="1:18" s="11" customFormat="1" ht="19.149999999999999" customHeight="1" x14ac:dyDescent="0.25">
      <c r="A122" s="152"/>
      <c r="G122" s="334" t="s">
        <v>419</v>
      </c>
      <c r="H122" s="329">
        <f>H119+H120-H117-H118</f>
        <v>45.567289062499988</v>
      </c>
      <c r="I122" s="246"/>
      <c r="M122" s="8"/>
      <c r="N122" s="8"/>
      <c r="O122" s="8"/>
      <c r="P122" s="8"/>
    </row>
    <row r="123" spans="1:18" customFormat="1" ht="18.75" customHeight="1" x14ac:dyDescent="0.25">
      <c r="A123" s="152"/>
      <c r="I123" s="247"/>
    </row>
    <row r="124" spans="1:18" ht="18.75" customHeight="1" x14ac:dyDescent="0.25">
      <c r="A124" s="151" t="s">
        <v>442</v>
      </c>
      <c r="B124" s="63" t="s">
        <v>137</v>
      </c>
      <c r="C124" s="113"/>
      <c r="D124" s="113"/>
      <c r="E124" s="113"/>
      <c r="F124" s="113"/>
      <c r="G124" s="113"/>
      <c r="H124" s="113"/>
      <c r="I124" s="66"/>
      <c r="J124" s="2"/>
      <c r="K124" s="2"/>
      <c r="L124" s="2"/>
      <c r="M124" s="2"/>
    </row>
    <row r="125" spans="1:18" ht="18.75" customHeight="1" x14ac:dyDescent="0.25">
      <c r="A125" s="152"/>
      <c r="B125" s="2" t="s">
        <v>113</v>
      </c>
      <c r="C125" s="2"/>
      <c r="D125" s="2"/>
      <c r="F125" s="2"/>
      <c r="G125" s="25" t="s">
        <v>405</v>
      </c>
      <c r="H125" s="30">
        <f>H39</f>
        <v>70.297564374999979</v>
      </c>
      <c r="I125" s="39" t="s">
        <v>114</v>
      </c>
      <c r="J125" s="2"/>
      <c r="K125" s="2"/>
      <c r="L125" s="2"/>
      <c r="M125" s="2"/>
    </row>
    <row r="126" spans="1:18" ht="18.75" customHeight="1" x14ac:dyDescent="0.25">
      <c r="A126" s="152"/>
      <c r="B126" s="2" t="s">
        <v>115</v>
      </c>
      <c r="C126" s="2"/>
      <c r="D126" s="2"/>
      <c r="E126" s="2"/>
      <c r="F126" s="2"/>
      <c r="G126" s="25" t="s">
        <v>364</v>
      </c>
      <c r="H126" s="160">
        <f>H9*1000</f>
        <v>1600</v>
      </c>
      <c r="I126" s="39" t="s">
        <v>0</v>
      </c>
      <c r="J126" s="2"/>
      <c r="K126" s="2"/>
      <c r="L126" s="2"/>
      <c r="M126" s="2"/>
    </row>
    <row r="127" spans="1:18" ht="18.75" customHeight="1" x14ac:dyDescent="0.25">
      <c r="A127" s="152"/>
      <c r="B127" s="2" t="s">
        <v>116</v>
      </c>
      <c r="C127" s="2"/>
      <c r="D127" s="2"/>
      <c r="E127" s="2"/>
      <c r="F127" s="2"/>
      <c r="G127" s="25" t="s">
        <v>117</v>
      </c>
      <c r="H127" s="160">
        <f>H32</f>
        <v>276</v>
      </c>
      <c r="I127" s="39" t="s">
        <v>0</v>
      </c>
      <c r="J127" s="2"/>
      <c r="K127" s="2"/>
      <c r="L127" s="2"/>
      <c r="M127" s="2"/>
    </row>
    <row r="128" spans="1:18" ht="18.75" customHeight="1" x14ac:dyDescent="0.25">
      <c r="A128" s="152"/>
      <c r="B128" s="2" t="s">
        <v>118</v>
      </c>
      <c r="C128" s="2"/>
      <c r="D128" s="2"/>
      <c r="E128" s="2"/>
      <c r="F128" s="2"/>
      <c r="G128" s="25" t="s">
        <v>365</v>
      </c>
      <c r="H128" s="109">
        <f>MAX(H8:H9)/MIN(H8:H9)</f>
        <v>1</v>
      </c>
      <c r="I128" s="39"/>
      <c r="J128" s="2"/>
      <c r="K128" s="2"/>
      <c r="L128" s="2"/>
      <c r="M128" s="2"/>
    </row>
    <row r="129" spans="1:13" ht="18.75" customHeight="1" x14ac:dyDescent="0.25">
      <c r="A129" s="152"/>
      <c r="C129" s="2"/>
      <c r="D129" s="2"/>
      <c r="E129" s="2"/>
      <c r="F129" s="2"/>
      <c r="H129" s="165"/>
      <c r="I129" s="39"/>
      <c r="J129" s="2"/>
      <c r="K129" s="2"/>
      <c r="L129" s="2"/>
      <c r="M129" s="2"/>
    </row>
    <row r="130" spans="1:13" ht="18.75" customHeight="1" x14ac:dyDescent="0.25">
      <c r="A130" s="152"/>
      <c r="B130" s="2" t="s">
        <v>346</v>
      </c>
      <c r="C130" s="2"/>
      <c r="D130" s="2"/>
      <c r="E130" s="2"/>
      <c r="F130" s="2"/>
      <c r="G130" s="25" t="s">
        <v>145</v>
      </c>
      <c r="H130" s="30">
        <f>(1+2/H128)*SQRT(H4)*H126*H127/6*0.001</f>
        <v>1209.3714069714067</v>
      </c>
      <c r="I130" s="39" t="s">
        <v>5</v>
      </c>
      <c r="J130" s="2"/>
      <c r="K130" s="2"/>
      <c r="L130" s="2"/>
      <c r="M130" s="2"/>
    </row>
    <row r="131" spans="1:13" ht="18.75" customHeight="1" x14ac:dyDescent="0.25">
      <c r="A131" s="152"/>
      <c r="B131" s="2"/>
      <c r="C131" s="2"/>
      <c r="D131" s="2"/>
      <c r="E131" s="2"/>
      <c r="F131" s="2"/>
      <c r="G131" s="25" t="s">
        <v>146</v>
      </c>
      <c r="H131" s="30">
        <f>('Input Data'!H33*H127/H126+2)*SQRT(H4)*H126*H127/12*0.001</f>
        <v>1793.90092034092</v>
      </c>
      <c r="I131" s="39" t="s">
        <v>5</v>
      </c>
      <c r="J131" s="2"/>
      <c r="K131" s="2"/>
      <c r="L131" s="2"/>
      <c r="M131" s="2"/>
    </row>
    <row r="132" spans="1:13" ht="18.75" customHeight="1" x14ac:dyDescent="0.25">
      <c r="A132" s="152"/>
      <c r="B132" s="2"/>
      <c r="C132" s="2"/>
      <c r="D132" s="2"/>
      <c r="E132" s="2"/>
      <c r="F132" s="2"/>
      <c r="G132" s="25" t="s">
        <v>132</v>
      </c>
      <c r="H132" s="30">
        <f>1/3*SQRT(H4)*H126*H127*0.001</f>
        <v>806.24760464760436</v>
      </c>
      <c r="I132" s="39" t="s">
        <v>5</v>
      </c>
      <c r="J132" s="2"/>
      <c r="K132" s="2"/>
      <c r="L132" s="2"/>
      <c r="M132" s="2"/>
    </row>
    <row r="133" spans="1:13" ht="18.75" customHeight="1" x14ac:dyDescent="0.25">
      <c r="A133" s="152"/>
      <c r="B133" s="2" t="s">
        <v>302</v>
      </c>
      <c r="C133" s="2"/>
      <c r="D133" s="2"/>
      <c r="E133" s="2"/>
      <c r="F133" s="162" t="s">
        <v>3</v>
      </c>
      <c r="G133" s="25" t="s">
        <v>133</v>
      </c>
      <c r="H133" s="30">
        <f>MIN(H130:H132)</f>
        <v>806.24760464760436</v>
      </c>
      <c r="I133" s="39" t="s">
        <v>5</v>
      </c>
      <c r="J133" s="2"/>
      <c r="K133" s="2"/>
      <c r="L133" s="2"/>
      <c r="M133" s="2"/>
    </row>
    <row r="134" spans="1:13" ht="18.75" customHeight="1" x14ac:dyDescent="0.25">
      <c r="A134" s="152"/>
      <c r="B134" s="2" t="s">
        <v>119</v>
      </c>
      <c r="C134" s="2"/>
      <c r="D134" s="2"/>
      <c r="E134" s="2"/>
      <c r="F134" s="2"/>
      <c r="G134" s="25" t="s">
        <v>295</v>
      </c>
      <c r="H134" s="163">
        <v>0.75</v>
      </c>
      <c r="I134" s="39"/>
      <c r="J134" s="2"/>
      <c r="K134" s="2"/>
      <c r="L134" s="2"/>
      <c r="M134" s="2"/>
    </row>
    <row r="135" spans="1:13" ht="18.75" customHeight="1" x14ac:dyDescent="0.25">
      <c r="A135" s="152"/>
      <c r="B135" s="2" t="s">
        <v>300</v>
      </c>
      <c r="C135" s="2"/>
      <c r="D135" s="2"/>
      <c r="E135" s="2"/>
      <c r="F135" s="2"/>
      <c r="G135" s="25" t="s">
        <v>296</v>
      </c>
      <c r="H135" s="30">
        <f>H134*H133</f>
        <v>604.68570348570324</v>
      </c>
      <c r="I135" s="39" t="s">
        <v>5</v>
      </c>
      <c r="J135" s="2"/>
      <c r="K135" s="2"/>
      <c r="L135" s="2"/>
      <c r="M135" s="2"/>
    </row>
    <row r="136" spans="1:13" ht="18.75" customHeight="1" x14ac:dyDescent="0.25">
      <c r="A136" s="152"/>
      <c r="B136" s="2" t="s">
        <v>303</v>
      </c>
      <c r="C136" s="2"/>
      <c r="F136" s="168"/>
      <c r="I136" s="39"/>
      <c r="J136" s="2"/>
      <c r="K136" s="2"/>
      <c r="L136" s="2"/>
      <c r="M136" s="2"/>
    </row>
    <row r="137" spans="1:13" ht="18.75" customHeight="1" x14ac:dyDescent="0.25">
      <c r="A137" s="152"/>
      <c r="B137" s="2"/>
      <c r="C137" s="2" t="s">
        <v>4</v>
      </c>
      <c r="D137" s="114" t="s">
        <v>297</v>
      </c>
      <c r="E137" s="114" t="s">
        <v>120</v>
      </c>
      <c r="F137" s="114" t="s">
        <v>134</v>
      </c>
      <c r="G137" s="2"/>
      <c r="I137" s="40"/>
      <c r="J137" s="2"/>
      <c r="K137" s="2"/>
      <c r="L137" s="2"/>
      <c r="M137" s="2"/>
    </row>
    <row r="138" spans="1:13" ht="18.75" customHeight="1" x14ac:dyDescent="0.25">
      <c r="A138" s="152"/>
      <c r="B138" s="2"/>
      <c r="D138" s="29">
        <f>H135</f>
        <v>604.68570348570324</v>
      </c>
      <c r="E138" s="114" t="str">
        <f>IF(D138&gt;F138,"&gt;","&lt;")</f>
        <v>&gt;</v>
      </c>
      <c r="F138" s="29">
        <f>H125</f>
        <v>70.297564374999979</v>
      </c>
      <c r="G138" s="162" t="s">
        <v>3</v>
      </c>
      <c r="H138" s="168" t="str">
        <f>IF(D138&gt;F138,"[ AMAN (OK) ]","[ TDK AMAN (NG) ]")</f>
        <v>[ AMAN (OK) ]</v>
      </c>
      <c r="I138" s="40"/>
      <c r="J138" s="2"/>
      <c r="K138" s="2"/>
      <c r="L138" s="2"/>
      <c r="M138" s="2"/>
    </row>
    <row r="139" spans="1:13" ht="18.75" customHeight="1" x14ac:dyDescent="0.25">
      <c r="A139" s="152"/>
      <c r="B139" s="2"/>
      <c r="C139" s="2"/>
      <c r="D139" s="2"/>
      <c r="E139" s="2"/>
      <c r="F139" s="2"/>
      <c r="I139" s="40"/>
      <c r="J139" s="2"/>
      <c r="K139" s="2"/>
      <c r="L139" s="2"/>
      <c r="M139" s="2"/>
    </row>
    <row r="140" spans="1:13" ht="18.75" customHeight="1" x14ac:dyDescent="0.25">
      <c r="A140" s="151" t="s">
        <v>443</v>
      </c>
      <c r="B140" s="63" t="s">
        <v>153</v>
      </c>
      <c r="C140" s="113"/>
      <c r="D140" s="113"/>
      <c r="E140" s="113"/>
      <c r="F140" s="113"/>
      <c r="G140" s="115"/>
      <c r="H140" s="116"/>
      <c r="I140" s="66"/>
      <c r="J140" s="2"/>
      <c r="K140" s="2"/>
      <c r="L140" s="2"/>
      <c r="M140" s="2"/>
    </row>
    <row r="141" spans="1:13" ht="18.75" customHeight="1" x14ac:dyDescent="0.25">
      <c r="A141" s="152"/>
      <c r="B141" s="2" t="s">
        <v>121</v>
      </c>
      <c r="C141" s="2"/>
      <c r="D141" s="2"/>
      <c r="F141" s="2"/>
      <c r="G141" s="25" t="s">
        <v>421</v>
      </c>
      <c r="H141" s="30">
        <f>H92</f>
        <v>62.349607343749987</v>
      </c>
      <c r="I141" s="39" t="s">
        <v>114</v>
      </c>
      <c r="J141" s="2"/>
      <c r="K141" s="2"/>
      <c r="L141" s="2"/>
      <c r="M141" s="2"/>
    </row>
    <row r="142" spans="1:13" ht="18.75" customHeight="1" x14ac:dyDescent="0.25">
      <c r="A142" s="152"/>
      <c r="B142" s="2" t="s">
        <v>122</v>
      </c>
      <c r="C142" s="2"/>
      <c r="D142" s="2"/>
      <c r="E142" s="2"/>
      <c r="F142" s="2"/>
      <c r="G142" s="25" t="s">
        <v>366</v>
      </c>
      <c r="H142" s="160">
        <f>H8*1000</f>
        <v>1600</v>
      </c>
      <c r="I142" s="39" t="s">
        <v>0</v>
      </c>
      <c r="J142" s="2"/>
      <c r="K142" s="2"/>
      <c r="L142" s="2"/>
      <c r="M142" s="2"/>
    </row>
    <row r="143" spans="1:13" ht="18.75" customHeight="1" x14ac:dyDescent="0.25">
      <c r="A143" s="152"/>
      <c r="B143" s="2" t="s">
        <v>116</v>
      </c>
      <c r="C143" s="2"/>
      <c r="D143" s="2"/>
      <c r="E143" s="2"/>
      <c r="F143" s="2"/>
      <c r="G143" s="25" t="s">
        <v>117</v>
      </c>
      <c r="H143" s="160">
        <f>H127</f>
        <v>276</v>
      </c>
      <c r="I143" s="39" t="s">
        <v>0</v>
      </c>
      <c r="J143" s="2"/>
      <c r="K143" s="2"/>
      <c r="L143" s="2"/>
      <c r="M143" s="2"/>
    </row>
    <row r="144" spans="1:13" ht="18.75" customHeight="1" x14ac:dyDescent="0.25">
      <c r="A144" s="152"/>
      <c r="B144" s="2" t="s">
        <v>118</v>
      </c>
      <c r="C144" s="2"/>
      <c r="D144" s="2"/>
      <c r="E144" s="2"/>
      <c r="F144" s="2"/>
      <c r="G144" s="25" t="s">
        <v>365</v>
      </c>
      <c r="H144" s="109">
        <f>H128</f>
        <v>1</v>
      </c>
      <c r="I144" s="39"/>
      <c r="J144" s="2"/>
      <c r="K144" s="2"/>
      <c r="L144" s="2"/>
      <c r="M144" s="2"/>
    </row>
    <row r="145" spans="1:13" ht="18.75" customHeight="1" x14ac:dyDescent="0.25">
      <c r="A145" s="152"/>
      <c r="C145" s="2"/>
      <c r="D145" s="2"/>
      <c r="E145" s="2"/>
      <c r="F145" s="2"/>
      <c r="H145" s="161"/>
      <c r="I145" s="39"/>
      <c r="J145" s="2"/>
      <c r="K145" s="2"/>
      <c r="L145" s="2"/>
      <c r="M145" s="2"/>
    </row>
    <row r="146" spans="1:13" ht="18.75" customHeight="1" x14ac:dyDescent="0.25">
      <c r="A146" s="152"/>
      <c r="B146" s="2" t="s">
        <v>347</v>
      </c>
      <c r="C146" s="2"/>
      <c r="D146" s="2"/>
      <c r="E146" s="2"/>
      <c r="F146" s="2"/>
      <c r="G146" s="25" t="s">
        <v>145</v>
      </c>
      <c r="H146" s="30">
        <f>(1+2/H144)*SQRT(H4)*H142*H143/6*0.001</f>
        <v>1209.3714069714067</v>
      </c>
      <c r="I146" s="39" t="s">
        <v>5</v>
      </c>
      <c r="J146" s="2"/>
      <c r="K146" s="2"/>
      <c r="L146" s="2"/>
      <c r="M146" s="2"/>
    </row>
    <row r="147" spans="1:13" ht="18.75" customHeight="1" x14ac:dyDescent="0.25">
      <c r="A147" s="152"/>
      <c r="B147" s="2"/>
      <c r="C147" s="2"/>
      <c r="D147" s="2"/>
      <c r="E147" s="2"/>
      <c r="F147" s="2"/>
      <c r="G147" s="25" t="s">
        <v>146</v>
      </c>
      <c r="H147" s="30">
        <f>('Input Data'!H33*H143/H142+2)*SQRT(H4)*H142*H143/12*0.001</f>
        <v>1793.90092034092</v>
      </c>
      <c r="I147" s="39" t="s">
        <v>5</v>
      </c>
      <c r="J147" s="2"/>
      <c r="K147" s="2"/>
      <c r="L147" s="2"/>
      <c r="M147" s="2"/>
    </row>
    <row r="148" spans="1:13" ht="18.75" customHeight="1" x14ac:dyDescent="0.25">
      <c r="A148" s="152"/>
      <c r="B148" s="2"/>
      <c r="C148" s="2"/>
      <c r="D148" s="2"/>
      <c r="E148" s="2"/>
      <c r="F148" s="2"/>
      <c r="G148" s="25" t="s">
        <v>132</v>
      </c>
      <c r="H148" s="30">
        <f>1/3*SQRT(H4)*H142*H143*0.001</f>
        <v>806.24760464760436</v>
      </c>
      <c r="I148" s="39" t="s">
        <v>5</v>
      </c>
      <c r="J148" s="2"/>
      <c r="K148" s="2"/>
      <c r="L148" s="2"/>
      <c r="M148" s="2"/>
    </row>
    <row r="149" spans="1:13" ht="18.75" customHeight="1" x14ac:dyDescent="0.25">
      <c r="A149" s="152"/>
      <c r="B149" s="2" t="s">
        <v>302</v>
      </c>
      <c r="C149" s="2"/>
      <c r="D149" s="2"/>
      <c r="E149" s="2"/>
      <c r="F149" s="162" t="s">
        <v>3</v>
      </c>
      <c r="G149" s="25" t="s">
        <v>133</v>
      </c>
      <c r="H149" s="30">
        <f>MIN(H146:H148)</f>
        <v>806.24760464760436</v>
      </c>
      <c r="I149" s="39" t="s">
        <v>5</v>
      </c>
      <c r="J149" s="2"/>
      <c r="K149" s="2"/>
      <c r="L149" s="2"/>
      <c r="M149" s="2"/>
    </row>
    <row r="150" spans="1:13" ht="18.75" customHeight="1" x14ac:dyDescent="0.25">
      <c r="A150" s="152"/>
      <c r="B150" s="2" t="s">
        <v>119</v>
      </c>
      <c r="C150" s="2"/>
      <c r="D150" s="2"/>
      <c r="E150" s="2"/>
      <c r="F150" s="2"/>
      <c r="G150" s="25" t="s">
        <v>295</v>
      </c>
      <c r="H150" s="163">
        <v>0.75</v>
      </c>
      <c r="I150" s="39"/>
      <c r="J150" s="2"/>
      <c r="K150" s="2"/>
      <c r="L150" s="2"/>
      <c r="M150" s="2"/>
    </row>
    <row r="151" spans="1:13" ht="18.75" customHeight="1" x14ac:dyDescent="0.25">
      <c r="A151" s="152"/>
      <c r="B151" s="2" t="s">
        <v>300</v>
      </c>
      <c r="C151" s="2"/>
      <c r="D151" s="2"/>
      <c r="E151" s="2"/>
      <c r="F151" s="2"/>
      <c r="G151" s="25" t="s">
        <v>296</v>
      </c>
      <c r="H151" s="30">
        <f>H150*H149</f>
        <v>604.68570348570324</v>
      </c>
      <c r="I151" s="39" t="s">
        <v>5</v>
      </c>
      <c r="J151" s="2"/>
      <c r="K151" s="2"/>
      <c r="L151" s="2"/>
      <c r="M151" s="2"/>
    </row>
    <row r="152" spans="1:13" ht="18.75" customHeight="1" x14ac:dyDescent="0.25">
      <c r="A152" s="152"/>
      <c r="B152" s="2" t="s">
        <v>304</v>
      </c>
      <c r="C152" s="2"/>
      <c r="F152" s="164"/>
      <c r="I152" s="39"/>
      <c r="J152" s="2"/>
      <c r="K152" s="2"/>
      <c r="L152" s="2"/>
      <c r="M152" s="2"/>
    </row>
    <row r="153" spans="1:13" ht="18.75" customHeight="1" x14ac:dyDescent="0.25">
      <c r="A153" s="152"/>
      <c r="B153" s="2"/>
      <c r="C153" s="1" t="s">
        <v>4</v>
      </c>
      <c r="D153" s="114" t="s">
        <v>297</v>
      </c>
      <c r="E153" s="114" t="s">
        <v>120</v>
      </c>
      <c r="F153" s="114" t="s">
        <v>134</v>
      </c>
      <c r="G153" s="2"/>
      <c r="I153" s="40"/>
      <c r="J153" s="2"/>
      <c r="K153" s="2"/>
      <c r="L153" s="2"/>
      <c r="M153" s="2"/>
    </row>
    <row r="154" spans="1:13" ht="18.75" customHeight="1" x14ac:dyDescent="0.25">
      <c r="A154" s="152"/>
      <c r="B154" s="2"/>
      <c r="D154" s="29">
        <f>H151</f>
        <v>604.68570348570324</v>
      </c>
      <c r="E154" s="114" t="str">
        <f>IF(D154&gt;F154,"&gt;","&lt;")</f>
        <v>&gt;</v>
      </c>
      <c r="F154" s="29">
        <f>H141</f>
        <v>62.349607343749987</v>
      </c>
      <c r="G154" s="162" t="s">
        <v>3</v>
      </c>
      <c r="H154" s="168" t="str">
        <f>IF(D154&gt;F154,"[ AMAN (OK) ]","[ TDK AMAN (NG) ]")</f>
        <v>[ AMAN (OK) ]</v>
      </c>
      <c r="I154" s="40"/>
      <c r="J154" s="2"/>
      <c r="K154" s="2"/>
      <c r="L154" s="2"/>
      <c r="M154" s="2"/>
    </row>
    <row r="155" spans="1:13" ht="18.75" customHeight="1" x14ac:dyDescent="0.25">
      <c r="A155" s="152"/>
      <c r="B155" s="2"/>
      <c r="C155" s="2"/>
      <c r="D155" s="2"/>
      <c r="E155" s="2"/>
      <c r="F155" s="2"/>
      <c r="G155" s="25"/>
      <c r="H155" s="112"/>
      <c r="I155" s="39"/>
      <c r="J155" s="2"/>
      <c r="K155" s="2"/>
      <c r="L155" s="2"/>
      <c r="M155" s="2"/>
    </row>
    <row r="156" spans="1:13" ht="18.75" customHeight="1" x14ac:dyDescent="0.25">
      <c r="A156" s="151" t="s">
        <v>444</v>
      </c>
      <c r="B156" s="63" t="s">
        <v>154</v>
      </c>
      <c r="C156" s="113"/>
      <c r="D156" s="113"/>
      <c r="E156" s="113"/>
      <c r="F156" s="113"/>
      <c r="G156" s="115"/>
      <c r="H156" s="116"/>
      <c r="I156" s="66"/>
      <c r="J156" s="2"/>
      <c r="K156" s="2"/>
      <c r="L156" s="2"/>
      <c r="M156" s="2"/>
    </row>
    <row r="157" spans="1:13" ht="18.75" customHeight="1" x14ac:dyDescent="0.25">
      <c r="A157" s="152"/>
      <c r="B157" s="2"/>
      <c r="C157" s="2"/>
      <c r="D157" s="2"/>
      <c r="E157" s="2"/>
      <c r="F157" s="2"/>
      <c r="G157" s="25"/>
      <c r="H157" s="112"/>
      <c r="I157" s="39"/>
      <c r="J157" s="2"/>
      <c r="K157" s="2"/>
      <c r="L157" s="2"/>
      <c r="M157" s="2"/>
    </row>
    <row r="158" spans="1:13" ht="18.75" customHeight="1" x14ac:dyDescent="0.25">
      <c r="A158" s="152"/>
      <c r="B158" s="2"/>
      <c r="C158" s="2"/>
      <c r="D158" s="2"/>
      <c r="E158" s="2"/>
      <c r="F158" s="2"/>
      <c r="G158" s="25"/>
      <c r="H158" s="112"/>
      <c r="I158" s="39"/>
      <c r="J158" s="2"/>
      <c r="K158" s="2"/>
      <c r="L158" s="2"/>
      <c r="M158" s="2"/>
    </row>
    <row r="159" spans="1:13" ht="18.75" customHeight="1" x14ac:dyDescent="0.25">
      <c r="A159" s="152"/>
      <c r="B159" s="2"/>
      <c r="C159" s="2"/>
      <c r="D159" s="2"/>
      <c r="E159" s="2"/>
      <c r="F159" s="2"/>
      <c r="G159" s="25"/>
      <c r="H159" s="112"/>
      <c r="I159" s="39"/>
      <c r="J159" s="2"/>
      <c r="K159" s="2"/>
      <c r="L159" s="2"/>
      <c r="M159" s="2"/>
    </row>
    <row r="160" spans="1:13" ht="18.75" customHeight="1" x14ac:dyDescent="0.25">
      <c r="A160" s="152"/>
      <c r="B160" s="2"/>
      <c r="C160" s="2"/>
      <c r="D160" s="2"/>
      <c r="E160" s="2"/>
      <c r="F160" s="2"/>
      <c r="G160" s="25"/>
      <c r="H160" s="112"/>
      <c r="I160" s="39"/>
      <c r="J160" s="2"/>
      <c r="K160" s="2"/>
      <c r="L160" s="2"/>
      <c r="M160" s="2"/>
    </row>
    <row r="161" spans="1:14" ht="18.75" customHeight="1" x14ac:dyDescent="0.25">
      <c r="A161" s="152"/>
      <c r="B161" s="2"/>
      <c r="C161" s="2"/>
      <c r="D161" s="2"/>
      <c r="E161" s="2"/>
      <c r="F161" s="2"/>
      <c r="G161" s="25"/>
      <c r="H161" s="112"/>
      <c r="I161" s="39"/>
      <c r="J161" s="2"/>
      <c r="K161" s="2"/>
      <c r="L161" s="2"/>
      <c r="M161" s="2"/>
    </row>
    <row r="162" spans="1:14" ht="18.75" customHeight="1" x14ac:dyDescent="0.25">
      <c r="A162" s="152"/>
      <c r="B162" s="2"/>
      <c r="C162" s="2"/>
      <c r="D162" s="2"/>
      <c r="E162" s="2"/>
      <c r="F162" s="2"/>
      <c r="G162" s="25"/>
      <c r="H162" s="112"/>
      <c r="I162" s="39"/>
      <c r="J162" s="2"/>
      <c r="K162" s="2"/>
      <c r="L162" s="2"/>
      <c r="M162" s="2"/>
    </row>
    <row r="163" spans="1:14" ht="18.75" customHeight="1" x14ac:dyDescent="0.25">
      <c r="A163" s="152"/>
      <c r="B163" s="2"/>
      <c r="C163" s="2"/>
      <c r="D163" s="2"/>
      <c r="E163" s="2"/>
      <c r="F163" s="2"/>
      <c r="G163" s="25"/>
      <c r="H163" s="112"/>
      <c r="I163" s="39"/>
      <c r="J163" s="2"/>
      <c r="K163" s="2"/>
      <c r="L163" s="2"/>
      <c r="M163" s="2"/>
    </row>
    <row r="164" spans="1:14" ht="18.75" customHeight="1" x14ac:dyDescent="0.25">
      <c r="A164" s="152"/>
      <c r="B164" s="2"/>
      <c r="C164" s="2"/>
      <c r="D164" s="2"/>
      <c r="E164" s="2"/>
      <c r="F164" s="2"/>
      <c r="G164" s="25"/>
      <c r="H164" s="112"/>
      <c r="I164" s="39"/>
      <c r="J164" s="2"/>
      <c r="K164" s="2"/>
      <c r="L164" s="2"/>
      <c r="M164" s="2"/>
    </row>
    <row r="165" spans="1:14" ht="18.75" customHeight="1" x14ac:dyDescent="0.25">
      <c r="A165" s="152"/>
      <c r="B165" s="2"/>
      <c r="C165" s="2"/>
      <c r="D165" s="2"/>
      <c r="E165" s="2"/>
      <c r="F165" s="2"/>
      <c r="G165" s="25"/>
      <c r="H165" s="112"/>
      <c r="I165" s="39"/>
      <c r="J165" s="2"/>
      <c r="K165" s="2"/>
      <c r="L165" s="2"/>
      <c r="M165" s="2"/>
    </row>
    <row r="166" spans="1:14" ht="18.75" customHeight="1" x14ac:dyDescent="0.25">
      <c r="A166" s="152"/>
      <c r="B166" s="2"/>
      <c r="C166" s="2"/>
      <c r="D166" s="2"/>
      <c r="E166" s="2"/>
      <c r="F166" s="2"/>
      <c r="G166" s="25"/>
      <c r="H166" s="112"/>
      <c r="I166" s="39"/>
      <c r="J166" s="2"/>
      <c r="K166" s="2"/>
      <c r="L166" s="2"/>
      <c r="M166" s="2"/>
    </row>
    <row r="167" spans="1:14" ht="18.75" customHeight="1" x14ac:dyDescent="0.25">
      <c r="A167" s="152"/>
      <c r="B167" s="2"/>
      <c r="C167" s="2"/>
      <c r="D167" s="2"/>
      <c r="E167" s="2"/>
      <c r="F167" s="2"/>
      <c r="G167" s="25"/>
      <c r="H167" s="112"/>
      <c r="I167" s="39"/>
      <c r="J167" s="2"/>
      <c r="K167" s="2"/>
      <c r="L167" s="2"/>
      <c r="M167" s="2"/>
    </row>
    <row r="168" spans="1:14" ht="18.75" customHeight="1" x14ac:dyDescent="0.25">
      <c r="A168" s="152"/>
      <c r="B168" s="2" t="s">
        <v>110</v>
      </c>
      <c r="G168" s="25" t="s">
        <v>292</v>
      </c>
      <c r="H168" s="29">
        <f>H84/1000</f>
        <v>0.124</v>
      </c>
      <c r="I168" s="39" t="s">
        <v>9</v>
      </c>
      <c r="J168" s="2"/>
      <c r="K168" s="2"/>
      <c r="L168" s="2"/>
      <c r="M168" s="2"/>
    </row>
    <row r="169" spans="1:14" ht="18.75" customHeight="1" x14ac:dyDescent="0.25">
      <c r="A169" s="152"/>
      <c r="B169" s="2" t="s">
        <v>301</v>
      </c>
      <c r="C169" s="2"/>
      <c r="D169" s="2"/>
      <c r="E169" s="2"/>
      <c r="F169" s="2"/>
      <c r="G169" s="25" t="s">
        <v>111</v>
      </c>
      <c r="H169" s="29">
        <f>H85/1000</f>
        <v>0.27600000000000002</v>
      </c>
      <c r="I169" s="39" t="s">
        <v>9</v>
      </c>
      <c r="J169" s="2"/>
      <c r="K169" s="2"/>
      <c r="L169" s="2"/>
      <c r="M169" s="2"/>
    </row>
    <row r="170" spans="1:14" ht="18.75" customHeight="1" x14ac:dyDescent="0.25">
      <c r="A170" s="152"/>
      <c r="B170" s="2" t="s">
        <v>123</v>
      </c>
      <c r="C170" s="2"/>
      <c r="D170" s="2"/>
      <c r="E170" s="2"/>
      <c r="F170" s="2"/>
      <c r="G170" s="25" t="str">
        <f>IF('Input Data'!$H$33=40,"Bx = bc + d =","Bx = bc + 0,5 * d =")</f>
        <v>Bx = bc + d =</v>
      </c>
      <c r="H170" s="30">
        <f>IF('Input Data'!$H$33=40,H6+H169,H6+0.5*H169)</f>
        <v>0.77600000000000002</v>
      </c>
      <c r="I170" s="39" t="s">
        <v>9</v>
      </c>
      <c r="J170" s="2"/>
      <c r="K170" s="286"/>
      <c r="L170" s="287"/>
      <c r="M170" s="2"/>
      <c r="N170" s="101"/>
    </row>
    <row r="171" spans="1:14" ht="18.75" customHeight="1" x14ac:dyDescent="0.25">
      <c r="A171" s="152"/>
      <c r="B171" s="2" t="s">
        <v>124</v>
      </c>
      <c r="C171" s="2"/>
      <c r="D171" s="2"/>
      <c r="E171" s="2"/>
      <c r="F171" s="2"/>
      <c r="G171" s="25" t="str">
        <f>IF('Input Data'!$H$33=20,"By = wc + 0,5 * d =","By = wc + d =")</f>
        <v>By = wc + d =</v>
      </c>
      <c r="H171" s="30">
        <f>IF('Input Data'!$H$33=20,H7+0.5*H169,H7+H169)</f>
        <v>0.876</v>
      </c>
      <c r="I171" s="39" t="s">
        <v>9</v>
      </c>
      <c r="J171" s="2"/>
      <c r="K171" s="286"/>
      <c r="L171" s="110"/>
      <c r="M171" s="2"/>
      <c r="N171" s="101"/>
    </row>
    <row r="172" spans="1:14" ht="18.75" customHeight="1" x14ac:dyDescent="0.25">
      <c r="A172" s="152"/>
      <c r="C172" s="2"/>
      <c r="D172" s="2"/>
      <c r="E172" s="2"/>
      <c r="F172" s="2"/>
      <c r="G172" s="25"/>
      <c r="H172" s="111"/>
      <c r="I172" s="39"/>
      <c r="J172" s="2"/>
      <c r="K172" s="2"/>
      <c r="L172" s="2"/>
      <c r="M172" s="2"/>
      <c r="N172" s="101"/>
    </row>
    <row r="173" spans="1:14" ht="18.75" customHeight="1" x14ac:dyDescent="0.25">
      <c r="A173" s="152"/>
      <c r="B173" s="2" t="s">
        <v>125</v>
      </c>
      <c r="C173" s="2"/>
      <c r="D173" s="2"/>
      <c r="E173" s="2"/>
      <c r="F173" s="2"/>
      <c r="G173" s="25" t="s">
        <v>430</v>
      </c>
      <c r="H173" s="30">
        <f>(H8*H9-H170*H171)*((H15+H16)/2-'Process (1)'!H75/'Process (1)'!H70)</f>
        <v>161.58175</v>
      </c>
      <c r="I173" s="39" t="s">
        <v>114</v>
      </c>
      <c r="J173" s="2"/>
      <c r="K173" s="25"/>
      <c r="L173" s="287"/>
      <c r="M173" s="2"/>
      <c r="N173" s="101"/>
    </row>
    <row r="174" spans="1:14" ht="18.75" customHeight="1" x14ac:dyDescent="0.25">
      <c r="A174" s="152"/>
      <c r="B174" s="2" t="s">
        <v>126</v>
      </c>
      <c r="C174" s="2"/>
      <c r="D174" s="2"/>
      <c r="E174" s="2"/>
      <c r="F174" s="2"/>
      <c r="G174" s="25" t="str">
        <f>IF('Input Data'!$H$33=40,"Ap = 2 * ( Bx + By ) * d =",IF('Input Data'!$H$33=30,"Ap = (2 * Bx + By) * d =","Ap = (Bx + By) * d ="))</f>
        <v>Ap = 2 * ( Bx + By ) * d =</v>
      </c>
      <c r="H174" s="30">
        <f>IF('Input Data'!$H$33=40,2*(H170+H171)*H169,IF('Input Data'!$H$33=30,(2*H170+H171)*H169,(H170+H171)*H169))</f>
        <v>0.91190400000000016</v>
      </c>
      <c r="I174" s="39" t="s">
        <v>40</v>
      </c>
      <c r="J174" s="2"/>
      <c r="K174" s="25"/>
      <c r="L174" s="287"/>
      <c r="M174" s="2"/>
      <c r="N174" s="101"/>
    </row>
    <row r="175" spans="1:14" ht="18.75" customHeight="1" x14ac:dyDescent="0.25">
      <c r="A175" s="152"/>
      <c r="B175" s="2" t="s">
        <v>127</v>
      </c>
      <c r="C175" s="2"/>
      <c r="D175" s="2"/>
      <c r="E175" s="2"/>
      <c r="F175" s="2"/>
      <c r="G175" s="25" t="str">
        <f>IF('Input Data'!$H$33=40,"bp = 2 * ( Bx + By ) =",IF('Input Data'!$H$33=30,"bp = ( 2 * Bx + By ) =","bp = ( Bx + By ) ="))</f>
        <v>bp = 2 * ( Bx + By ) =</v>
      </c>
      <c r="H175" s="30">
        <f>IF('Input Data'!$H$33=40,2*(H170+H171),IF('Input Data'!$H$33=30,(2*H170+H171),(H170+H171)))</f>
        <v>3.3040000000000003</v>
      </c>
      <c r="I175" s="39" t="s">
        <v>128</v>
      </c>
      <c r="J175" s="2"/>
      <c r="K175" s="2"/>
      <c r="L175" s="2"/>
      <c r="M175" s="2"/>
    </row>
    <row r="176" spans="1:14" ht="18.75" customHeight="1" x14ac:dyDescent="0.25">
      <c r="A176" s="152"/>
      <c r="B176" s="2" t="s">
        <v>118</v>
      </c>
      <c r="C176" s="2"/>
      <c r="D176" s="2"/>
      <c r="E176" s="2"/>
      <c r="F176" s="2"/>
      <c r="G176" s="25" t="s">
        <v>365</v>
      </c>
      <c r="H176" s="109">
        <f>H144</f>
        <v>1</v>
      </c>
      <c r="I176" s="39"/>
      <c r="J176" s="2"/>
      <c r="K176" s="25"/>
      <c r="L176" s="2"/>
      <c r="M176" s="2"/>
    </row>
    <row r="177" spans="1:13" ht="18.75" customHeight="1" x14ac:dyDescent="0.25">
      <c r="A177" s="152"/>
      <c r="C177" s="2"/>
      <c r="D177" s="2"/>
      <c r="E177" s="2"/>
      <c r="F177" s="2"/>
      <c r="H177" s="165"/>
      <c r="I177" s="39"/>
      <c r="J177" s="2"/>
      <c r="K177" s="25"/>
      <c r="L177" s="2"/>
      <c r="M177" s="2"/>
    </row>
    <row r="178" spans="1:13" ht="18.75" customHeight="1" x14ac:dyDescent="0.25">
      <c r="A178" s="152"/>
      <c r="B178" s="2" t="s">
        <v>348</v>
      </c>
      <c r="C178" s="2"/>
      <c r="D178" s="2"/>
      <c r="E178" s="2"/>
      <c r="F178" s="2"/>
      <c r="G178" s="25" t="s">
        <v>275</v>
      </c>
      <c r="H178" s="30">
        <f>(1+2/H176)*SQRT(H4)/6</f>
        <v>2.7386127875258306</v>
      </c>
      <c r="I178" s="39" t="s">
        <v>67</v>
      </c>
      <c r="J178" s="2"/>
      <c r="K178" s="25"/>
      <c r="L178" s="2"/>
      <c r="M178" s="2"/>
    </row>
    <row r="179" spans="1:13" ht="18.75" customHeight="1" x14ac:dyDescent="0.25">
      <c r="A179" s="152"/>
      <c r="B179" s="2"/>
      <c r="C179" s="2"/>
      <c r="D179" s="2"/>
      <c r="E179" s="2"/>
      <c r="F179" s="2"/>
      <c r="G179" s="25" t="s">
        <v>276</v>
      </c>
      <c r="H179" s="30">
        <f>('Input Data'!H33*H169/H175+2)*SQRT(H4)/12</f>
        <v>2.4380063798555214</v>
      </c>
      <c r="I179" s="39" t="s">
        <v>67</v>
      </c>
      <c r="J179" s="2"/>
      <c r="K179" s="2"/>
      <c r="L179" s="2"/>
      <c r="M179" s="2"/>
    </row>
    <row r="180" spans="1:13" ht="18.75" customHeight="1" x14ac:dyDescent="0.25">
      <c r="A180" s="152"/>
      <c r="B180" s="2"/>
      <c r="C180" s="2"/>
      <c r="D180" s="2"/>
      <c r="E180" s="2"/>
      <c r="F180" s="2"/>
      <c r="G180" s="25" t="s">
        <v>277</v>
      </c>
      <c r="H180" s="30">
        <f>1/3*SQRT(H4)</f>
        <v>1.8257418583505536</v>
      </c>
      <c r="I180" s="39" t="s">
        <v>67</v>
      </c>
      <c r="J180" s="2"/>
      <c r="K180" s="2"/>
      <c r="L180" s="2"/>
      <c r="M180" s="2"/>
    </row>
    <row r="181" spans="1:13" ht="18.75" customHeight="1" x14ac:dyDescent="0.25">
      <c r="A181" s="152"/>
      <c r="B181" s="2" t="s">
        <v>129</v>
      </c>
      <c r="C181" s="2"/>
      <c r="D181" s="2"/>
      <c r="G181" s="166" t="s">
        <v>278</v>
      </c>
      <c r="H181" s="30">
        <f>MIN(H178:H180)</f>
        <v>1.8257418583505536</v>
      </c>
      <c r="I181" s="39" t="s">
        <v>67</v>
      </c>
      <c r="J181" s="2"/>
      <c r="K181" s="25"/>
      <c r="L181" s="2"/>
      <c r="M181" s="2"/>
    </row>
    <row r="182" spans="1:13" ht="18.75" customHeight="1" x14ac:dyDescent="0.25">
      <c r="A182" s="152"/>
      <c r="B182" s="2" t="s">
        <v>130</v>
      </c>
      <c r="C182" s="2"/>
      <c r="D182" s="2"/>
      <c r="G182" s="25" t="s">
        <v>295</v>
      </c>
      <c r="H182" s="163">
        <v>0.75</v>
      </c>
      <c r="I182" s="39"/>
      <c r="J182" s="2"/>
      <c r="K182" s="25"/>
      <c r="L182" s="2"/>
      <c r="M182" s="2"/>
    </row>
    <row r="183" spans="1:13" ht="18.75" customHeight="1" x14ac:dyDescent="0.25">
      <c r="A183" s="152"/>
      <c r="B183" s="2" t="s">
        <v>131</v>
      </c>
      <c r="C183" s="2"/>
      <c r="D183" s="2"/>
      <c r="E183" s="2"/>
      <c r="F183" s="2"/>
      <c r="G183" s="25" t="s">
        <v>298</v>
      </c>
      <c r="H183" s="163">
        <f>H182*H174*H181*1000</f>
        <v>1248.6759776979777</v>
      </c>
      <c r="I183" s="39" t="s">
        <v>5</v>
      </c>
      <c r="K183" s="25"/>
      <c r="L183" s="110"/>
      <c r="M183" s="2"/>
    </row>
    <row r="184" spans="1:13" ht="18.75" customHeight="1" x14ac:dyDescent="0.25">
      <c r="A184" s="152"/>
      <c r="B184" s="2" t="s">
        <v>305</v>
      </c>
      <c r="C184" s="2"/>
      <c r="D184" s="2"/>
      <c r="E184" s="2"/>
      <c r="F184" s="2"/>
      <c r="G184" s="25"/>
      <c r="H184" s="171"/>
      <c r="I184" s="39"/>
      <c r="K184" s="2"/>
      <c r="L184" s="2"/>
      <c r="M184" s="2"/>
    </row>
    <row r="185" spans="1:13" ht="18.75" customHeight="1" x14ac:dyDescent="0.25">
      <c r="A185" s="152"/>
      <c r="C185" s="2" t="s">
        <v>4</v>
      </c>
      <c r="D185" s="114" t="s">
        <v>299</v>
      </c>
      <c r="E185" s="114" t="s">
        <v>120</v>
      </c>
      <c r="F185" s="114" t="s">
        <v>135</v>
      </c>
      <c r="G185" s="164"/>
      <c r="H185" s="167"/>
      <c r="I185" s="39"/>
      <c r="K185" s="2"/>
      <c r="L185" s="2"/>
      <c r="M185" s="2"/>
    </row>
    <row r="186" spans="1:13" ht="18.75" customHeight="1" x14ac:dyDescent="0.25">
      <c r="A186" s="152"/>
      <c r="C186" s="2"/>
      <c r="D186" s="29">
        <f>H183</f>
        <v>1248.6759776979777</v>
      </c>
      <c r="E186" s="114" t="str">
        <f>IF(D186&gt;F186,"&gt;","&lt;")</f>
        <v>&gt;</v>
      </c>
      <c r="F186" s="29">
        <f>H173</f>
        <v>161.58175</v>
      </c>
      <c r="G186" s="162" t="s">
        <v>3</v>
      </c>
      <c r="H186" s="168" t="str">
        <f>IF(D186&gt;F186,"[ AMAN (OK) ]","[ TDK AMAN (NG) ]")</f>
        <v>[ AMAN (OK) ]</v>
      </c>
      <c r="I186" s="39"/>
      <c r="J186" s="2"/>
      <c r="K186" s="2"/>
      <c r="L186" s="2"/>
      <c r="M186" s="2"/>
    </row>
    <row r="187" spans="1:13" ht="18.75" customHeight="1" x14ac:dyDescent="0.25">
      <c r="A187" s="152"/>
      <c r="B187" s="2" t="s">
        <v>306</v>
      </c>
      <c r="C187" s="2"/>
      <c r="D187" s="112"/>
      <c r="E187" s="114"/>
      <c r="F187" s="112"/>
      <c r="G187" s="162"/>
      <c r="H187" s="168"/>
      <c r="I187" s="39"/>
      <c r="J187" s="2"/>
      <c r="K187" s="2"/>
      <c r="L187" s="2"/>
      <c r="M187" s="2"/>
    </row>
    <row r="188" spans="1:13" ht="18.75" customHeight="1" x14ac:dyDescent="0.25">
      <c r="A188" s="152"/>
      <c r="C188" s="2" t="s">
        <v>4</v>
      </c>
      <c r="D188" s="114" t="s">
        <v>299</v>
      </c>
      <c r="E188" s="114" t="s">
        <v>120</v>
      </c>
      <c r="F188" s="114" t="s">
        <v>136</v>
      </c>
      <c r="G188" s="168"/>
      <c r="H188" s="114"/>
      <c r="I188" s="39"/>
      <c r="J188" s="2"/>
      <c r="K188" s="2"/>
      <c r="L188" s="2"/>
      <c r="M188" s="2"/>
    </row>
    <row r="189" spans="1:13" ht="18.75" customHeight="1" x14ac:dyDescent="0.25">
      <c r="A189" s="152"/>
      <c r="C189" s="2"/>
      <c r="D189" s="29">
        <f>H183</f>
        <v>1248.6759776979777</v>
      </c>
      <c r="E189" s="114" t="str">
        <f>IF(D189&gt;F189,"&gt;","&lt;")</f>
        <v>&gt;</v>
      </c>
      <c r="F189" s="29">
        <f>H14</f>
        <v>306.77120000000002</v>
      </c>
      <c r="G189" s="162" t="s">
        <v>3</v>
      </c>
      <c r="H189" s="168" t="str">
        <f>IF(D189&gt;F189,"[ AMAN (OK) ]","[ TDK AMAN (NG) ]")</f>
        <v>[ AMAN (OK) ]</v>
      </c>
      <c r="I189" s="39"/>
      <c r="J189" s="2"/>
      <c r="K189" s="2"/>
      <c r="L189" s="2"/>
      <c r="M189" s="2"/>
    </row>
    <row r="190" spans="1:13" ht="18.75" customHeight="1" x14ac:dyDescent="0.25">
      <c r="A190" s="152"/>
      <c r="B190" s="2"/>
      <c r="C190" s="112"/>
      <c r="D190" s="117"/>
      <c r="E190" s="112"/>
      <c r="F190" s="118"/>
      <c r="H190" s="119"/>
      <c r="I190" s="39"/>
      <c r="J190" s="2"/>
      <c r="K190" s="2"/>
      <c r="L190" s="2"/>
      <c r="M190" s="2"/>
    </row>
    <row r="191" spans="1:13" ht="18.75" customHeight="1" x14ac:dyDescent="0.25">
      <c r="A191" s="152"/>
      <c r="I191" s="40"/>
    </row>
    <row r="192" spans="1:13" ht="18.75" customHeight="1" x14ac:dyDescent="0.25">
      <c r="A192" s="150" t="s">
        <v>282</v>
      </c>
      <c r="B192" s="88" t="s">
        <v>283</v>
      </c>
      <c r="C192" s="89"/>
      <c r="D192" s="89"/>
      <c r="E192" s="89"/>
      <c r="F192" s="89"/>
      <c r="G192" s="89"/>
      <c r="H192" s="89"/>
      <c r="I192" s="90"/>
    </row>
    <row r="193" spans="1:9" ht="18.75" customHeight="1" x14ac:dyDescent="0.25">
      <c r="A193" s="151" t="s">
        <v>284</v>
      </c>
      <c r="B193" s="63" t="s">
        <v>155</v>
      </c>
      <c r="C193" s="113"/>
      <c r="D193" s="113"/>
      <c r="E193" s="113"/>
      <c r="F193" s="113"/>
      <c r="G193" s="113"/>
      <c r="H193" s="113"/>
      <c r="I193" s="66"/>
    </row>
    <row r="194" spans="1:9" ht="18.75" customHeight="1" x14ac:dyDescent="0.25">
      <c r="A194" s="152"/>
      <c r="B194" s="2" t="s">
        <v>252</v>
      </c>
      <c r="C194" s="2"/>
      <c r="D194" s="2"/>
      <c r="E194" s="2"/>
      <c r="F194" s="2"/>
      <c r="G194" s="25" t="s">
        <v>425</v>
      </c>
      <c r="H194" s="332">
        <f>H69</f>
        <v>54.811468593749993</v>
      </c>
      <c r="I194" s="39" t="s">
        <v>156</v>
      </c>
    </row>
    <row r="195" spans="1:9" ht="18.75" customHeight="1" x14ac:dyDescent="0.25">
      <c r="A195" s="152"/>
      <c r="B195" s="2" t="s">
        <v>157</v>
      </c>
      <c r="C195" s="2"/>
      <c r="G195" s="25" t="s">
        <v>364</v>
      </c>
      <c r="H195" s="335">
        <f>H9*1000</f>
        <v>1600</v>
      </c>
      <c r="I195" s="39" t="s">
        <v>0</v>
      </c>
    </row>
    <row r="196" spans="1:9" ht="18.75" customHeight="1" x14ac:dyDescent="0.25">
      <c r="A196" s="152"/>
      <c r="B196" s="2" t="s">
        <v>158</v>
      </c>
      <c r="C196" s="2"/>
      <c r="G196" s="25" t="s">
        <v>159</v>
      </c>
      <c r="H196" s="335">
        <f>H10*1000</f>
        <v>400</v>
      </c>
      <c r="I196" s="39" t="s">
        <v>0</v>
      </c>
    </row>
    <row r="197" spans="1:9" ht="18.75" customHeight="1" x14ac:dyDescent="0.25">
      <c r="A197" s="152"/>
      <c r="B197" s="2" t="s">
        <v>160</v>
      </c>
      <c r="C197" s="2"/>
      <c r="G197" s="25" t="s">
        <v>292</v>
      </c>
      <c r="H197" s="335">
        <f>H84</f>
        <v>124</v>
      </c>
      <c r="I197" s="39" t="s">
        <v>0</v>
      </c>
    </row>
    <row r="198" spans="1:9" ht="18.75" customHeight="1" x14ac:dyDescent="0.25">
      <c r="A198" s="152"/>
      <c r="B198" s="2" t="s">
        <v>161</v>
      </c>
      <c r="C198" s="2"/>
      <c r="G198" s="25" t="s">
        <v>111</v>
      </c>
      <c r="H198" s="335">
        <f>H196-H197</f>
        <v>276</v>
      </c>
      <c r="I198" s="39" t="s">
        <v>0</v>
      </c>
    </row>
    <row r="199" spans="1:9" ht="18.75" customHeight="1" x14ac:dyDescent="0.25">
      <c r="A199" s="152"/>
      <c r="B199" s="2" t="s">
        <v>162</v>
      </c>
      <c r="C199" s="2"/>
      <c r="G199" s="120" t="s">
        <v>163</v>
      </c>
      <c r="H199" s="335">
        <f>H4</f>
        <v>30</v>
      </c>
      <c r="I199" s="39" t="s">
        <v>67</v>
      </c>
    </row>
    <row r="200" spans="1:9" ht="18.75" customHeight="1" x14ac:dyDescent="0.25">
      <c r="A200" s="152"/>
      <c r="B200" s="2" t="s">
        <v>164</v>
      </c>
      <c r="C200" s="2"/>
      <c r="G200" s="25" t="s">
        <v>165</v>
      </c>
      <c r="H200" s="335">
        <f>'Input Data'!H76</f>
        <v>400</v>
      </c>
      <c r="I200" s="39" t="s">
        <v>67</v>
      </c>
    </row>
    <row r="201" spans="1:9" ht="18.75" customHeight="1" x14ac:dyDescent="0.25">
      <c r="A201" s="152"/>
      <c r="B201" s="121" t="s">
        <v>71</v>
      </c>
      <c r="C201" s="2"/>
      <c r="G201" s="25" t="s">
        <v>166</v>
      </c>
      <c r="H201" s="336">
        <v>200000</v>
      </c>
      <c r="I201" s="39" t="s">
        <v>67</v>
      </c>
    </row>
    <row r="202" spans="1:9" ht="18.75" customHeight="1" x14ac:dyDescent="0.25">
      <c r="A202" s="152"/>
      <c r="B202" s="121"/>
      <c r="C202" s="2"/>
      <c r="G202" s="25"/>
      <c r="H202" s="330"/>
      <c r="I202" s="39"/>
    </row>
    <row r="203" spans="1:9" ht="18.75" customHeight="1" x14ac:dyDescent="0.25">
      <c r="A203" s="140"/>
      <c r="B203" s="9" t="s">
        <v>167</v>
      </c>
      <c r="C203" s="9"/>
      <c r="D203" s="9"/>
      <c r="E203" s="9"/>
      <c r="F203" s="9"/>
      <c r="G203" s="44" t="s">
        <v>168</v>
      </c>
      <c r="H203" s="309" t="str">
        <f>IF(H199&gt;=17,IF(H199&lt;=28,0.85,"-"),"-")</f>
        <v>-</v>
      </c>
      <c r="I203" s="45"/>
    </row>
    <row r="204" spans="1:9" ht="18.75" customHeight="1" x14ac:dyDescent="0.25">
      <c r="A204" s="140"/>
      <c r="B204" s="9" t="s">
        <v>169</v>
      </c>
      <c r="C204" s="9"/>
      <c r="D204" s="9"/>
      <c r="E204" s="9"/>
      <c r="F204" s="9"/>
      <c r="G204" s="44" t="s">
        <v>279</v>
      </c>
      <c r="H204" s="310">
        <f>IF(H199&gt;28,IF(H199&lt;55,0.85-0.05*(H199-28)/7,"-"),"-")</f>
        <v>0.83571428571428574</v>
      </c>
      <c r="I204" s="45"/>
    </row>
    <row r="205" spans="1:9" ht="18.75" customHeight="1" x14ac:dyDescent="0.25">
      <c r="A205" s="140"/>
      <c r="B205" s="9" t="s">
        <v>170</v>
      </c>
      <c r="C205" s="9"/>
      <c r="D205" s="9"/>
      <c r="E205" s="9"/>
      <c r="F205" s="9"/>
      <c r="G205" s="44" t="s">
        <v>168</v>
      </c>
      <c r="H205" s="310" t="str">
        <f>IF(H199&gt;=55,0.65,"-")</f>
        <v>-</v>
      </c>
      <c r="I205" s="45"/>
    </row>
    <row r="206" spans="1:9" ht="18.75" customHeight="1" x14ac:dyDescent="0.25">
      <c r="A206" s="140"/>
      <c r="B206" s="9" t="s">
        <v>171</v>
      </c>
      <c r="C206" s="9"/>
      <c r="D206" s="9"/>
      <c r="E206" s="42" t="s">
        <v>3</v>
      </c>
      <c r="F206" s="9"/>
      <c r="G206" s="44" t="s">
        <v>168</v>
      </c>
      <c r="H206" s="310">
        <f>MAX(H203:H205)</f>
        <v>0.83571428571428574</v>
      </c>
      <c r="I206" s="45"/>
    </row>
    <row r="207" spans="1:9" ht="18.75" customHeight="1" x14ac:dyDescent="0.25">
      <c r="A207" s="140"/>
      <c r="C207" s="9"/>
      <c r="D207" s="9"/>
      <c r="E207" s="42"/>
      <c r="F207" s="9"/>
      <c r="G207" s="44"/>
      <c r="H207" s="31"/>
      <c r="I207" s="45"/>
    </row>
    <row r="208" spans="1:9" ht="18.75" customHeight="1" x14ac:dyDescent="0.25">
      <c r="A208" s="140"/>
      <c r="B208" s="9" t="s">
        <v>172</v>
      </c>
      <c r="C208" s="9"/>
      <c r="D208" s="9"/>
      <c r="E208" s="9"/>
      <c r="F208" s="9"/>
      <c r="G208" s="44" t="s">
        <v>173</v>
      </c>
      <c r="H208" s="337">
        <f>H206*0.85*H199/H200*(600/(600+H200))</f>
        <v>3.1966071428571427E-2</v>
      </c>
      <c r="I208" s="45"/>
    </row>
    <row r="209" spans="1:9" ht="18.75" customHeight="1" x14ac:dyDescent="0.25">
      <c r="A209" s="140"/>
      <c r="B209" s="9" t="s">
        <v>174</v>
      </c>
      <c r="C209" s="122"/>
      <c r="D209" s="31"/>
      <c r="E209" s="123"/>
      <c r="F209" s="9"/>
      <c r="G209" s="44" t="s">
        <v>175</v>
      </c>
      <c r="H209" s="337">
        <f>0.75*H208</f>
        <v>2.397455357142857E-2</v>
      </c>
      <c r="I209" s="45"/>
    </row>
    <row r="210" spans="1:9" ht="18.75" customHeight="1" x14ac:dyDescent="0.25">
      <c r="A210" s="140"/>
      <c r="B210" s="9" t="s">
        <v>176</v>
      </c>
      <c r="C210" s="9"/>
      <c r="D210" s="123" t="s">
        <v>177</v>
      </c>
      <c r="E210" s="9"/>
      <c r="F210" s="9"/>
      <c r="G210" s="44" t="s">
        <v>178</v>
      </c>
      <c r="H210" s="337">
        <f>H199^0.5/4/H200</f>
        <v>3.4232659844072883E-3</v>
      </c>
      <c r="I210" s="45"/>
    </row>
    <row r="211" spans="1:9" ht="18.75" customHeight="1" x14ac:dyDescent="0.25">
      <c r="A211" s="140"/>
      <c r="B211" s="9"/>
      <c r="C211" s="9"/>
      <c r="D211" s="9" t="s">
        <v>179</v>
      </c>
      <c r="E211" s="9"/>
      <c r="F211" s="9"/>
      <c r="G211" s="44" t="s">
        <v>180</v>
      </c>
      <c r="H211" s="337">
        <f>1.4/H200</f>
        <v>3.4999999999999996E-3</v>
      </c>
      <c r="I211" s="45"/>
    </row>
    <row r="212" spans="1:9" ht="18.75" customHeight="1" x14ac:dyDescent="0.25">
      <c r="A212" s="140"/>
      <c r="B212" s="9"/>
      <c r="C212" s="9"/>
      <c r="D212" s="9"/>
      <c r="E212" s="9"/>
      <c r="F212" s="9"/>
      <c r="G212" s="44"/>
      <c r="H212" s="127"/>
      <c r="I212" s="45"/>
    </row>
    <row r="213" spans="1:9" ht="18.75" customHeight="1" x14ac:dyDescent="0.25">
      <c r="A213" s="140"/>
      <c r="B213" s="9" t="s">
        <v>181</v>
      </c>
      <c r="C213" s="9"/>
      <c r="D213" s="9"/>
      <c r="E213" s="44"/>
      <c r="F213" s="9"/>
      <c r="G213" s="44" t="s">
        <v>182</v>
      </c>
      <c r="H213" s="338">
        <v>0.85</v>
      </c>
      <c r="I213" s="45"/>
    </row>
    <row r="214" spans="1:9" ht="18.75" customHeight="1" x14ac:dyDescent="0.25">
      <c r="A214" s="140"/>
      <c r="B214" s="9" t="s">
        <v>183</v>
      </c>
      <c r="C214" s="9"/>
      <c r="D214" s="9"/>
      <c r="E214" s="44"/>
      <c r="F214" s="9"/>
      <c r="G214" s="44" t="s">
        <v>184</v>
      </c>
      <c r="H214" s="310">
        <f>H194</f>
        <v>54.811468593749993</v>
      </c>
      <c r="I214" s="45" t="s">
        <v>2</v>
      </c>
    </row>
    <row r="215" spans="1:9" ht="18.75" customHeight="1" x14ac:dyDescent="0.25">
      <c r="A215" s="140"/>
      <c r="B215" s="9" t="s">
        <v>185</v>
      </c>
      <c r="C215" s="9"/>
      <c r="D215" s="9"/>
      <c r="E215" s="44"/>
      <c r="F215" s="9"/>
      <c r="G215" s="44" t="s">
        <v>186</v>
      </c>
      <c r="H215" s="310">
        <f>H214/H213</f>
        <v>64.484080698529411</v>
      </c>
      <c r="I215" s="45" t="s">
        <v>2</v>
      </c>
    </row>
    <row r="216" spans="1:9" ht="18.75" customHeight="1" x14ac:dyDescent="0.25">
      <c r="A216" s="140"/>
      <c r="B216" s="9" t="s">
        <v>187</v>
      </c>
      <c r="C216" s="9"/>
      <c r="D216" s="9"/>
      <c r="E216" s="9"/>
      <c r="F216" s="9"/>
      <c r="G216" s="124" t="s">
        <v>188</v>
      </c>
      <c r="H216" s="310">
        <f>H215*10^6/(H195*H198^2)</f>
        <v>0.5290714980647564</v>
      </c>
      <c r="I216" s="125"/>
    </row>
    <row r="217" spans="1:9" ht="18.75" customHeight="1" x14ac:dyDescent="0.25">
      <c r="A217" s="140"/>
      <c r="B217" s="9" t="s">
        <v>189</v>
      </c>
      <c r="C217" s="9"/>
      <c r="D217" s="9"/>
      <c r="E217" s="9"/>
      <c r="F217" s="9"/>
      <c r="G217" s="44" t="s">
        <v>190</v>
      </c>
      <c r="H217" s="310">
        <f>H200/(0.85*H199)</f>
        <v>15.686274509803921</v>
      </c>
      <c r="I217" s="126"/>
    </row>
    <row r="218" spans="1:9" ht="18.75" customHeight="1" x14ac:dyDescent="0.25">
      <c r="A218" s="140"/>
      <c r="B218" s="9" t="s">
        <v>191</v>
      </c>
      <c r="C218" s="9"/>
      <c r="D218" s="9"/>
      <c r="E218" s="9"/>
      <c r="F218" s="9"/>
      <c r="G218" s="124" t="s">
        <v>192</v>
      </c>
      <c r="H218" s="337">
        <f>1/H217*(1-(1-2*H217*H216/H200)^0.5)</f>
        <v>1.3366924447048767E-3</v>
      </c>
      <c r="I218" s="125"/>
    </row>
    <row r="219" spans="1:9" ht="18.75" customHeight="1" x14ac:dyDescent="0.25">
      <c r="A219" s="140"/>
      <c r="B219" s="9" t="s">
        <v>193</v>
      </c>
      <c r="C219" s="9"/>
      <c r="D219" s="9"/>
      <c r="E219" s="9"/>
      <c r="F219" s="44"/>
      <c r="G219" s="127"/>
      <c r="H219" s="123"/>
      <c r="I219" s="128"/>
    </row>
    <row r="220" spans="1:9" ht="18.75" customHeight="1" x14ac:dyDescent="0.25">
      <c r="A220" s="140"/>
      <c r="B220" s="9"/>
      <c r="C220" s="9" t="s">
        <v>4</v>
      </c>
      <c r="D220" s="31" t="s">
        <v>194</v>
      </c>
      <c r="E220" s="31" t="s">
        <v>195</v>
      </c>
      <c r="F220" s="31" t="s">
        <v>196</v>
      </c>
      <c r="G220" s="44"/>
      <c r="H220" s="127"/>
      <c r="I220" s="128"/>
    </row>
    <row r="221" spans="1:9" ht="18.75" customHeight="1" x14ac:dyDescent="0.25">
      <c r="A221" s="140"/>
      <c r="B221" s="9"/>
      <c r="C221" s="9"/>
      <c r="D221" s="127">
        <f>MIN(H210:H211)</f>
        <v>3.4232659844072883E-3</v>
      </c>
      <c r="E221" s="127">
        <f>H218</f>
        <v>1.3366924447048767E-3</v>
      </c>
      <c r="F221" s="127">
        <f>H209</f>
        <v>2.397455357142857E-2</v>
      </c>
      <c r="G221" s="42" t="s">
        <v>3</v>
      </c>
      <c r="H221" s="129" t="str">
        <f>IF(D221&lt;E221,(IF(E221&lt;F221,"[ OK ]","[ NOT OK ]")),"[ Pakai ρmin ]")</f>
        <v>[ Pakai ρmin ]</v>
      </c>
      <c r="I221" s="128"/>
    </row>
    <row r="222" spans="1:9" ht="18.75" customHeight="1" x14ac:dyDescent="0.25">
      <c r="A222" s="140"/>
      <c r="B222" s="9"/>
      <c r="C222" s="9"/>
      <c r="D222" s="9"/>
      <c r="E222" s="9"/>
      <c r="F222" s="9"/>
      <c r="G222" s="44"/>
      <c r="H222" s="31"/>
      <c r="I222" s="128"/>
    </row>
    <row r="223" spans="1:9" ht="18.75" customHeight="1" x14ac:dyDescent="0.25">
      <c r="A223" s="140"/>
      <c r="B223" s="9" t="s">
        <v>197</v>
      </c>
      <c r="C223" s="9"/>
      <c r="D223" s="9"/>
      <c r="E223" s="9"/>
      <c r="F223" s="9"/>
      <c r="G223" s="44" t="s">
        <v>198</v>
      </c>
      <c r="H223" s="337">
        <f>IF(D221&lt;E221,(IF(E221&lt;F221,E221,"[ NOT OK ]")),D221)</f>
        <v>3.4232659844072883E-3</v>
      </c>
      <c r="I223" s="126"/>
    </row>
    <row r="224" spans="1:9" ht="18.75" customHeight="1" x14ac:dyDescent="0.25">
      <c r="A224" s="140"/>
      <c r="B224" s="9"/>
      <c r="C224" s="127"/>
      <c r="D224" s="127"/>
      <c r="E224" s="127"/>
      <c r="F224" s="42"/>
      <c r="G224" s="129"/>
      <c r="H224" s="123"/>
      <c r="I224" s="128"/>
    </row>
    <row r="225" spans="1:9" ht="18.75" customHeight="1" x14ac:dyDescent="0.25">
      <c r="A225" s="140"/>
      <c r="B225" s="9" t="s">
        <v>199</v>
      </c>
      <c r="C225" s="9"/>
      <c r="D225" s="9"/>
      <c r="E225" s="9"/>
      <c r="F225" s="9"/>
      <c r="G225" s="44" t="s">
        <v>200</v>
      </c>
      <c r="H225" s="339">
        <f>H223*H195*H198</f>
        <v>1511.7142587142584</v>
      </c>
      <c r="I225" s="45" t="s">
        <v>201</v>
      </c>
    </row>
    <row r="226" spans="1:9" ht="18.75" customHeight="1" x14ac:dyDescent="0.25">
      <c r="A226" s="140"/>
      <c r="B226" s="9" t="s">
        <v>202</v>
      </c>
      <c r="C226" s="9"/>
      <c r="D226" s="9"/>
      <c r="E226" s="9"/>
      <c r="F226" s="9"/>
      <c r="G226" s="44" t="s">
        <v>203</v>
      </c>
      <c r="H226" s="339">
        <f>PI()/4*'Input Data'!H79^2*H195/H225</f>
        <v>212.80416313675971</v>
      </c>
      <c r="I226" s="45" t="s">
        <v>0</v>
      </c>
    </row>
    <row r="227" spans="1:9" ht="18.75" customHeight="1" x14ac:dyDescent="0.25">
      <c r="A227" s="140"/>
      <c r="B227" s="9" t="s">
        <v>204</v>
      </c>
      <c r="C227" s="9"/>
      <c r="D227" s="9"/>
      <c r="E227" s="9"/>
      <c r="F227" s="9"/>
      <c r="G227" s="44" t="s">
        <v>290</v>
      </c>
      <c r="H227" s="339">
        <f>3*H196</f>
        <v>1200</v>
      </c>
      <c r="I227" s="45" t="s">
        <v>0</v>
      </c>
    </row>
    <row r="228" spans="1:9" ht="18.75" customHeight="1" x14ac:dyDescent="0.25">
      <c r="A228" s="140"/>
      <c r="B228" s="9" t="s">
        <v>204</v>
      </c>
      <c r="C228" s="9"/>
      <c r="D228" s="9"/>
      <c r="E228" s="9"/>
      <c r="F228" s="9"/>
      <c r="G228" s="44" t="s">
        <v>205</v>
      </c>
      <c r="H228" s="339">
        <v>450</v>
      </c>
      <c r="I228" s="45" t="s">
        <v>0</v>
      </c>
    </row>
    <row r="229" spans="1:9" ht="18.75" customHeight="1" x14ac:dyDescent="0.25">
      <c r="A229" s="140"/>
      <c r="B229" s="9" t="s">
        <v>206</v>
      </c>
      <c r="C229" s="9"/>
      <c r="D229" s="9"/>
      <c r="E229" s="9"/>
      <c r="F229" s="9"/>
      <c r="G229" s="44" t="s">
        <v>207</v>
      </c>
      <c r="H229" s="339">
        <f>MIN(H226:H228)</f>
        <v>212.80416313675971</v>
      </c>
      <c r="I229" s="45" t="s">
        <v>0</v>
      </c>
    </row>
    <row r="230" spans="1:9" ht="18.75" customHeight="1" x14ac:dyDescent="0.25">
      <c r="A230" s="140"/>
      <c r="B230" s="9" t="s">
        <v>208</v>
      </c>
      <c r="C230" s="9"/>
      <c r="D230" s="9"/>
      <c r="E230" s="9"/>
      <c r="F230" s="42" t="s">
        <v>3</v>
      </c>
      <c r="G230" s="44" t="s">
        <v>207</v>
      </c>
      <c r="H230" s="339">
        <f>ROUNDDOWN(H229/50,0)*50</f>
        <v>200</v>
      </c>
      <c r="I230" s="45" t="s">
        <v>0</v>
      </c>
    </row>
    <row r="231" spans="1:9" ht="18.75" customHeight="1" x14ac:dyDescent="0.25">
      <c r="A231" s="140"/>
      <c r="B231" s="9" t="s">
        <v>209</v>
      </c>
      <c r="C231" s="9"/>
      <c r="D231" s="9"/>
      <c r="G231" s="282"/>
      <c r="H231" s="399" t="str">
        <f>"D"&amp;'Input Data'!H79&amp;"  -  "&amp;H230</f>
        <v>D16  -  200</v>
      </c>
      <c r="I231" s="45"/>
    </row>
    <row r="232" spans="1:9" ht="18.75" customHeight="1" x14ac:dyDescent="0.25">
      <c r="A232" s="140"/>
      <c r="B232" s="9" t="s">
        <v>210</v>
      </c>
      <c r="C232" s="9"/>
      <c r="D232" s="9"/>
      <c r="E232" s="9"/>
      <c r="F232" s="9"/>
      <c r="G232" s="44" t="s">
        <v>211</v>
      </c>
      <c r="H232" s="338">
        <f>PI()/4*'Input Data'!H79^2*H195/H230</f>
        <v>1608.4954386379741</v>
      </c>
      <c r="I232" s="45" t="s">
        <v>201</v>
      </c>
    </row>
    <row r="233" spans="1:9" ht="18.75" customHeight="1" x14ac:dyDescent="0.25">
      <c r="A233" s="140"/>
      <c r="B233" s="9"/>
      <c r="C233" s="9"/>
      <c r="D233" s="9"/>
      <c r="E233" s="9"/>
      <c r="F233" s="9"/>
      <c r="G233" s="9"/>
      <c r="H233" s="9"/>
      <c r="I233" s="45"/>
    </row>
    <row r="234" spans="1:9" ht="18.75" customHeight="1" x14ac:dyDescent="0.25">
      <c r="A234" s="140"/>
      <c r="B234" s="9" t="s">
        <v>212</v>
      </c>
      <c r="C234" s="9"/>
      <c r="D234" s="9"/>
      <c r="E234" s="9"/>
      <c r="F234" s="9"/>
      <c r="G234" s="44" t="s">
        <v>213</v>
      </c>
      <c r="H234" s="338">
        <f>H232*H200/1000</f>
        <v>643.39817545518963</v>
      </c>
      <c r="I234" s="130" t="s">
        <v>5</v>
      </c>
    </row>
    <row r="235" spans="1:9" ht="18.75" customHeight="1" x14ac:dyDescent="0.25">
      <c r="A235" s="140"/>
      <c r="B235" s="9" t="s">
        <v>214</v>
      </c>
      <c r="C235" s="9"/>
      <c r="D235" s="9"/>
      <c r="E235" s="31"/>
      <c r="F235" s="9"/>
      <c r="G235" s="44" t="s">
        <v>215</v>
      </c>
      <c r="H235" s="339" t="str">
        <f>TEXT(0.85*H199*H206*H195/1000, "0,00") &amp; " * c"</f>
        <v>34,10 * c</v>
      </c>
      <c r="I235" s="45" t="s">
        <v>5</v>
      </c>
    </row>
    <row r="236" spans="1:9" ht="18.75" customHeight="1" x14ac:dyDescent="0.25">
      <c r="A236" s="140"/>
      <c r="B236" s="123"/>
      <c r="C236" s="31"/>
      <c r="D236" s="9"/>
      <c r="E236" s="131"/>
      <c r="F236" s="9"/>
      <c r="G236" s="9"/>
      <c r="H236" s="9"/>
      <c r="I236" s="45"/>
    </row>
    <row r="237" spans="1:9" ht="18.75" customHeight="1" x14ac:dyDescent="0.25">
      <c r="A237" s="140"/>
      <c r="B237" s="123" t="s">
        <v>216</v>
      </c>
      <c r="C237" s="9"/>
      <c r="D237" s="9"/>
      <c r="E237" s="9"/>
      <c r="F237" s="9"/>
      <c r="G237" s="312" t="s">
        <v>217</v>
      </c>
      <c r="H237" s="313" t="s">
        <v>504</v>
      </c>
      <c r="I237" s="132"/>
    </row>
    <row r="238" spans="1:9" ht="18.75" customHeight="1" x14ac:dyDescent="0.25">
      <c r="A238" s="140"/>
      <c r="B238" s="123"/>
      <c r="C238" s="9"/>
      <c r="D238" s="9"/>
      <c r="E238" s="9"/>
      <c r="G238" s="314" t="str">
        <f>H235&amp;" ="</f>
        <v>34,10 * c =</v>
      </c>
      <c r="H238" s="315">
        <f>H234</f>
        <v>643.39817545518963</v>
      </c>
      <c r="I238" s="45"/>
    </row>
    <row r="239" spans="1:9" ht="18.75" customHeight="1" x14ac:dyDescent="0.25">
      <c r="A239" s="140"/>
      <c r="B239" s="123" t="s">
        <v>218</v>
      </c>
      <c r="C239" s="9"/>
      <c r="D239" s="9"/>
      <c r="E239" s="9"/>
      <c r="F239" s="134"/>
      <c r="G239" s="135"/>
      <c r="H239" s="136"/>
      <c r="I239" s="130"/>
    </row>
    <row r="240" spans="1:9" ht="18.75" customHeight="1" x14ac:dyDescent="0.25">
      <c r="A240" s="140"/>
      <c r="B240" s="123" t="s">
        <v>219</v>
      </c>
      <c r="C240" s="44"/>
      <c r="D240" s="9"/>
      <c r="E240" s="31"/>
      <c r="F240" s="123"/>
      <c r="G240" s="44" t="s">
        <v>6</v>
      </c>
      <c r="H240" s="338">
        <f>H238/(0.85*H199*H206*H195/1000)</f>
        <v>18.869562712361013</v>
      </c>
      <c r="I240" s="130" t="s">
        <v>0</v>
      </c>
    </row>
    <row r="241" spans="1:9" ht="18.75" customHeight="1" x14ac:dyDescent="0.25">
      <c r="A241" s="140"/>
      <c r="B241" s="9" t="s">
        <v>214</v>
      </c>
      <c r="C241" s="31"/>
      <c r="D241" s="9"/>
      <c r="E241" s="31"/>
      <c r="F241" s="9"/>
      <c r="G241" s="44" t="s">
        <v>220</v>
      </c>
      <c r="H241" s="310">
        <f>0.85*H199*H206*H195/1000*H240</f>
        <v>643.39817545518963</v>
      </c>
      <c r="I241" s="130" t="s">
        <v>5</v>
      </c>
    </row>
    <row r="242" spans="1:9" ht="18.75" customHeight="1" x14ac:dyDescent="0.25">
      <c r="A242" s="140"/>
      <c r="B242" s="9" t="s">
        <v>212</v>
      </c>
      <c r="C242" s="31"/>
      <c r="D242" s="9"/>
      <c r="E242" s="31"/>
      <c r="F242" s="9"/>
      <c r="G242" s="44" t="s">
        <v>221</v>
      </c>
      <c r="H242" s="310">
        <f>H234</f>
        <v>643.39817545518963</v>
      </c>
      <c r="I242" s="130" t="s">
        <v>5</v>
      </c>
    </row>
    <row r="243" spans="1:9" ht="18.75" customHeight="1" x14ac:dyDescent="0.25">
      <c r="A243" s="140"/>
      <c r="B243" s="123"/>
      <c r="C243" s="9"/>
      <c r="D243" s="9"/>
      <c r="E243" s="9"/>
      <c r="F243" s="44"/>
      <c r="G243" s="31"/>
      <c r="H243" s="123"/>
      <c r="I243" s="128"/>
    </row>
    <row r="244" spans="1:9" ht="18.75" customHeight="1" x14ac:dyDescent="0.25">
      <c r="A244" s="140"/>
      <c r="B244" s="123" t="s">
        <v>222</v>
      </c>
      <c r="C244" s="9"/>
      <c r="D244" s="9"/>
      <c r="E244" s="9"/>
      <c r="F244" s="44"/>
      <c r="G244" s="31"/>
      <c r="H244" s="123"/>
      <c r="I244" s="128"/>
    </row>
    <row r="245" spans="1:9" ht="18.75" customHeight="1" x14ac:dyDescent="0.25">
      <c r="A245" s="140"/>
      <c r="B245" s="123"/>
      <c r="C245" s="123" t="s">
        <v>223</v>
      </c>
      <c r="D245" s="9"/>
      <c r="E245" s="9"/>
      <c r="F245" s="9"/>
      <c r="G245" s="44"/>
      <c r="H245" s="31"/>
      <c r="I245" s="45"/>
    </row>
    <row r="246" spans="1:9" ht="18.75" customHeight="1" x14ac:dyDescent="0.25">
      <c r="A246" s="140"/>
      <c r="B246" s="123"/>
      <c r="C246" s="123"/>
      <c r="D246" s="9" t="s">
        <v>224</v>
      </c>
      <c r="E246" s="9"/>
      <c r="F246" s="9" t="s">
        <v>225</v>
      </c>
      <c r="G246" s="44"/>
      <c r="H246" s="31"/>
      <c r="I246" s="45"/>
    </row>
    <row r="247" spans="1:9" ht="18.75" customHeight="1" x14ac:dyDescent="0.25">
      <c r="A247" s="140"/>
      <c r="B247" s="123"/>
      <c r="C247" s="9"/>
      <c r="D247" s="310">
        <f>(H198-H240)/H240*0.003</f>
        <v>4.0880190157114582E-2</v>
      </c>
      <c r="E247" s="31" t="str">
        <f>IF(D247&lt;F247,"&lt;","&gt;")</f>
        <v>&gt;</v>
      </c>
      <c r="F247" s="309">
        <f>H200/H201</f>
        <v>2E-3</v>
      </c>
      <c r="G247" s="42" t="s">
        <v>3</v>
      </c>
      <c r="H247" s="144" t="str">
        <f>IF(D247&gt;=F247,"[ OK ]","[ NOT OK ]")</f>
        <v>[ OK ]</v>
      </c>
    </row>
    <row r="248" spans="1:9" ht="18.75" customHeight="1" x14ac:dyDescent="0.25">
      <c r="A248" s="140"/>
      <c r="B248" s="123" t="s">
        <v>226</v>
      </c>
      <c r="C248" s="9"/>
      <c r="D248" s="9"/>
      <c r="E248" s="9"/>
      <c r="F248" s="9"/>
      <c r="G248" s="42" t="s">
        <v>3</v>
      </c>
      <c r="H248" s="365" t="str">
        <f>IF(D247&lt;=F247,"Tekanan Terkontrol",IF(D247&lt;0.005,"Transisi",IF(D247&gt;0.005,"Tegangan Terkontrol","EROR")))</f>
        <v>Tegangan Terkontrol</v>
      </c>
      <c r="I248" s="366"/>
    </row>
    <row r="249" spans="1:9" ht="18.75" customHeight="1" x14ac:dyDescent="0.25">
      <c r="A249" s="140"/>
      <c r="B249" s="123"/>
      <c r="C249" s="9"/>
      <c r="D249" s="9"/>
      <c r="E249" s="9"/>
      <c r="F249" s="9"/>
      <c r="G249" s="42"/>
      <c r="H249" s="144"/>
      <c r="I249" s="147"/>
    </row>
    <row r="250" spans="1:9" ht="18.75" customHeight="1" x14ac:dyDescent="0.25">
      <c r="A250" s="140"/>
      <c r="B250" s="123" t="s">
        <v>227</v>
      </c>
      <c r="C250" s="9"/>
      <c r="D250" s="9"/>
      <c r="E250" s="9"/>
      <c r="F250" s="9"/>
      <c r="G250" s="124" t="str">
        <f>IF(D247&lt;=F247,"φ =",IF(D247&lt;0.005,"φ = 0,65 + 0,25 * (εs' - εs-yield)/(0,005 - εs-yield) =",IF(D247&gt;0.005,"φ =","EROR")))</f>
        <v>φ =</v>
      </c>
      <c r="H250" s="338">
        <f>IF(D247&lt;=F247,0.65,IF(D247&lt;0.005,0.65+0.25*(D247-F247)/(0.005-F247),IF(D247&gt;0.005,0.9,"EROR")))</f>
        <v>0.9</v>
      </c>
      <c r="I250" s="45"/>
    </row>
    <row r="251" spans="1:9" ht="18.75" customHeight="1" x14ac:dyDescent="0.25">
      <c r="A251" s="140"/>
      <c r="B251" s="123" t="s">
        <v>228</v>
      </c>
      <c r="C251" s="9"/>
      <c r="D251" s="9"/>
      <c r="E251" s="9"/>
      <c r="F251" s="9"/>
      <c r="G251" s="44" t="s">
        <v>229</v>
      </c>
      <c r="H251" s="310">
        <f>H241*(H198-H206*H240/2)/1000</f>
        <v>172.50484235481045</v>
      </c>
      <c r="I251" s="45" t="s">
        <v>2</v>
      </c>
    </row>
    <row r="252" spans="1:9" ht="18.75" customHeight="1" x14ac:dyDescent="0.25">
      <c r="A252" s="140"/>
      <c r="B252" s="123" t="s">
        <v>307</v>
      </c>
      <c r="C252" s="9"/>
      <c r="D252" s="9"/>
      <c r="E252" s="9"/>
      <c r="F252" s="9"/>
      <c r="G252" s="44"/>
      <c r="H252" s="133"/>
      <c r="I252" s="45"/>
    </row>
    <row r="253" spans="1:9" ht="18.75" customHeight="1" x14ac:dyDescent="0.25">
      <c r="A253" s="140"/>
      <c r="C253" s="9" t="s">
        <v>4</v>
      </c>
      <c r="D253" s="156" t="s">
        <v>230</v>
      </c>
      <c r="E253" s="31" t="s">
        <v>120</v>
      </c>
      <c r="F253" s="156" t="s">
        <v>231</v>
      </c>
      <c r="G253" s="9"/>
      <c r="H253" s="9"/>
      <c r="I253" s="45"/>
    </row>
    <row r="254" spans="1:9" ht="18.75" customHeight="1" x14ac:dyDescent="0.25">
      <c r="A254" s="140"/>
      <c r="B254" s="9"/>
      <c r="C254" s="9"/>
      <c r="D254" s="310">
        <f>H250*H251</f>
        <v>155.2543581193294</v>
      </c>
      <c r="E254" s="31" t="str">
        <f>IF(D254&gt;F254,"&gt;","&lt;")</f>
        <v>&gt;</v>
      </c>
      <c r="F254" s="310">
        <f>H214</f>
        <v>54.811468593749993</v>
      </c>
      <c r="G254" s="42" t="s">
        <v>3</v>
      </c>
      <c r="H254" s="129" t="str">
        <f>IF(D254&gt;=F254,"[ AMAN (OK) ]","BAHAYA  (NG)")</f>
        <v>[ AMAN (OK) ]</v>
      </c>
      <c r="I254" s="45"/>
    </row>
    <row r="255" spans="1:9" ht="18.75" customHeight="1" x14ac:dyDescent="0.25">
      <c r="A255" s="152"/>
      <c r="B255" s="32"/>
      <c r="C255" s="2"/>
      <c r="H255" s="2"/>
      <c r="I255" s="39"/>
    </row>
    <row r="256" spans="1:9" ht="18.75" customHeight="1" x14ac:dyDescent="0.25">
      <c r="A256" s="151" t="s">
        <v>285</v>
      </c>
      <c r="B256" s="63" t="s">
        <v>286</v>
      </c>
      <c r="C256" s="113"/>
      <c r="D256" s="113"/>
      <c r="E256" s="113"/>
      <c r="F256" s="113"/>
      <c r="G256" s="113"/>
      <c r="H256" s="113"/>
      <c r="I256" s="66"/>
    </row>
    <row r="257" spans="1:9" ht="18.75" customHeight="1" x14ac:dyDescent="0.25">
      <c r="A257" s="152"/>
      <c r="B257" s="2" t="s">
        <v>252</v>
      </c>
      <c r="C257" s="2"/>
      <c r="D257" s="2"/>
      <c r="E257" s="2"/>
      <c r="F257" s="2"/>
      <c r="G257" s="25" t="s">
        <v>426</v>
      </c>
      <c r="H257" s="332">
        <f>H122</f>
        <v>45.567289062499988</v>
      </c>
      <c r="I257" s="39" t="s">
        <v>156</v>
      </c>
    </row>
    <row r="258" spans="1:9" ht="18.75" customHeight="1" x14ac:dyDescent="0.25">
      <c r="A258" s="152"/>
      <c r="B258" s="2" t="s">
        <v>157</v>
      </c>
      <c r="C258" s="2"/>
      <c r="G258" s="25" t="s">
        <v>366</v>
      </c>
      <c r="H258" s="335">
        <f>H8*1000</f>
        <v>1600</v>
      </c>
      <c r="I258" s="39" t="s">
        <v>0</v>
      </c>
    </row>
    <row r="259" spans="1:9" ht="18.75" customHeight="1" x14ac:dyDescent="0.25">
      <c r="A259" s="152"/>
      <c r="B259" s="2" t="s">
        <v>158</v>
      </c>
      <c r="C259" s="2"/>
      <c r="G259" s="25" t="s">
        <v>159</v>
      </c>
      <c r="H259" s="335">
        <f>H196</f>
        <v>400</v>
      </c>
      <c r="I259" s="39" t="s">
        <v>0</v>
      </c>
    </row>
    <row r="260" spans="1:9" ht="18.75" customHeight="1" x14ac:dyDescent="0.25">
      <c r="A260" s="152"/>
      <c r="B260" s="2" t="s">
        <v>160</v>
      </c>
      <c r="C260" s="2"/>
      <c r="G260" s="25" t="s">
        <v>292</v>
      </c>
      <c r="H260" s="335">
        <f>H197</f>
        <v>124</v>
      </c>
      <c r="I260" s="39" t="s">
        <v>0</v>
      </c>
    </row>
    <row r="261" spans="1:9" ht="18.75" customHeight="1" x14ac:dyDescent="0.25">
      <c r="A261" s="152"/>
      <c r="B261" s="2" t="s">
        <v>161</v>
      </c>
      <c r="C261" s="2"/>
      <c r="G261" s="25" t="s">
        <v>111</v>
      </c>
      <c r="H261" s="335">
        <f>H259-H260</f>
        <v>276</v>
      </c>
      <c r="I261" s="39" t="s">
        <v>0</v>
      </c>
    </row>
    <row r="262" spans="1:9" ht="18.75" customHeight="1" x14ac:dyDescent="0.25">
      <c r="A262" s="152"/>
      <c r="B262" s="2" t="s">
        <v>162</v>
      </c>
      <c r="C262" s="2"/>
      <c r="G262" s="120" t="s">
        <v>163</v>
      </c>
      <c r="H262" s="335">
        <f>H4</f>
        <v>30</v>
      </c>
      <c r="I262" s="39" t="s">
        <v>67</v>
      </c>
    </row>
    <row r="263" spans="1:9" ht="18.75" customHeight="1" x14ac:dyDescent="0.25">
      <c r="A263" s="152"/>
      <c r="B263" s="2" t="s">
        <v>164</v>
      </c>
      <c r="C263" s="2"/>
      <c r="G263" s="25" t="s">
        <v>165</v>
      </c>
      <c r="H263" s="335">
        <f>H200</f>
        <v>400</v>
      </c>
      <c r="I263" s="39" t="s">
        <v>67</v>
      </c>
    </row>
    <row r="264" spans="1:9" ht="18.75" customHeight="1" x14ac:dyDescent="0.25">
      <c r="A264" s="152"/>
      <c r="B264" s="121" t="s">
        <v>71</v>
      </c>
      <c r="C264" s="2"/>
      <c r="G264" s="25" t="s">
        <v>166</v>
      </c>
      <c r="H264" s="336">
        <v>200000</v>
      </c>
      <c r="I264" s="39" t="s">
        <v>67</v>
      </c>
    </row>
    <row r="265" spans="1:9" ht="18.75" customHeight="1" x14ac:dyDescent="0.25">
      <c r="A265" s="152"/>
      <c r="B265" s="121"/>
      <c r="C265" s="2"/>
      <c r="G265" s="25"/>
      <c r="H265" s="330"/>
      <c r="I265" s="39"/>
    </row>
    <row r="266" spans="1:9" ht="18.75" customHeight="1" x14ac:dyDescent="0.25">
      <c r="A266" s="140"/>
      <c r="B266" s="9" t="s">
        <v>167</v>
      </c>
      <c r="C266" s="9"/>
      <c r="D266" s="9"/>
      <c r="E266" s="9"/>
      <c r="F266" s="9"/>
      <c r="G266" s="44" t="s">
        <v>168</v>
      </c>
      <c r="H266" s="309" t="str">
        <f>IF(H262&gt;=17,IF(H262&lt;=28,0.85,"-"),"-")</f>
        <v>-</v>
      </c>
      <c r="I266" s="45"/>
    </row>
    <row r="267" spans="1:9" ht="18.75" customHeight="1" x14ac:dyDescent="0.25">
      <c r="A267" s="140"/>
      <c r="B267" s="9" t="s">
        <v>169</v>
      </c>
      <c r="C267" s="9"/>
      <c r="D267" s="9"/>
      <c r="E267" s="9"/>
      <c r="F267" s="9"/>
      <c r="G267" s="44" t="s">
        <v>279</v>
      </c>
      <c r="H267" s="310">
        <f>IF(H262&gt;28,IF(H262&lt;55,0.85-0.05*(H262-28)/7,"-"),"-")</f>
        <v>0.83571428571428574</v>
      </c>
      <c r="I267" s="45"/>
    </row>
    <row r="268" spans="1:9" ht="18.75" customHeight="1" x14ac:dyDescent="0.25">
      <c r="A268" s="140"/>
      <c r="B268" s="9" t="s">
        <v>170</v>
      </c>
      <c r="C268" s="9"/>
      <c r="D268" s="9"/>
      <c r="E268" s="9"/>
      <c r="F268" s="9"/>
      <c r="G268" s="44" t="s">
        <v>168</v>
      </c>
      <c r="H268" s="310" t="str">
        <f>IF(H262&gt;=55,0.65,"-")</f>
        <v>-</v>
      </c>
      <c r="I268" s="45"/>
    </row>
    <row r="269" spans="1:9" ht="18.75" customHeight="1" x14ac:dyDescent="0.25">
      <c r="A269" s="140"/>
      <c r="B269" s="9" t="s">
        <v>171</v>
      </c>
      <c r="C269" s="9"/>
      <c r="D269" s="9"/>
      <c r="F269" s="42" t="s">
        <v>3</v>
      </c>
      <c r="G269" s="44" t="s">
        <v>168</v>
      </c>
      <c r="H269" s="310">
        <f>MAX(H266:H268)</f>
        <v>0.83571428571428574</v>
      </c>
      <c r="I269" s="45"/>
    </row>
    <row r="270" spans="1:9" ht="18.75" customHeight="1" x14ac:dyDescent="0.25">
      <c r="A270" s="140"/>
      <c r="C270" s="9"/>
      <c r="D270" s="9"/>
      <c r="E270" s="42"/>
      <c r="F270" s="9"/>
      <c r="G270" s="44"/>
      <c r="H270" s="31"/>
      <c r="I270" s="45"/>
    </row>
    <row r="271" spans="1:9" ht="18.75" customHeight="1" x14ac:dyDescent="0.25">
      <c r="A271" s="140"/>
      <c r="B271" s="9" t="s">
        <v>172</v>
      </c>
      <c r="C271" s="9"/>
      <c r="D271" s="9"/>
      <c r="E271" s="9"/>
      <c r="F271" s="9"/>
      <c r="G271" s="44" t="s">
        <v>173</v>
      </c>
      <c r="H271" s="337">
        <f>H269*0.85*H262/H263*(600/(600+H263))</f>
        <v>3.1966071428571427E-2</v>
      </c>
      <c r="I271" s="45"/>
    </row>
    <row r="272" spans="1:9" ht="18.75" customHeight="1" x14ac:dyDescent="0.25">
      <c r="A272" s="140"/>
      <c r="B272" s="9" t="s">
        <v>174</v>
      </c>
      <c r="C272" s="122"/>
      <c r="D272" s="31"/>
      <c r="E272" s="123"/>
      <c r="F272" s="9"/>
      <c r="G272" s="44" t="s">
        <v>175</v>
      </c>
      <c r="H272" s="337">
        <f>0.75*H271</f>
        <v>2.397455357142857E-2</v>
      </c>
      <c r="I272" s="45"/>
    </row>
    <row r="273" spans="1:9" ht="18.75" customHeight="1" x14ac:dyDescent="0.25">
      <c r="A273" s="140"/>
      <c r="B273" s="9" t="s">
        <v>176</v>
      </c>
      <c r="C273" s="9"/>
      <c r="D273" s="123" t="s">
        <v>177</v>
      </c>
      <c r="E273" s="9"/>
      <c r="F273" s="9"/>
      <c r="G273" s="44" t="s">
        <v>178</v>
      </c>
      <c r="H273" s="337">
        <f>H262^0.5/4/H263</f>
        <v>3.4232659844072883E-3</v>
      </c>
      <c r="I273" s="45"/>
    </row>
    <row r="274" spans="1:9" ht="18.75" customHeight="1" x14ac:dyDescent="0.25">
      <c r="A274" s="140"/>
      <c r="B274" s="9"/>
      <c r="C274" s="9"/>
      <c r="D274" s="9" t="s">
        <v>179</v>
      </c>
      <c r="E274" s="9"/>
      <c r="F274" s="9"/>
      <c r="G274" s="44" t="s">
        <v>180</v>
      </c>
      <c r="H274" s="337">
        <f>1.4/H263</f>
        <v>3.4999999999999996E-3</v>
      </c>
      <c r="I274" s="45"/>
    </row>
    <row r="275" spans="1:9" ht="18.75" customHeight="1" x14ac:dyDescent="0.25">
      <c r="A275" s="140"/>
      <c r="B275" s="9"/>
      <c r="C275" s="9"/>
      <c r="D275" s="9"/>
      <c r="E275" s="9"/>
      <c r="F275" s="9"/>
      <c r="G275" s="44"/>
      <c r="H275" s="127"/>
      <c r="I275" s="45"/>
    </row>
    <row r="276" spans="1:9" ht="18.75" customHeight="1" x14ac:dyDescent="0.25">
      <c r="A276" s="140"/>
      <c r="B276" s="9" t="s">
        <v>181</v>
      </c>
      <c r="C276" s="9"/>
      <c r="D276" s="9"/>
      <c r="E276" s="44"/>
      <c r="F276" s="9"/>
      <c r="G276" s="44" t="s">
        <v>182</v>
      </c>
      <c r="H276" s="338">
        <v>0.85</v>
      </c>
      <c r="I276" s="45"/>
    </row>
    <row r="277" spans="1:9" ht="18.75" customHeight="1" x14ac:dyDescent="0.25">
      <c r="A277" s="140"/>
      <c r="B277" s="9" t="s">
        <v>183</v>
      </c>
      <c r="C277" s="9"/>
      <c r="D277" s="9"/>
      <c r="E277" s="44"/>
      <c r="F277" s="9"/>
      <c r="G277" s="44" t="s">
        <v>232</v>
      </c>
      <c r="H277" s="310">
        <f>H257</f>
        <v>45.567289062499988</v>
      </c>
      <c r="I277" s="45" t="s">
        <v>2</v>
      </c>
    </row>
    <row r="278" spans="1:9" ht="18.75" customHeight="1" x14ac:dyDescent="0.25">
      <c r="A278" s="140"/>
      <c r="B278" s="9" t="s">
        <v>185</v>
      </c>
      <c r="C278" s="9"/>
      <c r="D278" s="9"/>
      <c r="E278" s="44"/>
      <c r="F278" s="9"/>
      <c r="G278" s="44" t="s">
        <v>186</v>
      </c>
      <c r="H278" s="310">
        <f>H277/H276</f>
        <v>53.608575367647049</v>
      </c>
      <c r="I278" s="45" t="s">
        <v>2</v>
      </c>
    </row>
    <row r="279" spans="1:9" ht="18.75" customHeight="1" x14ac:dyDescent="0.25">
      <c r="A279" s="140"/>
      <c r="B279" s="9" t="s">
        <v>187</v>
      </c>
      <c r="C279" s="9"/>
      <c r="D279" s="9"/>
      <c r="E279" s="9"/>
      <c r="F279" s="9"/>
      <c r="G279" s="124" t="s">
        <v>188</v>
      </c>
      <c r="H279" s="310">
        <f>H278*10^6/(H258*H261^2)</f>
        <v>0.43984141468151922</v>
      </c>
      <c r="I279" s="125"/>
    </row>
    <row r="280" spans="1:9" ht="18.75" customHeight="1" x14ac:dyDescent="0.25">
      <c r="A280" s="140"/>
      <c r="B280" s="9" t="s">
        <v>189</v>
      </c>
      <c r="C280" s="9"/>
      <c r="D280" s="9"/>
      <c r="E280" s="9"/>
      <c r="F280" s="9"/>
      <c r="G280" s="44" t="s">
        <v>190</v>
      </c>
      <c r="H280" s="310">
        <f>H263/(0.85*H262)</f>
        <v>15.686274509803921</v>
      </c>
      <c r="I280" s="126"/>
    </row>
    <row r="281" spans="1:9" ht="18.75" customHeight="1" x14ac:dyDescent="0.25">
      <c r="A281" s="140"/>
      <c r="B281" s="9" t="s">
        <v>191</v>
      </c>
      <c r="C281" s="9"/>
      <c r="D281" s="9"/>
      <c r="E281" s="9"/>
      <c r="F281" s="9"/>
      <c r="G281" s="124" t="s">
        <v>192</v>
      </c>
      <c r="H281" s="337">
        <f>1/H280*(1-(1-2*H280*H279/H263)^0.5)</f>
        <v>1.1092540827436696E-3</v>
      </c>
      <c r="I281" s="125"/>
    </row>
    <row r="282" spans="1:9" ht="18.75" customHeight="1" x14ac:dyDescent="0.25">
      <c r="A282" s="140"/>
      <c r="B282" s="9" t="s">
        <v>193</v>
      </c>
      <c r="C282" s="9"/>
      <c r="D282" s="9"/>
      <c r="E282" s="9"/>
      <c r="F282" s="44"/>
      <c r="G282" s="127"/>
      <c r="H282" s="123"/>
      <c r="I282" s="128"/>
    </row>
    <row r="283" spans="1:9" ht="18.75" customHeight="1" x14ac:dyDescent="0.25">
      <c r="A283" s="140"/>
      <c r="B283" s="9"/>
      <c r="C283" s="9" t="s">
        <v>4</v>
      </c>
      <c r="D283" s="31" t="s">
        <v>194</v>
      </c>
      <c r="E283" s="31" t="s">
        <v>195</v>
      </c>
      <c r="F283" s="31" t="s">
        <v>196</v>
      </c>
      <c r="G283" s="44"/>
      <c r="H283" s="127"/>
      <c r="I283" s="128"/>
    </row>
    <row r="284" spans="1:9" ht="18.75" customHeight="1" x14ac:dyDescent="0.25">
      <c r="A284" s="140"/>
      <c r="B284" s="9"/>
      <c r="C284" s="9"/>
      <c r="D284" s="127">
        <f>MIN(H273:H274)</f>
        <v>3.4232659844072883E-3</v>
      </c>
      <c r="E284" s="127">
        <f>H281</f>
        <v>1.1092540827436696E-3</v>
      </c>
      <c r="F284" s="127">
        <f>H272</f>
        <v>2.397455357142857E-2</v>
      </c>
      <c r="G284" s="42" t="s">
        <v>3</v>
      </c>
      <c r="H284" s="129" t="str">
        <f>IF(D284&lt;E284,(IF(E284&lt;F284,"[ OK ]","[ NOT OK ]")),"[ Pakai ρmin ]")</f>
        <v>[ Pakai ρmin ]</v>
      </c>
      <c r="I284" s="128"/>
    </row>
    <row r="285" spans="1:9" ht="18.75" customHeight="1" x14ac:dyDescent="0.25">
      <c r="A285" s="140"/>
      <c r="B285" s="9"/>
      <c r="C285" s="9"/>
      <c r="D285" s="9"/>
      <c r="E285" s="9"/>
      <c r="F285" s="9"/>
      <c r="G285" s="44"/>
      <c r="H285" s="31"/>
      <c r="I285" s="128"/>
    </row>
    <row r="286" spans="1:9" ht="18.75" customHeight="1" x14ac:dyDescent="0.25">
      <c r="A286" s="140"/>
      <c r="B286" s="9" t="s">
        <v>197</v>
      </c>
      <c r="C286" s="9"/>
      <c r="D286" s="9"/>
      <c r="E286" s="9"/>
      <c r="F286" s="9"/>
      <c r="G286" s="44" t="s">
        <v>198</v>
      </c>
      <c r="H286" s="337">
        <f>IF(D284&lt;E284,(IF(E284&lt;F284,E284,"[ NOT OK ]")),D284)</f>
        <v>3.4232659844072883E-3</v>
      </c>
      <c r="I286" s="126"/>
    </row>
    <row r="287" spans="1:9" ht="18.75" customHeight="1" x14ac:dyDescent="0.25">
      <c r="A287" s="140"/>
      <c r="B287" s="9"/>
      <c r="C287" s="127"/>
      <c r="D287" s="127"/>
      <c r="E287" s="127"/>
      <c r="F287" s="42"/>
      <c r="G287" s="129"/>
      <c r="H287" s="123"/>
      <c r="I287" s="128"/>
    </row>
    <row r="288" spans="1:9" ht="18.75" customHeight="1" x14ac:dyDescent="0.25">
      <c r="A288" s="140"/>
      <c r="B288" s="9" t="s">
        <v>199</v>
      </c>
      <c r="C288" s="9"/>
      <c r="D288" s="9"/>
      <c r="E288" s="9"/>
      <c r="F288" s="9"/>
      <c r="G288" s="44" t="s">
        <v>200</v>
      </c>
      <c r="H288" s="339">
        <f>H286*H258*H261</f>
        <v>1511.7142587142584</v>
      </c>
      <c r="I288" s="45" t="s">
        <v>201</v>
      </c>
    </row>
    <row r="289" spans="1:9" ht="18.75" customHeight="1" x14ac:dyDescent="0.25">
      <c r="A289" s="140"/>
      <c r="B289" s="9" t="s">
        <v>202</v>
      </c>
      <c r="C289" s="9"/>
      <c r="D289" s="9"/>
      <c r="E289" s="9"/>
      <c r="F289" s="9"/>
      <c r="G289" s="44" t="s">
        <v>203</v>
      </c>
      <c r="H289" s="339">
        <f>PI()/4*'Input Data'!H79^2*H258/H288</f>
        <v>212.80416313675971</v>
      </c>
      <c r="I289" s="45" t="s">
        <v>0</v>
      </c>
    </row>
    <row r="290" spans="1:9" ht="18.75" customHeight="1" x14ac:dyDescent="0.25">
      <c r="A290" s="140"/>
      <c r="B290" s="9" t="s">
        <v>204</v>
      </c>
      <c r="C290" s="9"/>
      <c r="D290" s="9"/>
      <c r="E290" s="9"/>
      <c r="F290" s="9"/>
      <c r="G290" s="44" t="s">
        <v>290</v>
      </c>
      <c r="H290" s="339">
        <f>3*H259</f>
        <v>1200</v>
      </c>
      <c r="I290" s="45" t="s">
        <v>0</v>
      </c>
    </row>
    <row r="291" spans="1:9" ht="18.75" customHeight="1" x14ac:dyDescent="0.25">
      <c r="A291" s="140"/>
      <c r="B291" s="9" t="s">
        <v>204</v>
      </c>
      <c r="C291" s="9"/>
      <c r="D291" s="9"/>
      <c r="E291" s="9"/>
      <c r="F291" s="9"/>
      <c r="G291" s="44" t="s">
        <v>205</v>
      </c>
      <c r="H291" s="339">
        <v>450</v>
      </c>
      <c r="I291" s="45" t="s">
        <v>0</v>
      </c>
    </row>
    <row r="292" spans="1:9" ht="18.75" customHeight="1" x14ac:dyDescent="0.25">
      <c r="A292" s="140"/>
      <c r="B292" s="9" t="s">
        <v>206</v>
      </c>
      <c r="C292" s="9"/>
      <c r="D292" s="9"/>
      <c r="E292" s="9"/>
      <c r="F292" s="9"/>
      <c r="G292" s="44" t="s">
        <v>207</v>
      </c>
      <c r="H292" s="339">
        <f>MIN(H289:H291)</f>
        <v>212.80416313675971</v>
      </c>
      <c r="I292" s="45" t="s">
        <v>0</v>
      </c>
    </row>
    <row r="293" spans="1:9" ht="18.75" customHeight="1" x14ac:dyDescent="0.25">
      <c r="A293" s="140"/>
      <c r="B293" s="9" t="s">
        <v>208</v>
      </c>
      <c r="C293" s="9"/>
      <c r="D293" s="9"/>
      <c r="E293" s="9"/>
      <c r="F293" s="42" t="s">
        <v>3</v>
      </c>
      <c r="G293" s="44" t="s">
        <v>207</v>
      </c>
      <c r="H293" s="339">
        <f>ROUNDDOWN(H292/50,0)*50</f>
        <v>200</v>
      </c>
      <c r="I293" s="45" t="s">
        <v>0</v>
      </c>
    </row>
    <row r="294" spans="1:9" ht="18.75" customHeight="1" x14ac:dyDescent="0.25">
      <c r="A294" s="140"/>
      <c r="B294" s="9" t="s">
        <v>209</v>
      </c>
      <c r="C294" s="9"/>
      <c r="D294" s="9"/>
      <c r="G294" s="284"/>
      <c r="H294" s="400" t="str">
        <f>"D"&amp;'Input Data'!H79&amp;"  -  "&amp;H293</f>
        <v>D16  -  200</v>
      </c>
      <c r="I294" s="45"/>
    </row>
    <row r="295" spans="1:9" ht="18.75" customHeight="1" x14ac:dyDescent="0.25">
      <c r="A295" s="140"/>
      <c r="B295" s="9" t="s">
        <v>210</v>
      </c>
      <c r="C295" s="9"/>
      <c r="D295" s="9"/>
      <c r="E295" s="9"/>
      <c r="F295" s="9"/>
      <c r="G295" s="44" t="s">
        <v>211</v>
      </c>
      <c r="H295" s="338">
        <f>PI()/4*'Input Data'!H79^2*H258/H293</f>
        <v>1608.4954386379741</v>
      </c>
      <c r="I295" s="45" t="s">
        <v>201</v>
      </c>
    </row>
    <row r="296" spans="1:9" ht="18.75" customHeight="1" x14ac:dyDescent="0.25">
      <c r="A296" s="140"/>
      <c r="B296" s="9"/>
      <c r="C296" s="9"/>
      <c r="D296" s="9"/>
      <c r="E296" s="9"/>
      <c r="F296" s="9"/>
      <c r="G296" s="9"/>
      <c r="H296" s="9"/>
      <c r="I296" s="45"/>
    </row>
    <row r="297" spans="1:9" ht="18.75" customHeight="1" x14ac:dyDescent="0.25">
      <c r="A297" s="140"/>
      <c r="B297" s="9" t="s">
        <v>212</v>
      </c>
      <c r="C297" s="9"/>
      <c r="D297" s="9"/>
      <c r="E297" s="9"/>
      <c r="F297" s="9"/>
      <c r="G297" s="44" t="s">
        <v>213</v>
      </c>
      <c r="H297" s="338">
        <f>H295*H263/1000</f>
        <v>643.39817545518963</v>
      </c>
      <c r="I297" s="130" t="s">
        <v>5</v>
      </c>
    </row>
    <row r="298" spans="1:9" ht="18.75" customHeight="1" x14ac:dyDescent="0.25">
      <c r="A298" s="140"/>
      <c r="B298" s="9" t="s">
        <v>214</v>
      </c>
      <c r="C298" s="9"/>
      <c r="D298" s="9"/>
      <c r="E298" s="31"/>
      <c r="F298" s="9"/>
      <c r="G298" s="44" t="s">
        <v>215</v>
      </c>
      <c r="H298" s="338" t="str">
        <f>TEXT(0.85*H262*H269*H258/1000, "0,00")&amp;" * c"</f>
        <v>34,10 * c</v>
      </c>
      <c r="I298" s="45" t="s">
        <v>5</v>
      </c>
    </row>
    <row r="299" spans="1:9" ht="18.75" customHeight="1" x14ac:dyDescent="0.25">
      <c r="A299" s="140"/>
      <c r="B299" s="123"/>
      <c r="C299" s="31"/>
      <c r="D299" s="9"/>
      <c r="E299" s="131"/>
      <c r="F299" s="9"/>
      <c r="G299" s="9"/>
      <c r="H299" s="9"/>
      <c r="I299" s="45"/>
    </row>
    <row r="300" spans="1:9" ht="18.75" customHeight="1" x14ac:dyDescent="0.25">
      <c r="A300" s="140"/>
      <c r="B300" s="123" t="s">
        <v>216</v>
      </c>
      <c r="C300" s="9"/>
      <c r="D300" s="9"/>
      <c r="E300" s="9"/>
      <c r="F300" s="9"/>
      <c r="G300" s="312" t="s">
        <v>217</v>
      </c>
      <c r="H300" s="313" t="s">
        <v>504</v>
      </c>
      <c r="I300" s="132"/>
    </row>
    <row r="301" spans="1:9" ht="18.75" customHeight="1" x14ac:dyDescent="0.25">
      <c r="A301" s="140"/>
      <c r="B301" s="123"/>
      <c r="C301" s="9"/>
      <c r="D301" s="9"/>
      <c r="E301" s="9"/>
      <c r="G301" s="314" t="str">
        <f>H298&amp;" ="</f>
        <v>34,10 * c =</v>
      </c>
      <c r="H301" s="316">
        <f>H297</f>
        <v>643.39817545518963</v>
      </c>
      <c r="I301" s="45"/>
    </row>
    <row r="302" spans="1:9" ht="18.75" customHeight="1" x14ac:dyDescent="0.25">
      <c r="A302" s="140"/>
      <c r="B302" s="9"/>
      <c r="C302" s="9"/>
      <c r="D302" s="9"/>
      <c r="E302" s="9"/>
      <c r="F302" s="9"/>
      <c r="G302" s="44"/>
      <c r="H302" s="133"/>
      <c r="I302" s="130"/>
    </row>
    <row r="303" spans="1:9" ht="18.75" customHeight="1" x14ac:dyDescent="0.25">
      <c r="A303" s="140"/>
      <c r="B303" s="123" t="s">
        <v>219</v>
      </c>
      <c r="C303" s="44"/>
      <c r="D303" s="9"/>
      <c r="E303" s="31"/>
      <c r="F303" s="123"/>
      <c r="G303" s="44" t="s">
        <v>6</v>
      </c>
      <c r="H303" s="338">
        <f>H301/(0.85*H262*H269*H258/1000)</f>
        <v>18.869562712361013</v>
      </c>
      <c r="I303" s="130" t="s">
        <v>0</v>
      </c>
    </row>
    <row r="304" spans="1:9" ht="18.75" customHeight="1" x14ac:dyDescent="0.25">
      <c r="A304" s="140"/>
      <c r="B304" s="9" t="s">
        <v>214</v>
      </c>
      <c r="C304" s="31"/>
      <c r="D304" s="9"/>
      <c r="E304" s="31"/>
      <c r="F304" s="9"/>
      <c r="G304" s="44" t="s">
        <v>220</v>
      </c>
      <c r="H304" s="310">
        <f>0.85*H262*H269*H258/1000*H303</f>
        <v>643.39817545518963</v>
      </c>
      <c r="I304" s="130" t="s">
        <v>5</v>
      </c>
    </row>
    <row r="305" spans="1:9" ht="18.75" customHeight="1" x14ac:dyDescent="0.25">
      <c r="A305" s="140"/>
      <c r="B305" s="9" t="s">
        <v>212</v>
      </c>
      <c r="C305" s="31"/>
      <c r="D305" s="9"/>
      <c r="E305" s="31"/>
      <c r="F305" s="9"/>
      <c r="G305" s="44" t="s">
        <v>221</v>
      </c>
      <c r="H305" s="310">
        <f>H295*H263/1000</f>
        <v>643.39817545518963</v>
      </c>
      <c r="I305" s="130" t="s">
        <v>5</v>
      </c>
    </row>
    <row r="306" spans="1:9" ht="18.75" customHeight="1" x14ac:dyDescent="0.25">
      <c r="A306" s="140"/>
      <c r="B306" s="123"/>
      <c r="C306" s="9"/>
      <c r="D306" s="9"/>
      <c r="E306" s="9"/>
      <c r="F306" s="44"/>
      <c r="G306" s="31"/>
      <c r="H306" s="123"/>
      <c r="I306" s="128"/>
    </row>
    <row r="307" spans="1:9" ht="18.75" customHeight="1" x14ac:dyDescent="0.25">
      <c r="A307" s="140"/>
      <c r="B307" s="123" t="s">
        <v>222</v>
      </c>
      <c r="C307" s="9"/>
      <c r="D307" s="9"/>
      <c r="E307" s="9"/>
      <c r="F307" s="44"/>
      <c r="G307" s="31"/>
      <c r="H307" s="123"/>
      <c r="I307" s="128"/>
    </row>
    <row r="308" spans="1:9" ht="18.75" customHeight="1" x14ac:dyDescent="0.25">
      <c r="A308" s="140"/>
      <c r="B308" s="123"/>
      <c r="C308" s="123" t="s">
        <v>223</v>
      </c>
      <c r="D308" s="9"/>
      <c r="E308" s="9"/>
      <c r="F308" s="9"/>
      <c r="G308" s="44"/>
      <c r="H308" s="31"/>
      <c r="I308" s="45"/>
    </row>
    <row r="309" spans="1:9" ht="18.75" customHeight="1" x14ac:dyDescent="0.25">
      <c r="A309" s="140"/>
      <c r="B309" s="123"/>
      <c r="C309" s="123"/>
      <c r="D309" s="9" t="s">
        <v>224</v>
      </c>
      <c r="E309" s="9"/>
      <c r="F309" s="9" t="s">
        <v>225</v>
      </c>
      <c r="G309" s="44"/>
      <c r="H309" s="31"/>
      <c r="I309" s="45"/>
    </row>
    <row r="310" spans="1:9" ht="18.75" customHeight="1" x14ac:dyDescent="0.25">
      <c r="A310" s="140"/>
      <c r="B310" s="123"/>
      <c r="C310" s="9"/>
      <c r="D310" s="310">
        <f>(H261-H303)/H303*0.003</f>
        <v>4.0880190157114582E-2</v>
      </c>
      <c r="E310" s="31" t="str">
        <f>IF(D310&lt;F310,"&lt;","&gt;")</f>
        <v>&gt;</v>
      </c>
      <c r="F310" s="309">
        <f>H263/H264</f>
        <v>2E-3</v>
      </c>
      <c r="G310" s="42" t="s">
        <v>3</v>
      </c>
      <c r="H310" s="144" t="str">
        <f>IF(D310&gt;=F310,"[ OK ]","[ NOT OK ]")</f>
        <v>[ OK ]</v>
      </c>
      <c r="I310" s="1"/>
    </row>
    <row r="311" spans="1:9" ht="18.75" customHeight="1" x14ac:dyDescent="0.25">
      <c r="A311" s="140"/>
      <c r="B311" s="123" t="s">
        <v>226</v>
      </c>
      <c r="C311" s="9"/>
      <c r="D311" s="9"/>
      <c r="E311" s="9"/>
      <c r="F311" s="9"/>
      <c r="G311" s="42" t="s">
        <v>3</v>
      </c>
      <c r="H311" s="365" t="str">
        <f>IF(D310&lt;=F310,"Tekanan Terkontrol",IF(D310&lt;0.005,"Transisi",IF(D310&gt;0.005,"Tegangan Terkontrol","EROR")))</f>
        <v>Tegangan Terkontrol</v>
      </c>
      <c r="I311" s="366"/>
    </row>
    <row r="312" spans="1:9" ht="18.75" customHeight="1" x14ac:dyDescent="0.25">
      <c r="A312" s="140"/>
      <c r="B312" s="123"/>
      <c r="C312" s="9"/>
      <c r="D312" s="9"/>
      <c r="E312" s="9"/>
      <c r="F312" s="9"/>
      <c r="G312" s="42"/>
      <c r="H312" s="138"/>
      <c r="I312" s="45"/>
    </row>
    <row r="313" spans="1:9" ht="18.75" customHeight="1" x14ac:dyDescent="0.25">
      <c r="A313" s="140"/>
      <c r="B313" s="123" t="s">
        <v>227</v>
      </c>
      <c r="C313" s="9"/>
      <c r="D313" s="9"/>
      <c r="E313" s="9"/>
      <c r="F313" s="9"/>
      <c r="G313" s="124" t="str">
        <f>IF(D310&lt;=F310,"φ =",IF(D310&lt;0.005,"φ = 0,65 + 0,25 * (εs' - εs-yield)/(0,005 - εs-yield) =",IF(D310&gt;0.005,"φ =","EROR")))</f>
        <v>φ =</v>
      </c>
      <c r="H313" s="338">
        <f>IF(D310&lt;=F310,0.65,IF(D310&lt;0.005,0.65+0.25*(D310-F310)/(0.005-F310),IF(D310&gt;0.005,0.9,"EROR")))</f>
        <v>0.9</v>
      </c>
      <c r="I313" s="45"/>
    </row>
    <row r="314" spans="1:9" ht="18.75" customHeight="1" x14ac:dyDescent="0.25">
      <c r="A314" s="140"/>
      <c r="B314" s="123" t="s">
        <v>228</v>
      </c>
      <c r="C314" s="9"/>
      <c r="D314" s="9"/>
      <c r="E314" s="9"/>
      <c r="F314" s="9"/>
      <c r="G314" s="44" t="s">
        <v>229</v>
      </c>
      <c r="H314" s="310">
        <f>H304*(H261-H269*H303/2)/1000</f>
        <v>172.50484235481045</v>
      </c>
      <c r="I314" s="45" t="s">
        <v>2</v>
      </c>
    </row>
    <row r="315" spans="1:9" ht="18.75" customHeight="1" x14ac:dyDescent="0.25">
      <c r="A315" s="140"/>
      <c r="B315" s="123" t="s">
        <v>307</v>
      </c>
      <c r="C315" s="9"/>
      <c r="D315" s="9"/>
      <c r="E315" s="9"/>
      <c r="F315" s="9"/>
      <c r="G315" s="44"/>
      <c r="H315" s="133"/>
      <c r="I315" s="45"/>
    </row>
    <row r="316" spans="1:9" ht="18.75" customHeight="1" x14ac:dyDescent="0.25">
      <c r="A316" s="140"/>
      <c r="C316" s="9" t="s">
        <v>4</v>
      </c>
      <c r="D316" s="156" t="s">
        <v>230</v>
      </c>
      <c r="E316" s="31" t="s">
        <v>120</v>
      </c>
      <c r="F316" s="156" t="s">
        <v>231</v>
      </c>
      <c r="G316" s="9"/>
      <c r="H316" s="9"/>
      <c r="I316" s="45"/>
    </row>
    <row r="317" spans="1:9" ht="18.75" customHeight="1" x14ac:dyDescent="0.25">
      <c r="A317" s="140"/>
      <c r="B317" s="9"/>
      <c r="C317" s="9"/>
      <c r="D317" s="310">
        <f>H313*H314</f>
        <v>155.2543581193294</v>
      </c>
      <c r="E317" s="31" t="str">
        <f>IF(D317&gt;F317,"&gt;","&lt;")</f>
        <v>&gt;</v>
      </c>
      <c r="F317" s="310">
        <f>H257</f>
        <v>45.567289062499988</v>
      </c>
      <c r="G317" s="42" t="s">
        <v>3</v>
      </c>
      <c r="H317" s="129" t="str">
        <f>IF(D317&gt;=F317,"[ AMAN (OK) ]","BAHAYA  (NG)")</f>
        <v>[ AMAN (OK) ]</v>
      </c>
      <c r="I317" s="45"/>
    </row>
    <row r="318" spans="1:9" ht="18.75" customHeight="1" x14ac:dyDescent="0.25">
      <c r="A318" s="152"/>
      <c r="B318" s="114"/>
      <c r="C318" s="114"/>
      <c r="G318" s="25"/>
      <c r="H318" s="114"/>
      <c r="I318" s="39"/>
    </row>
    <row r="319" spans="1:9" ht="18.75" customHeight="1" x14ac:dyDescent="0.25">
      <c r="A319" s="151" t="s">
        <v>287</v>
      </c>
      <c r="B319" s="63" t="s">
        <v>288</v>
      </c>
      <c r="C319" s="113"/>
      <c r="D319" s="59"/>
      <c r="E319" s="59"/>
      <c r="F319" s="59"/>
      <c r="G319" s="59"/>
      <c r="H319" s="113"/>
      <c r="I319" s="66"/>
    </row>
    <row r="320" spans="1:9" ht="18.75" customHeight="1" x14ac:dyDescent="0.25">
      <c r="A320" s="152"/>
      <c r="B320" s="2" t="s">
        <v>234</v>
      </c>
      <c r="C320" s="2"/>
      <c r="G320" s="25" t="s">
        <v>235</v>
      </c>
      <c r="H320" s="340">
        <f>IF(H5&lt;420,0.002,IF(H5&gt;=420,MAX(0.0018*420/H5,0.0014),"[ EROR ]"))</f>
        <v>2E-3</v>
      </c>
      <c r="I320" s="39"/>
    </row>
    <row r="321" spans="1:9" ht="18.75" customHeight="1" x14ac:dyDescent="0.25">
      <c r="A321" s="152"/>
      <c r="B321" s="2" t="s">
        <v>236</v>
      </c>
      <c r="C321" s="2"/>
      <c r="G321" s="25" t="s">
        <v>237</v>
      </c>
      <c r="H321" s="335">
        <f>H320*H195*H198</f>
        <v>883.2</v>
      </c>
      <c r="I321" s="39" t="s">
        <v>201</v>
      </c>
    </row>
    <row r="322" spans="1:9" ht="18.75" customHeight="1" x14ac:dyDescent="0.25">
      <c r="A322" s="152"/>
      <c r="B322" s="2" t="s">
        <v>238</v>
      </c>
      <c r="C322" s="2"/>
      <c r="G322" s="25" t="s">
        <v>239</v>
      </c>
      <c r="H322" s="335">
        <f>H320*H258*H261</f>
        <v>883.2</v>
      </c>
      <c r="I322" s="39" t="s">
        <v>201</v>
      </c>
    </row>
    <row r="323" spans="1:9" ht="18.75" customHeight="1" x14ac:dyDescent="0.25">
      <c r="A323" s="152"/>
      <c r="B323" s="2" t="s">
        <v>240</v>
      </c>
      <c r="C323" s="27"/>
      <c r="G323" s="172"/>
      <c r="H323" s="341" t="str">
        <f>"D"&amp;'Input Data'!H80</f>
        <v>D13</v>
      </c>
      <c r="I323" s="39" t="s">
        <v>0</v>
      </c>
    </row>
    <row r="324" spans="1:9" ht="18.75" customHeight="1" x14ac:dyDescent="0.25">
      <c r="A324" s="152"/>
      <c r="B324" s="2" t="s">
        <v>243</v>
      </c>
      <c r="C324" s="27"/>
      <c r="G324" s="44" t="s">
        <v>290</v>
      </c>
      <c r="H324" s="335">
        <f>H290</f>
        <v>1200</v>
      </c>
      <c r="I324" s="39" t="s">
        <v>0</v>
      </c>
    </row>
    <row r="325" spans="1:9" ht="18.75" customHeight="1" x14ac:dyDescent="0.25">
      <c r="A325" s="152"/>
      <c r="B325" s="2"/>
      <c r="C325" s="27"/>
      <c r="G325" s="44" t="s">
        <v>291</v>
      </c>
      <c r="H325" s="335">
        <v>450</v>
      </c>
      <c r="I325" s="39"/>
    </row>
    <row r="326" spans="1:9" ht="18.75" customHeight="1" x14ac:dyDescent="0.25">
      <c r="A326" s="152"/>
      <c r="B326" s="2" t="s">
        <v>241</v>
      </c>
      <c r="C326" s="27"/>
      <c r="G326" s="25" t="s">
        <v>242</v>
      </c>
      <c r="H326" s="335">
        <f>PI()/4*'Input Data'!H80^2*H195/H321</f>
        <v>240.45704640247965</v>
      </c>
      <c r="I326" s="39" t="s">
        <v>0</v>
      </c>
    </row>
    <row r="327" spans="1:9" ht="18.75" customHeight="1" x14ac:dyDescent="0.25">
      <c r="A327" s="152"/>
      <c r="B327" s="2" t="s">
        <v>244</v>
      </c>
      <c r="C327" s="27"/>
      <c r="F327" s="139"/>
      <c r="G327" s="44" t="s">
        <v>245</v>
      </c>
      <c r="H327" s="335">
        <f>ROUNDDOWN(MIN(H324:H326)/50,0)*50</f>
        <v>200</v>
      </c>
      <c r="I327" s="39" t="s">
        <v>0</v>
      </c>
    </row>
    <row r="328" spans="1:9" ht="18.75" customHeight="1" x14ac:dyDescent="0.25">
      <c r="A328" s="152"/>
      <c r="B328" s="2" t="s">
        <v>246</v>
      </c>
      <c r="C328" s="2"/>
      <c r="G328" s="25" t="s">
        <v>247</v>
      </c>
      <c r="H328" s="335">
        <f>PI()/4*'Input Data'!H80^2*H258/H322</f>
        <v>240.45704640247965</v>
      </c>
      <c r="I328" s="39" t="s">
        <v>0</v>
      </c>
    </row>
    <row r="329" spans="1:9" ht="18.75" customHeight="1" x14ac:dyDescent="0.25">
      <c r="A329" s="152"/>
      <c r="B329" s="2" t="s">
        <v>248</v>
      </c>
      <c r="C329" s="2"/>
      <c r="F329" s="139"/>
      <c r="G329" s="44" t="s">
        <v>249</v>
      </c>
      <c r="H329" s="335">
        <f>ROUNDDOWN(MIN(H328,H324:H325)/50,0)*50</f>
        <v>200</v>
      </c>
      <c r="I329" s="39" t="s">
        <v>0</v>
      </c>
    </row>
    <row r="330" spans="1:9" ht="18.75" customHeight="1" x14ac:dyDescent="0.25">
      <c r="A330" s="152"/>
      <c r="B330" s="2" t="s">
        <v>250</v>
      </c>
      <c r="C330" s="2"/>
      <c r="G330" s="285"/>
      <c r="H330" s="401" t="str">
        <f>H323&amp;"  -  "&amp;H327</f>
        <v>D13  -  200</v>
      </c>
      <c r="I330" s="39"/>
    </row>
    <row r="331" spans="1:9" ht="18.75" customHeight="1" x14ac:dyDescent="0.25">
      <c r="A331" s="152"/>
      <c r="B331" s="2" t="s">
        <v>251</v>
      </c>
      <c r="C331" s="2"/>
      <c r="G331" s="285"/>
      <c r="H331" s="401" t="str">
        <f>H323&amp;"  -  "&amp;H329</f>
        <v>D13  -  200</v>
      </c>
      <c r="I331" s="39"/>
    </row>
    <row r="332" spans="1:9" ht="18.75" customHeight="1" x14ac:dyDescent="0.25">
      <c r="A332" s="153"/>
      <c r="I332" s="40"/>
    </row>
    <row r="333" spans="1:9" ht="18.75" customHeight="1" x14ac:dyDescent="0.25">
      <c r="A333" s="154"/>
      <c r="B333" s="46"/>
      <c r="C333" s="46"/>
      <c r="D333" s="46"/>
      <c r="E333" s="46"/>
      <c r="F333" s="46"/>
      <c r="G333" s="46"/>
      <c r="H333" s="46"/>
      <c r="I333" s="47"/>
    </row>
  </sheetData>
  <mergeCells count="11">
    <mergeCell ref="H311:I311"/>
    <mergeCell ref="B1:F1"/>
    <mergeCell ref="B61:B63"/>
    <mergeCell ref="F61:F62"/>
    <mergeCell ref="G61:G62"/>
    <mergeCell ref="H61:H62"/>
    <mergeCell ref="B114:B116"/>
    <mergeCell ref="F114:F115"/>
    <mergeCell ref="G114:G115"/>
    <mergeCell ref="H114:H115"/>
    <mergeCell ref="H248:I248"/>
  </mergeCells>
  <conditionalFormatting sqref="H317 H254 H189 H186 H154 H138">
    <cfRule type="containsText" dxfId="1" priority="1" operator="containsText" text="[ TDK AMAN (NG) ]">
      <formula>NOT(ISERROR(SEARCH("[ TDK AMAN (NG) ]",H138)))</formula>
    </cfRule>
    <cfRule type="containsText" dxfId="0" priority="2" operator="containsText" text="[ AMAN (OK) ]">
      <formula>NOT(ISERROR(SEARCH("[ AMAN (OK) ]",H138)))</formula>
    </cfRule>
  </conditionalFormatting>
  <pageMargins left="0.7" right="0.7" top="0.75" bottom="0.75" header="0.3" footer="0.3"/>
  <pageSetup paperSize="9" orientation="portrait" horizontalDpi="4294967293" verticalDpi="0" r:id="rId1"/>
  <ignoredErrors>
    <ignoredError sqref="H133 H135 H149:H154 H181:H183 H208:H211 H266:H268 H273 H130:H132 D138:E138 E154:F154 H216:H218 E221 H221:H230 H234 D247:I253 F108:F110 C120 G122 F117 C118 E118:F118 C119 E119:H119 E120:H120 H121 H117 H118 H236 H238:H239 H242 D254:G254 I254" evalError="1"/>
    <ignoredError sqref="H323" unlocked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3374D-E58C-4E3E-A5EE-8A210A170F2A}">
  <sheetPr>
    <tabColor theme="8"/>
  </sheetPr>
  <dimension ref="A1:I56"/>
  <sheetViews>
    <sheetView showGridLines="0" workbookViewId="0">
      <selection activeCell="H33" sqref="H33"/>
    </sheetView>
  </sheetViews>
  <sheetFormatPr defaultRowHeight="15" x14ac:dyDescent="0.25"/>
  <cols>
    <col min="1" max="1" width="4.28515625" customWidth="1"/>
    <col min="2" max="9" width="12.85546875" customWidth="1"/>
  </cols>
  <sheetData>
    <row r="1" spans="1:9" s="1" customFormat="1" ht="18.75" customHeight="1" x14ac:dyDescent="0.25"/>
    <row r="2" spans="1:9" s="1" customFormat="1" ht="18.75" customHeight="1" x14ac:dyDescent="0.25">
      <c r="B2" s="173" t="s">
        <v>308</v>
      </c>
    </row>
    <row r="3" spans="1:9" s="1" customFormat="1" ht="18.75" customHeight="1" x14ac:dyDescent="0.25">
      <c r="B3" s="1" t="s">
        <v>309</v>
      </c>
      <c r="G3" s="25" t="s">
        <v>353</v>
      </c>
      <c r="H3" s="4" t="str">
        <f>'Input Data'!H28&amp;" m"</f>
        <v>0,5 m</v>
      </c>
      <c r="I3" s="3"/>
    </row>
    <row r="4" spans="1:9" s="1" customFormat="1" ht="18.75" customHeight="1" x14ac:dyDescent="0.25">
      <c r="B4" s="1" t="s">
        <v>310</v>
      </c>
      <c r="G4" s="25" t="s">
        <v>80</v>
      </c>
      <c r="H4" s="4" t="str">
        <f>'Input Data'!H29&amp;" m"</f>
        <v>0,6 m</v>
      </c>
      <c r="I4" s="3"/>
    </row>
    <row r="5" spans="1:9" s="1" customFormat="1" ht="18.75" customHeight="1" x14ac:dyDescent="0.25">
      <c r="B5" s="173"/>
      <c r="G5" s="41"/>
      <c r="I5" s="3"/>
    </row>
    <row r="6" spans="1:9" s="1" customFormat="1" ht="18.75" customHeight="1" x14ac:dyDescent="0.25">
      <c r="B6" s="1" t="s">
        <v>311</v>
      </c>
      <c r="G6" s="41" t="s">
        <v>312</v>
      </c>
      <c r="H6" s="4" t="str">
        <f>'Input Data'!H32&amp;" m"</f>
        <v>0,4 m</v>
      </c>
      <c r="I6" s="3"/>
    </row>
    <row r="7" spans="1:9" s="1" customFormat="1" ht="18.75" customHeight="1" x14ac:dyDescent="0.25">
      <c r="B7" s="1" t="s">
        <v>313</v>
      </c>
      <c r="G7" s="41" t="s">
        <v>314</v>
      </c>
      <c r="H7" s="4" t="str">
        <f>'Input Data'!H30&amp;" m"</f>
        <v>1,6 m</v>
      </c>
      <c r="I7" s="3"/>
    </row>
    <row r="8" spans="1:9" s="1" customFormat="1" ht="18.75" customHeight="1" x14ac:dyDescent="0.25">
      <c r="B8" s="1" t="s">
        <v>315</v>
      </c>
      <c r="G8" s="41" t="s">
        <v>316</v>
      </c>
      <c r="H8" s="4" t="str">
        <f>'Input Data'!H31&amp;" m"</f>
        <v>1,6 m</v>
      </c>
      <c r="I8" s="3"/>
    </row>
    <row r="9" spans="1:9" s="1" customFormat="1" ht="18.75" customHeight="1" x14ac:dyDescent="0.25">
      <c r="B9" s="1" t="s">
        <v>317</v>
      </c>
      <c r="G9" s="41" t="s">
        <v>318</v>
      </c>
      <c r="H9" s="4" t="str">
        <f>'Input Data'!H34&amp;" m"</f>
        <v>100 m</v>
      </c>
      <c r="I9" s="3"/>
    </row>
    <row r="10" spans="1:9" s="1" customFormat="1" ht="18.75" customHeight="1" x14ac:dyDescent="0.25">
      <c r="B10" s="1" t="s">
        <v>319</v>
      </c>
      <c r="G10" s="41" t="s">
        <v>320</v>
      </c>
      <c r="H10" s="4" t="str">
        <f>'Input Data'!H4&amp;" m (m.t.a.)"</f>
        <v>-2 m (m.t.a.)</v>
      </c>
      <c r="I10" s="174"/>
    </row>
    <row r="11" spans="1:9" s="1" customFormat="1" ht="18.75" customHeight="1" x14ac:dyDescent="0.25">
      <c r="B11" s="175" t="s">
        <v>321</v>
      </c>
    </row>
    <row r="12" spans="1:9" s="1" customFormat="1" ht="18.75" customHeight="1" x14ac:dyDescent="0.25">
      <c r="B12" s="32"/>
    </row>
    <row r="13" spans="1:9" s="13" customFormat="1" ht="18.75" customHeight="1" x14ac:dyDescent="0.25">
      <c r="A13" s="49"/>
      <c r="B13" s="356" t="s">
        <v>48</v>
      </c>
      <c r="C13" s="357"/>
      <c r="D13" s="346" t="s">
        <v>49</v>
      </c>
      <c r="E13" s="346" t="s">
        <v>50</v>
      </c>
      <c r="F13" s="106" t="s">
        <v>261</v>
      </c>
      <c r="G13" s="106" t="s">
        <v>262</v>
      </c>
      <c r="H13" s="106" t="s">
        <v>263</v>
      </c>
    </row>
    <row r="14" spans="1:9" s="13" customFormat="1" ht="18.75" customHeight="1" x14ac:dyDescent="0.25">
      <c r="A14" s="49"/>
      <c r="B14" s="358"/>
      <c r="C14" s="359"/>
      <c r="D14" s="355"/>
      <c r="E14" s="355"/>
      <c r="F14" s="278" t="s">
        <v>5</v>
      </c>
      <c r="G14" s="278" t="s">
        <v>2</v>
      </c>
      <c r="H14" s="278" t="s">
        <v>2</v>
      </c>
    </row>
    <row r="15" spans="1:9" s="13" customFormat="1" ht="18.75" customHeight="1" x14ac:dyDescent="0.25">
      <c r="A15" s="49"/>
      <c r="B15" s="353" t="s">
        <v>488</v>
      </c>
      <c r="C15" s="353"/>
      <c r="D15" s="275" t="s">
        <v>51</v>
      </c>
      <c r="E15" s="219" t="s">
        <v>42</v>
      </c>
      <c r="F15" s="220">
        <f>'Process (1)'!F83</f>
        <v>724.12544000000003</v>
      </c>
      <c r="G15" s="260"/>
      <c r="H15" s="260"/>
    </row>
    <row r="16" spans="1:9" s="13" customFormat="1" ht="18.75" customHeight="1" x14ac:dyDescent="0.25">
      <c r="A16" s="49"/>
      <c r="B16" s="353" t="s">
        <v>489</v>
      </c>
      <c r="C16" s="353"/>
      <c r="D16" s="275" t="s">
        <v>51</v>
      </c>
      <c r="E16" s="219" t="s">
        <v>42</v>
      </c>
      <c r="F16" s="220">
        <f>'Process (1)'!F84</f>
        <v>306.77120000000002</v>
      </c>
      <c r="G16" s="220">
        <f>'Process (1)'!G84</f>
        <v>8</v>
      </c>
      <c r="H16" s="220">
        <f>'Process (1)'!H84</f>
        <v>14</v>
      </c>
    </row>
    <row r="17" spans="1:9" s="13" customFormat="1" ht="18.75" customHeight="1" x14ac:dyDescent="0.25">
      <c r="A17" s="49"/>
      <c r="B17" s="354" t="s">
        <v>490</v>
      </c>
      <c r="C17" s="354"/>
      <c r="D17" s="276" t="s">
        <v>51</v>
      </c>
      <c r="E17" s="223" t="s">
        <v>42</v>
      </c>
      <c r="F17" s="224">
        <f>'Process (1)'!F85</f>
        <v>256.77120000000002</v>
      </c>
      <c r="G17" s="224">
        <f>'Process (1)'!G85</f>
        <v>60</v>
      </c>
      <c r="H17" s="224">
        <f>'Process (1)'!H85</f>
        <v>90</v>
      </c>
    </row>
    <row r="18" spans="1:9" s="13" customFormat="1" ht="18.75" customHeight="1" x14ac:dyDescent="0.25">
      <c r="A18" s="49"/>
      <c r="B18" s="354" t="s">
        <v>491</v>
      </c>
      <c r="C18" s="354"/>
      <c r="D18" s="276" t="s">
        <v>51</v>
      </c>
      <c r="E18" s="223" t="s">
        <v>43</v>
      </c>
      <c r="F18" s="224">
        <f>'Process (1)'!F86</f>
        <v>176.77120000000002</v>
      </c>
      <c r="G18" s="224">
        <f>'Process (1)'!G86</f>
        <v>30</v>
      </c>
      <c r="H18" s="224">
        <f>'Process (1)'!H86</f>
        <v>95</v>
      </c>
    </row>
    <row r="19" spans="1:9" s="13" customFormat="1" ht="18.75" customHeight="1" x14ac:dyDescent="0.25">
      <c r="A19" s="49"/>
      <c r="B19" s="352" t="s">
        <v>492</v>
      </c>
      <c r="C19" s="352"/>
      <c r="D19" s="277" t="s">
        <v>51</v>
      </c>
      <c r="E19" s="215" t="s">
        <v>42</v>
      </c>
      <c r="F19" s="216">
        <f>'Process (1)'!F87</f>
        <v>246.77120000000002</v>
      </c>
      <c r="G19" s="216">
        <f>'Process (1)'!G87</f>
        <v>110</v>
      </c>
      <c r="H19" s="216">
        <f>'Process (1)'!H87</f>
        <v>40</v>
      </c>
    </row>
    <row r="20" spans="1:9" s="13" customFormat="1" ht="18.75" customHeight="1" x14ac:dyDescent="0.25">
      <c r="A20" s="49"/>
      <c r="B20" s="352" t="s">
        <v>493</v>
      </c>
      <c r="C20" s="352"/>
      <c r="D20" s="277" t="s">
        <v>51</v>
      </c>
      <c r="E20" s="215" t="s">
        <v>43</v>
      </c>
      <c r="F20" s="216">
        <f>'Process (1)'!F88</f>
        <v>186.77120000000002</v>
      </c>
      <c r="G20" s="216">
        <f>'Process (1)'!G88</f>
        <v>90</v>
      </c>
      <c r="H20" s="216">
        <f>'Process (1)'!H88</f>
        <v>30</v>
      </c>
    </row>
    <row r="21" spans="1:9" s="13" customFormat="1" ht="18.75" customHeight="1" x14ac:dyDescent="0.25">
      <c r="A21" s="168"/>
      <c r="B21" s="289"/>
      <c r="C21" s="289"/>
      <c r="D21" s="289"/>
      <c r="E21" s="290"/>
      <c r="F21" s="268"/>
      <c r="G21" s="268"/>
      <c r="H21" s="291"/>
    </row>
    <row r="22" spans="1:9" s="13" customFormat="1" ht="18.75" customHeight="1" x14ac:dyDescent="0.25">
      <c r="A22" s="49"/>
      <c r="B22" s="346" t="s">
        <v>48</v>
      </c>
      <c r="C22" s="346"/>
      <c r="D22" s="106" t="s">
        <v>502</v>
      </c>
      <c r="E22" s="106" t="s">
        <v>497</v>
      </c>
      <c r="F22" s="106" t="s">
        <v>501</v>
      </c>
      <c r="G22" s="348" t="s">
        <v>499</v>
      </c>
      <c r="H22" s="348"/>
      <c r="I22" s="203"/>
    </row>
    <row r="23" spans="1:9" s="13" customFormat="1" ht="18.75" customHeight="1" x14ac:dyDescent="0.25">
      <c r="A23" s="49"/>
      <c r="B23" s="346"/>
      <c r="C23" s="346"/>
      <c r="D23" s="281" t="s">
        <v>498</v>
      </c>
      <c r="E23" s="281" t="s">
        <v>498</v>
      </c>
      <c r="F23" s="281" t="s">
        <v>498</v>
      </c>
      <c r="G23" s="349"/>
      <c r="H23" s="349"/>
      <c r="I23" s="203"/>
    </row>
    <row r="24" spans="1:9" s="13" customFormat="1" ht="18.75" customHeight="1" x14ac:dyDescent="0.25">
      <c r="A24" s="49"/>
      <c r="B24" s="351" t="s">
        <v>489</v>
      </c>
      <c r="C24" s="351"/>
      <c r="D24" s="79">
        <f>'Process (1)'!D107</f>
        <v>87.605937499999982</v>
      </c>
      <c r="E24" s="4">
        <f>'Process (1)'!E107</f>
        <v>152.05906249999998</v>
      </c>
      <c r="F24" s="347">
        <f>'Process (1)'!F107</f>
        <v>362.95146850411572</v>
      </c>
      <c r="G24" s="350" t="str">
        <f>'Process (1)'!G107</f>
        <v>qmax &lt; qa → AMAN (OK)</v>
      </c>
      <c r="H24" s="350">
        <f>'Process (1)'!H107</f>
        <v>0</v>
      </c>
      <c r="I24" s="203"/>
    </row>
    <row r="25" spans="1:9" s="13" customFormat="1" ht="18.75" customHeight="1" x14ac:dyDescent="0.25">
      <c r="A25" s="49"/>
      <c r="B25" s="351" t="s">
        <v>490</v>
      </c>
      <c r="C25" s="351"/>
      <c r="D25" s="79">
        <f>'Process (1)'!D108</f>
        <v>0</v>
      </c>
      <c r="E25" s="4">
        <f>'Process (1)'!E108</f>
        <v>320.02781249999998</v>
      </c>
      <c r="F25" s="347">
        <f>'Process (1)'!F108</f>
        <v>0</v>
      </c>
      <c r="G25" s="350" t="str">
        <f>'Process (1)'!G108</f>
        <v>qmax &lt; qa → AMAN (OK)</v>
      </c>
      <c r="H25" s="350">
        <f>'Process (1)'!H108</f>
        <v>0</v>
      </c>
      <c r="I25" s="203"/>
    </row>
    <row r="26" spans="1:9" s="13" customFormat="1" ht="18.75" customHeight="1" x14ac:dyDescent="0.25">
      <c r="A26" s="49"/>
      <c r="B26" s="351" t="s">
        <v>491</v>
      </c>
      <c r="C26" s="351"/>
      <c r="D26" s="79">
        <f>'Process (1)'!D109</f>
        <v>0</v>
      </c>
      <c r="E26" s="4">
        <f>'Process (1)'!E109</f>
        <v>252.15671874999995</v>
      </c>
      <c r="F26" s="347">
        <f>'Process (1)'!F109</f>
        <v>0</v>
      </c>
      <c r="G26" s="350" t="str">
        <f>'Process (1)'!G109</f>
        <v>qmax &lt; qa → AMAN (OK)</v>
      </c>
      <c r="H26" s="350">
        <f>'Process (1)'!H109</f>
        <v>0</v>
      </c>
      <c r="I26" s="203"/>
    </row>
    <row r="27" spans="1:9" s="13" customFormat="1" ht="18.75" customHeight="1" x14ac:dyDescent="0.25">
      <c r="A27" s="49"/>
      <c r="B27" s="351" t="s">
        <v>492</v>
      </c>
      <c r="C27" s="351"/>
      <c r="D27" s="79">
        <f>'Process (1)'!D110</f>
        <v>0</v>
      </c>
      <c r="E27" s="4">
        <f>'Process (1)'!E110</f>
        <v>316.12156249999998</v>
      </c>
      <c r="F27" s="347">
        <f>'Process (1)'!F110</f>
        <v>0</v>
      </c>
      <c r="G27" s="350" t="str">
        <f>'Process (1)'!G110</f>
        <v>qmax &lt; qa → AMAN (OK)</v>
      </c>
      <c r="H27" s="350">
        <f>'Process (1)'!H110</f>
        <v>0</v>
      </c>
      <c r="I27" s="203"/>
    </row>
    <row r="28" spans="1:9" s="13" customFormat="1" ht="18.75" customHeight="1" x14ac:dyDescent="0.25">
      <c r="A28" s="49"/>
      <c r="B28" s="351" t="s">
        <v>493</v>
      </c>
      <c r="C28" s="351"/>
      <c r="D28" s="79">
        <f>'Process (1)'!D111</f>
        <v>0</v>
      </c>
      <c r="E28" s="4">
        <f>'Process (1)'!E111</f>
        <v>248.73874999999998</v>
      </c>
      <c r="F28" s="347">
        <f>'Process (1)'!F111</f>
        <v>0</v>
      </c>
      <c r="G28" s="350" t="str">
        <f>'Process (1)'!G111</f>
        <v>qmax &lt; qa → AMAN (OK)</v>
      </c>
      <c r="H28" s="350">
        <f>'Process (1)'!H111</f>
        <v>0</v>
      </c>
      <c r="I28" s="203"/>
    </row>
    <row r="29" spans="1:9" s="13" customFormat="1" ht="18.75" customHeight="1" x14ac:dyDescent="0.25">
      <c r="A29" s="168"/>
      <c r="B29" s="289"/>
      <c r="C29" s="289"/>
      <c r="D29" s="289"/>
      <c r="E29" s="290"/>
      <c r="F29" s="268"/>
      <c r="G29" s="268"/>
      <c r="H29" s="291"/>
    </row>
    <row r="30" spans="1:9" s="1" customFormat="1" ht="18.75" customHeight="1" x14ac:dyDescent="0.25">
      <c r="B30" s="1" t="s">
        <v>322</v>
      </c>
      <c r="G30" s="288"/>
      <c r="H30" s="176" t="str">
        <f>'Process (2)'!H231</f>
        <v>D16  -  200</v>
      </c>
    </row>
    <row r="31" spans="1:9" s="1" customFormat="1" ht="18.75" customHeight="1" x14ac:dyDescent="0.25">
      <c r="B31" s="1" t="s">
        <v>323</v>
      </c>
      <c r="G31" s="288"/>
      <c r="H31" s="177" t="str">
        <f>'Process (2)'!H294</f>
        <v>D16  -  200</v>
      </c>
    </row>
    <row r="32" spans="1:9" s="1" customFormat="1" ht="18.75" customHeight="1" x14ac:dyDescent="0.25">
      <c r="B32" s="1" t="s">
        <v>324</v>
      </c>
      <c r="G32" s="288"/>
      <c r="H32" s="176" t="str">
        <f>'Process (2)'!H330</f>
        <v>D13  -  200</v>
      </c>
    </row>
    <row r="33" spans="2:8" s="1" customFormat="1" ht="18.75" customHeight="1" x14ac:dyDescent="0.25">
      <c r="B33" s="1" t="s">
        <v>325</v>
      </c>
      <c r="G33" s="288"/>
      <c r="H33" s="178" t="str">
        <f>'Process (2)'!H331</f>
        <v>D13  -  200</v>
      </c>
    </row>
    <row r="34" spans="2:8" s="1" customFormat="1" ht="18.75" customHeight="1" x14ac:dyDescent="0.25"/>
    <row r="35" spans="2:8" s="1" customFormat="1" ht="18.75" customHeight="1" x14ac:dyDescent="0.25">
      <c r="B35" s="173" t="s">
        <v>326</v>
      </c>
    </row>
    <row r="36" spans="2:8" s="1" customFormat="1" ht="18.75" customHeight="1" x14ac:dyDescent="0.25">
      <c r="B36" s="1" t="s">
        <v>327</v>
      </c>
    </row>
    <row r="37" spans="2:8" s="1" customFormat="1" ht="18.75" customHeight="1" x14ac:dyDescent="0.25">
      <c r="C37" s="2" t="s">
        <v>328</v>
      </c>
      <c r="D37" s="179" t="s">
        <v>149</v>
      </c>
      <c r="E37" s="114" t="s">
        <v>120</v>
      </c>
      <c r="F37" s="179" t="s">
        <v>134</v>
      </c>
      <c r="G37" s="2"/>
    </row>
    <row r="38" spans="2:8" s="1" customFormat="1" ht="18.75" customHeight="1" x14ac:dyDescent="0.25">
      <c r="C38" s="2"/>
      <c r="D38" s="180">
        <f>'Process (2)'!D138</f>
        <v>604.68570348570324</v>
      </c>
      <c r="E38" s="181" t="str">
        <f>IF(D38&lt;=F38,"&lt;","&gt;")</f>
        <v>&gt;</v>
      </c>
      <c r="F38" s="180">
        <f>'Process (2)'!F138</f>
        <v>70.297564374999979</v>
      </c>
      <c r="G38" s="182" t="s">
        <v>3</v>
      </c>
      <c r="H38" s="183" t="str">
        <f>IF(D38&gt;F38,"AMAN (OK)","BAHAYA (NG)")</f>
        <v>AMAN (OK)</v>
      </c>
    </row>
    <row r="39" spans="2:8" s="1" customFormat="1" ht="18.75" customHeight="1" x14ac:dyDescent="0.25">
      <c r="B39" s="1" t="s">
        <v>329</v>
      </c>
    </row>
    <row r="40" spans="2:8" s="1" customFormat="1" ht="18.75" customHeight="1" x14ac:dyDescent="0.25">
      <c r="C40" s="2" t="s">
        <v>328</v>
      </c>
      <c r="D40" s="179" t="s">
        <v>149</v>
      </c>
      <c r="E40" s="114" t="s">
        <v>120</v>
      </c>
      <c r="F40" s="179" t="s">
        <v>134</v>
      </c>
      <c r="G40" s="2"/>
    </row>
    <row r="41" spans="2:8" s="1" customFormat="1" ht="18.75" customHeight="1" x14ac:dyDescent="0.25">
      <c r="C41" s="2"/>
      <c r="D41" s="180">
        <f>'Process (2)'!D154</f>
        <v>604.68570348570324</v>
      </c>
      <c r="E41" s="181" t="str">
        <f>IF(D41&lt;=F41,"&lt;","&gt;")</f>
        <v>&gt;</v>
      </c>
      <c r="F41" s="180">
        <f>'Process (2)'!F154</f>
        <v>62.349607343749987</v>
      </c>
      <c r="G41" s="182" t="s">
        <v>3</v>
      </c>
      <c r="H41" s="183" t="str">
        <f>IF(D41&gt;F41,"AMAN (OK)","BAHAYA (NG)")</f>
        <v>AMAN (OK)</v>
      </c>
    </row>
    <row r="42" spans="2:8" s="1" customFormat="1" ht="18.75" customHeight="1" x14ac:dyDescent="0.25">
      <c r="B42" s="2" t="s">
        <v>305</v>
      </c>
    </row>
    <row r="43" spans="2:8" s="1" customFormat="1" ht="18.75" customHeight="1" x14ac:dyDescent="0.25">
      <c r="C43" s="2" t="s">
        <v>4</v>
      </c>
      <c r="D43" s="179" t="s">
        <v>150</v>
      </c>
      <c r="E43" s="114" t="s">
        <v>120</v>
      </c>
      <c r="F43" s="179" t="s">
        <v>330</v>
      </c>
      <c r="G43" s="164"/>
    </row>
    <row r="44" spans="2:8" s="1" customFormat="1" ht="18.75" customHeight="1" x14ac:dyDescent="0.25">
      <c r="C44" s="2"/>
      <c r="D44" s="180">
        <f>'Process (2)'!D186</f>
        <v>1248.6759776979777</v>
      </c>
      <c r="E44" s="181" t="str">
        <f>IF(D44&lt;=F44,"&lt;","&gt;")</f>
        <v>&gt;</v>
      </c>
      <c r="F44" s="180">
        <f>'Process (2)'!F186</f>
        <v>161.58175</v>
      </c>
      <c r="G44" s="182" t="s">
        <v>3</v>
      </c>
      <c r="H44" s="183" t="str">
        <f>IF(D44&gt;F44,"AMAN (OK)","BAHAYA (NG)")</f>
        <v>AMAN (OK)</v>
      </c>
    </row>
    <row r="45" spans="2:8" s="1" customFormat="1" ht="18.75" customHeight="1" x14ac:dyDescent="0.25">
      <c r="B45" s="2" t="s">
        <v>306</v>
      </c>
    </row>
    <row r="46" spans="2:8" s="1" customFormat="1" ht="18.75" customHeight="1" x14ac:dyDescent="0.25">
      <c r="C46" s="123" t="s">
        <v>4</v>
      </c>
      <c r="D46" s="184" t="s">
        <v>331</v>
      </c>
      <c r="E46" s="31" t="s">
        <v>44</v>
      </c>
      <c r="F46" s="184" t="s">
        <v>332</v>
      </c>
      <c r="G46" s="44"/>
      <c r="H46" s="127"/>
    </row>
    <row r="47" spans="2:8" s="1" customFormat="1" ht="18.75" customHeight="1" x14ac:dyDescent="0.25">
      <c r="C47" s="9"/>
      <c r="D47" s="22">
        <f>'Process (2)'!D189</f>
        <v>1248.6759776979777</v>
      </c>
      <c r="E47" s="127" t="str">
        <f>IF(D47&gt;F47,"&gt;","&lt;")</f>
        <v>&gt;</v>
      </c>
      <c r="F47" s="22">
        <f>'Process (2)'!F189</f>
        <v>306.77120000000002</v>
      </c>
      <c r="G47" s="31" t="s">
        <v>3</v>
      </c>
      <c r="H47" s="183" t="str">
        <f>IF(D47&gt;F47,"AMAN (OK)","BAHAYA (NG)")</f>
        <v>AMAN (OK)</v>
      </c>
    </row>
    <row r="48" spans="2:8" s="1" customFormat="1" ht="18.75" customHeight="1" x14ac:dyDescent="0.25">
      <c r="C48" s="9"/>
      <c r="D48" s="135"/>
      <c r="E48" s="127"/>
      <c r="F48" s="135"/>
      <c r="G48" s="31"/>
      <c r="H48" s="183"/>
    </row>
    <row r="49" spans="2:8" s="1" customFormat="1" ht="18.75" customHeight="1" x14ac:dyDescent="0.25">
      <c r="B49" s="173" t="s">
        <v>333</v>
      </c>
    </row>
    <row r="50" spans="2:8" s="1" customFormat="1" ht="18.75" customHeight="1" x14ac:dyDescent="0.25">
      <c r="B50" s="1" t="s">
        <v>334</v>
      </c>
    </row>
    <row r="51" spans="2:8" s="1" customFormat="1" ht="18.75" customHeight="1" x14ac:dyDescent="0.25">
      <c r="C51" s="9" t="s">
        <v>4</v>
      </c>
      <c r="D51" s="156" t="s">
        <v>230</v>
      </c>
      <c r="E51" s="31" t="s">
        <v>120</v>
      </c>
      <c r="F51" s="156" t="s">
        <v>231</v>
      </c>
      <c r="G51" s="9"/>
      <c r="H51" s="9"/>
    </row>
    <row r="52" spans="2:8" s="1" customFormat="1" ht="18.75" customHeight="1" x14ac:dyDescent="0.25">
      <c r="C52" s="9"/>
      <c r="D52" s="19">
        <f>'Process (2)'!D254</f>
        <v>155.2543581193294</v>
      </c>
      <c r="E52" s="31" t="str">
        <f>IF(D52&gt;F52,"&gt;","&lt;")</f>
        <v>&gt;</v>
      </c>
      <c r="F52" s="19">
        <f>'Process (2)'!F254</f>
        <v>54.811468593749993</v>
      </c>
      <c r="G52" s="42" t="s">
        <v>3</v>
      </c>
      <c r="H52" s="129" t="str">
        <f>IF(D52&gt;=F52,"AMAN  (OK)","BAHAYA  (NG)")</f>
        <v>AMAN  (OK)</v>
      </c>
    </row>
    <row r="53" spans="2:8" s="1" customFormat="1" ht="18.75" customHeight="1" x14ac:dyDescent="0.25">
      <c r="B53" s="1" t="s">
        <v>335</v>
      </c>
    </row>
    <row r="54" spans="2:8" s="1" customFormat="1" ht="18.75" customHeight="1" x14ac:dyDescent="0.25">
      <c r="C54" s="9" t="s">
        <v>4</v>
      </c>
      <c r="D54" s="156" t="s">
        <v>230</v>
      </c>
      <c r="E54" s="31" t="s">
        <v>120</v>
      </c>
      <c r="F54" s="156" t="s">
        <v>231</v>
      </c>
      <c r="G54" s="9"/>
      <c r="H54" s="9"/>
    </row>
    <row r="55" spans="2:8" s="1" customFormat="1" ht="18.75" customHeight="1" x14ac:dyDescent="0.25">
      <c r="C55" s="9"/>
      <c r="D55" s="19">
        <f>'Process (2)'!D317</f>
        <v>155.2543581193294</v>
      </c>
      <c r="E55" s="31" t="str">
        <f>IF(D55&gt;F55,"&gt;","&lt;")</f>
        <v>&gt;</v>
      </c>
      <c r="F55" s="19">
        <f>'Process (2)'!F317</f>
        <v>45.567289062499988</v>
      </c>
      <c r="G55" s="42" t="s">
        <v>3</v>
      </c>
      <c r="H55" s="129" t="str">
        <f>IF(D55&gt;=F55,"AMAN  (OK)","BAHAYA  (NG)")</f>
        <v>AMAN  (OK)</v>
      </c>
    </row>
    <row r="56" spans="2:8" s="1" customFormat="1" ht="18.75" customHeight="1" x14ac:dyDescent="0.25"/>
  </sheetData>
  <mergeCells count="23">
    <mergeCell ref="B17:C17"/>
    <mergeCell ref="B13:C14"/>
    <mergeCell ref="D13:D14"/>
    <mergeCell ref="E13:E14"/>
    <mergeCell ref="B15:C15"/>
    <mergeCell ref="B16:C16"/>
    <mergeCell ref="B18:C18"/>
    <mergeCell ref="B19:C19"/>
    <mergeCell ref="B20:C20"/>
    <mergeCell ref="B22:C23"/>
    <mergeCell ref="G22:H22"/>
    <mergeCell ref="G23:H23"/>
    <mergeCell ref="G28:H28"/>
    <mergeCell ref="B24:C24"/>
    <mergeCell ref="F24:F28"/>
    <mergeCell ref="G24:H24"/>
    <mergeCell ref="B25:C25"/>
    <mergeCell ref="G25:H25"/>
    <mergeCell ref="B26:C26"/>
    <mergeCell ref="G26:H26"/>
    <mergeCell ref="B27:C27"/>
    <mergeCell ref="G27:H27"/>
    <mergeCell ref="B28:C2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64760-46EC-494F-878C-C802EE09258C}">
  <sheetPr>
    <tabColor rgb="FF7030A0"/>
  </sheetPr>
  <dimension ref="A1:R624"/>
  <sheetViews>
    <sheetView showGridLines="0" tabSelected="1" view="pageLayout" zoomScaleNormal="100" zoomScaleSheetLayoutView="100" workbookViewId="0">
      <selection activeCell="F625" sqref="F625"/>
    </sheetView>
  </sheetViews>
  <sheetFormatPr defaultRowHeight="18.75" customHeight="1" x14ac:dyDescent="0.25"/>
  <cols>
    <col min="1" max="1" width="4.42578125" style="14" bestFit="1" customWidth="1"/>
    <col min="2" max="8" width="10.42578125" style="1" customWidth="1"/>
    <col min="9" max="9" width="10" style="1" customWidth="1"/>
    <col min="10" max="16384" width="9.140625" style="1"/>
  </cols>
  <sheetData>
    <row r="1" spans="1:9" ht="18.75" customHeight="1" x14ac:dyDescent="0.25">
      <c r="A1" s="376" t="s">
        <v>336</v>
      </c>
      <c r="B1" s="376"/>
      <c r="C1" s="376"/>
      <c r="D1" s="376"/>
      <c r="E1" s="376"/>
      <c r="F1" s="376"/>
      <c r="G1" s="376"/>
      <c r="H1" s="376"/>
      <c r="I1" s="376"/>
    </row>
    <row r="2" spans="1:9" ht="18.75" customHeight="1" x14ac:dyDescent="0.25">
      <c r="A2" s="173"/>
      <c r="D2" s="14"/>
      <c r="E2" s="14"/>
      <c r="F2" s="14"/>
      <c r="G2" s="14"/>
      <c r="H2" s="14"/>
      <c r="I2" s="14"/>
    </row>
    <row r="3" spans="1:9" ht="37.5" customHeight="1" x14ac:dyDescent="0.25">
      <c r="A3" s="377"/>
      <c r="B3" s="377"/>
      <c r="C3" s="377"/>
      <c r="D3" s="185" t="s">
        <v>337</v>
      </c>
      <c r="F3" s="378" t="s">
        <v>349</v>
      </c>
      <c r="G3" s="379"/>
      <c r="H3" s="379"/>
      <c r="I3" s="380"/>
    </row>
    <row r="4" spans="1:9" ht="18.75" customHeight="1" x14ac:dyDescent="0.25">
      <c r="A4" s="377"/>
      <c r="B4" s="377"/>
      <c r="C4" s="377"/>
      <c r="D4" s="185" t="s">
        <v>338</v>
      </c>
      <c r="F4" s="381" t="s">
        <v>505</v>
      </c>
      <c r="G4" s="382"/>
      <c r="H4" s="382"/>
      <c r="I4" s="383"/>
    </row>
    <row r="5" spans="1:9" ht="18.75" customHeight="1" x14ac:dyDescent="0.25">
      <c r="A5" s="377"/>
      <c r="B5" s="377"/>
      <c r="C5" s="377"/>
      <c r="D5" s="185" t="s">
        <v>339</v>
      </c>
      <c r="F5" s="384" t="s">
        <v>340</v>
      </c>
      <c r="G5" s="382"/>
      <c r="H5" s="382"/>
      <c r="I5" s="383"/>
    </row>
    <row r="6" spans="1:9" ht="18.75" customHeight="1" x14ac:dyDescent="0.25">
      <c r="A6" s="377"/>
      <c r="B6" s="377"/>
      <c r="C6" s="377"/>
      <c r="D6" s="185" t="s">
        <v>341</v>
      </c>
      <c r="F6" s="385" t="s">
        <v>538</v>
      </c>
      <c r="G6" s="382"/>
      <c r="H6" s="382"/>
      <c r="I6" s="383"/>
    </row>
    <row r="7" spans="1:9" ht="18.75" customHeight="1" x14ac:dyDescent="0.25">
      <c r="A7" s="1"/>
    </row>
    <row r="8" spans="1:9" ht="18.75" customHeight="1" x14ac:dyDescent="0.25">
      <c r="A8" s="408" t="s">
        <v>257</v>
      </c>
      <c r="B8" s="409" t="s">
        <v>342</v>
      </c>
      <c r="C8" s="409"/>
      <c r="D8" s="409"/>
      <c r="E8" s="409"/>
      <c r="F8" s="409"/>
      <c r="G8" s="409"/>
      <c r="H8" s="409"/>
      <c r="I8" s="409"/>
    </row>
    <row r="9" spans="1:9" ht="18.75" customHeight="1" x14ac:dyDescent="0.25">
      <c r="A9" s="186" t="s">
        <v>52</v>
      </c>
      <c r="B9" s="63" t="s">
        <v>350</v>
      </c>
      <c r="C9" s="64"/>
      <c r="D9" s="64"/>
      <c r="E9" s="64"/>
      <c r="F9" s="64"/>
      <c r="G9" s="64"/>
      <c r="H9" s="64"/>
      <c r="I9" s="190"/>
    </row>
    <row r="10" spans="1:9" ht="18.75" customHeight="1" x14ac:dyDescent="0.25">
      <c r="B10" s="2" t="s">
        <v>7</v>
      </c>
      <c r="C10" s="33"/>
      <c r="D10" s="33"/>
      <c r="E10" s="33"/>
      <c r="F10" s="33"/>
      <c r="G10" s="25" t="s">
        <v>8</v>
      </c>
      <c r="H10" s="197">
        <f>'Input Data'!H4</f>
        <v>-2</v>
      </c>
      <c r="I10" s="191" t="s">
        <v>9</v>
      </c>
    </row>
    <row r="11" spans="1:9" ht="18.75" customHeight="1" x14ac:dyDescent="0.25">
      <c r="B11" s="2" t="s">
        <v>10</v>
      </c>
      <c r="C11" s="33"/>
      <c r="D11" s="33"/>
      <c r="E11" s="33"/>
      <c r="F11" s="33"/>
      <c r="G11" s="36" t="s">
        <v>11</v>
      </c>
      <c r="H11" s="197">
        <f>'Input Data'!H5</f>
        <v>16</v>
      </c>
      <c r="I11" s="191" t="s">
        <v>12</v>
      </c>
    </row>
    <row r="12" spans="1:9" ht="18.75" customHeight="1" x14ac:dyDescent="0.25">
      <c r="B12" s="2" t="s">
        <v>13</v>
      </c>
      <c r="C12" s="33"/>
      <c r="D12" s="33"/>
      <c r="E12" s="33"/>
      <c r="F12" s="33"/>
      <c r="G12" s="36" t="s">
        <v>14</v>
      </c>
      <c r="H12" s="197">
        <f>'Input Data'!H7</f>
        <v>34</v>
      </c>
      <c r="I12" s="191" t="s">
        <v>15</v>
      </c>
    </row>
    <row r="13" spans="1:9" ht="18.75" customHeight="1" x14ac:dyDescent="0.25">
      <c r="B13" s="2" t="s">
        <v>16</v>
      </c>
      <c r="C13" s="33"/>
      <c r="D13" s="33"/>
      <c r="E13" s="33"/>
      <c r="F13" s="33"/>
      <c r="G13" s="25" t="s">
        <v>6</v>
      </c>
      <c r="H13" s="197">
        <f>'Input Data'!H8</f>
        <v>0</v>
      </c>
      <c r="I13" s="191" t="s">
        <v>17</v>
      </c>
    </row>
    <row r="14" spans="1:9" ht="18.75" customHeight="1" x14ac:dyDescent="0.25">
      <c r="B14" s="2" t="s">
        <v>18</v>
      </c>
      <c r="C14" s="33"/>
      <c r="D14" s="33"/>
      <c r="E14" s="33"/>
      <c r="F14" s="33"/>
      <c r="G14" s="25" t="s">
        <v>19</v>
      </c>
      <c r="H14" s="197">
        <f>'Input Data'!H9</f>
        <v>200</v>
      </c>
      <c r="I14" s="191" t="s">
        <v>20</v>
      </c>
    </row>
    <row r="15" spans="1:9" ht="18.75" customHeight="1" x14ac:dyDescent="0.25">
      <c r="B15" s="2"/>
      <c r="C15" s="33"/>
      <c r="D15" s="33"/>
      <c r="E15" s="33"/>
      <c r="F15" s="33"/>
      <c r="G15" s="25"/>
      <c r="H15" s="37"/>
      <c r="I15" s="191"/>
    </row>
    <row r="16" spans="1:9" ht="18.75" customHeight="1" x14ac:dyDescent="0.25">
      <c r="A16" s="186" t="s">
        <v>53</v>
      </c>
      <c r="B16" s="63" t="s">
        <v>351</v>
      </c>
      <c r="C16" s="64"/>
      <c r="D16" s="64"/>
      <c r="E16" s="64"/>
      <c r="F16" s="64"/>
      <c r="G16" s="64"/>
      <c r="H16" s="65"/>
      <c r="I16" s="192"/>
    </row>
    <row r="17" spans="2:9" ht="18.75" customHeight="1" x14ac:dyDescent="0.25">
      <c r="B17" s="32"/>
      <c r="C17" s="33"/>
      <c r="D17" s="33"/>
      <c r="E17" s="33"/>
      <c r="F17" s="33"/>
      <c r="G17" s="33"/>
      <c r="H17" s="38"/>
      <c r="I17" s="191"/>
    </row>
    <row r="18" spans="2:9" ht="18.75" customHeight="1" x14ac:dyDescent="0.25">
      <c r="B18" s="32"/>
      <c r="C18" s="33"/>
      <c r="D18" s="33"/>
      <c r="E18" s="33"/>
      <c r="F18" s="33"/>
      <c r="G18" s="33"/>
      <c r="H18" s="38"/>
      <c r="I18" s="191"/>
    </row>
    <row r="19" spans="2:9" ht="18.75" customHeight="1" x14ac:dyDescent="0.25">
      <c r="B19" s="32"/>
      <c r="C19" s="33"/>
      <c r="D19" s="33"/>
      <c r="E19" s="33"/>
      <c r="F19" s="33"/>
      <c r="G19" s="33"/>
      <c r="H19" s="38"/>
      <c r="I19" s="191"/>
    </row>
    <row r="20" spans="2:9" ht="18.75" customHeight="1" x14ac:dyDescent="0.25">
      <c r="B20" s="32"/>
      <c r="C20" s="33"/>
      <c r="D20" s="33"/>
      <c r="E20" s="33"/>
      <c r="F20" s="33"/>
      <c r="G20" s="33"/>
      <c r="H20" s="38"/>
      <c r="I20" s="191"/>
    </row>
    <row r="21" spans="2:9" ht="18.75" customHeight="1" x14ac:dyDescent="0.25">
      <c r="B21" s="32"/>
      <c r="C21" s="33"/>
      <c r="D21" s="33"/>
      <c r="E21" s="33"/>
      <c r="F21" s="33"/>
      <c r="G21" s="33"/>
      <c r="H21" s="38"/>
      <c r="I21" s="191"/>
    </row>
    <row r="22" spans="2:9" ht="18.75" customHeight="1" x14ac:dyDescent="0.25">
      <c r="B22" s="32"/>
      <c r="C22" s="33"/>
      <c r="D22" s="33"/>
      <c r="E22" s="33"/>
      <c r="F22" s="33"/>
      <c r="G22" s="33"/>
      <c r="H22" s="38"/>
      <c r="I22" s="191"/>
    </row>
    <row r="23" spans="2:9" ht="18.75" customHeight="1" x14ac:dyDescent="0.25">
      <c r="B23" s="32"/>
      <c r="C23" s="33"/>
      <c r="D23" s="33"/>
      <c r="E23" s="33"/>
      <c r="F23" s="33"/>
      <c r="G23" s="33"/>
      <c r="H23" s="38"/>
      <c r="I23" s="191"/>
    </row>
    <row r="24" spans="2:9" ht="18.75" customHeight="1" x14ac:dyDescent="0.25">
      <c r="B24" s="32"/>
      <c r="C24" s="33"/>
      <c r="D24" s="33"/>
      <c r="E24" s="33"/>
      <c r="F24" s="33"/>
      <c r="G24" s="33"/>
      <c r="H24" s="38"/>
      <c r="I24" s="191"/>
    </row>
    <row r="25" spans="2:9" ht="18.75" customHeight="1" x14ac:dyDescent="0.25">
      <c r="B25" s="32"/>
      <c r="C25" s="33"/>
      <c r="D25" s="33"/>
      <c r="E25" s="33"/>
      <c r="F25" s="33"/>
      <c r="G25" s="33"/>
      <c r="H25" s="38"/>
      <c r="I25" s="191"/>
    </row>
    <row r="26" spans="2:9" ht="18.75" customHeight="1" x14ac:dyDescent="0.25">
      <c r="B26" s="32"/>
      <c r="C26" s="33"/>
      <c r="D26" s="33"/>
      <c r="E26" s="33"/>
      <c r="F26" s="33"/>
      <c r="G26" s="33"/>
      <c r="H26" s="38"/>
      <c r="I26" s="191"/>
    </row>
    <row r="27" spans="2:9" ht="18.75" customHeight="1" x14ac:dyDescent="0.25">
      <c r="B27" s="32"/>
      <c r="C27" s="33"/>
      <c r="D27" s="33"/>
      <c r="E27" s="33"/>
      <c r="F27" s="33"/>
      <c r="G27" s="33"/>
      <c r="H27" s="38"/>
      <c r="I27" s="191"/>
    </row>
    <row r="28" spans="2:9" ht="18.75" customHeight="1" x14ac:dyDescent="0.25">
      <c r="B28" s="32"/>
      <c r="C28" s="33"/>
      <c r="D28" s="33"/>
      <c r="E28" s="33"/>
      <c r="F28" s="33"/>
      <c r="G28" s="33"/>
      <c r="H28" s="38"/>
      <c r="I28" s="191"/>
    </row>
    <row r="29" spans="2:9" ht="18.75" customHeight="1" x14ac:dyDescent="0.25">
      <c r="B29" s="32"/>
      <c r="C29" s="33"/>
      <c r="D29" s="33"/>
      <c r="E29" s="33"/>
      <c r="F29" s="33"/>
      <c r="G29" s="33"/>
      <c r="H29" s="38"/>
      <c r="I29" s="191"/>
    </row>
    <row r="30" spans="2:9" ht="18.75" customHeight="1" x14ac:dyDescent="0.25">
      <c r="B30" s="32"/>
      <c r="C30" s="33"/>
      <c r="D30" s="33"/>
      <c r="E30" s="33"/>
      <c r="F30" s="33"/>
      <c r="G30" s="33"/>
      <c r="H30" s="38"/>
      <c r="I30" s="191"/>
    </row>
    <row r="31" spans="2:9" ht="18.75" customHeight="1" x14ac:dyDescent="0.25">
      <c r="B31" s="32"/>
      <c r="C31" s="33"/>
      <c r="D31" s="33"/>
      <c r="E31" s="33"/>
      <c r="F31" s="33"/>
      <c r="G31" s="33"/>
      <c r="H31" s="38"/>
      <c r="I31" s="191"/>
    </row>
    <row r="32" spans="2:9" ht="18.75" customHeight="1" x14ac:dyDescent="0.25">
      <c r="B32" s="32"/>
      <c r="C32" s="33"/>
      <c r="D32" s="33"/>
      <c r="E32" s="33"/>
      <c r="F32" s="33"/>
      <c r="G32" s="33"/>
      <c r="H32" s="38"/>
      <c r="I32" s="191"/>
    </row>
    <row r="33" spans="1:9" ht="18.75" customHeight="1" x14ac:dyDescent="0.25">
      <c r="B33" s="2" t="s">
        <v>58</v>
      </c>
      <c r="C33" s="33"/>
      <c r="D33" s="33"/>
      <c r="F33" s="33"/>
      <c r="G33" s="25" t="s">
        <v>353</v>
      </c>
      <c r="H33" s="197">
        <f>'Input Data'!H28</f>
        <v>0.5</v>
      </c>
      <c r="I33" s="191" t="s">
        <v>9</v>
      </c>
    </row>
    <row r="34" spans="1:9" ht="18.75" customHeight="1" x14ac:dyDescent="0.25">
      <c r="B34" s="2" t="s">
        <v>59</v>
      </c>
      <c r="C34" s="33"/>
      <c r="D34" s="33"/>
      <c r="F34" s="33"/>
      <c r="G34" s="25" t="s">
        <v>80</v>
      </c>
      <c r="H34" s="197">
        <f>'Input Data'!H29</f>
        <v>0.6</v>
      </c>
      <c r="I34" s="191" t="s">
        <v>9</v>
      </c>
    </row>
    <row r="35" spans="1:9" ht="18.75" customHeight="1" x14ac:dyDescent="0.25">
      <c r="B35" s="2" t="s">
        <v>56</v>
      </c>
      <c r="C35" s="33"/>
      <c r="D35" s="33"/>
      <c r="F35" s="33"/>
      <c r="G35" s="25" t="s">
        <v>354</v>
      </c>
      <c r="H35" s="197">
        <f>'Input Data'!H30</f>
        <v>1.6</v>
      </c>
      <c r="I35" s="191" t="s">
        <v>9</v>
      </c>
    </row>
    <row r="36" spans="1:9" ht="18.75" customHeight="1" x14ac:dyDescent="0.25">
      <c r="B36" s="2" t="s">
        <v>57</v>
      </c>
      <c r="C36" s="33"/>
      <c r="D36" s="33"/>
      <c r="F36" s="33"/>
      <c r="G36" s="25" t="s">
        <v>355</v>
      </c>
      <c r="H36" s="197">
        <f>'Input Data'!H31</f>
        <v>1.6</v>
      </c>
      <c r="I36" s="191" t="s">
        <v>9</v>
      </c>
    </row>
    <row r="37" spans="1:9" ht="18.75" customHeight="1" x14ac:dyDescent="0.25">
      <c r="B37" s="2" t="s">
        <v>63</v>
      </c>
      <c r="C37" s="33"/>
      <c r="D37" s="33"/>
      <c r="F37" s="33"/>
      <c r="G37" s="25" t="s">
        <v>273</v>
      </c>
      <c r="H37" s="197">
        <f>'Input Data'!H32</f>
        <v>0.4</v>
      </c>
      <c r="I37" s="191" t="s">
        <v>9</v>
      </c>
    </row>
    <row r="38" spans="1:9" ht="18.75" customHeight="1" x14ac:dyDescent="0.25">
      <c r="B38" s="2" t="s">
        <v>147</v>
      </c>
      <c r="C38" s="33"/>
      <c r="D38" s="33"/>
      <c r="F38" s="33"/>
      <c r="G38" s="25" t="s">
        <v>148</v>
      </c>
      <c r="H38" s="198">
        <f>'Input Data'!H33</f>
        <v>40</v>
      </c>
      <c r="I38" s="191"/>
    </row>
    <row r="39" spans="1:9" ht="18.75" customHeight="1" x14ac:dyDescent="0.25">
      <c r="A39" s="9"/>
      <c r="B39" s="9" t="s">
        <v>293</v>
      </c>
      <c r="C39" s="9"/>
      <c r="D39" s="31"/>
      <c r="E39" s="42"/>
      <c r="F39" s="43"/>
      <c r="G39" s="44" t="s">
        <v>294</v>
      </c>
      <c r="H39" s="292">
        <f>'Input Data'!H34</f>
        <v>100</v>
      </c>
      <c r="I39" s="193" t="s">
        <v>0</v>
      </c>
    </row>
    <row r="40" spans="1:9" ht="18.75" customHeight="1" x14ac:dyDescent="0.25">
      <c r="I40" s="3"/>
    </row>
    <row r="41" spans="1:9" ht="18.75" customHeight="1" x14ac:dyDescent="0.25">
      <c r="I41" s="3"/>
    </row>
    <row r="42" spans="1:9" ht="18.75" customHeight="1" x14ac:dyDescent="0.25">
      <c r="I42" s="3"/>
    </row>
    <row r="43" spans="1:9" ht="18.75" customHeight="1" x14ac:dyDescent="0.25">
      <c r="I43" s="3"/>
    </row>
    <row r="44" spans="1:9" ht="18.75" customHeight="1" x14ac:dyDescent="0.25">
      <c r="I44" s="3"/>
    </row>
    <row r="45" spans="1:9" ht="18.75" customHeight="1" x14ac:dyDescent="0.25">
      <c r="I45" s="3"/>
    </row>
    <row r="46" spans="1:9" ht="18.75" customHeight="1" x14ac:dyDescent="0.25">
      <c r="I46" s="3"/>
    </row>
    <row r="47" spans="1:9" ht="18.75" customHeight="1" x14ac:dyDescent="0.25">
      <c r="I47" s="3"/>
    </row>
    <row r="48" spans="1:9" ht="18.75" customHeight="1" x14ac:dyDescent="0.25">
      <c r="I48" s="3"/>
    </row>
    <row r="49" spans="2:9" ht="18.75" customHeight="1" x14ac:dyDescent="0.25">
      <c r="I49" s="3"/>
    </row>
    <row r="50" spans="2:9" ht="18.75" customHeight="1" x14ac:dyDescent="0.25">
      <c r="I50" s="3"/>
    </row>
    <row r="51" spans="2:9" ht="18.75" customHeight="1" x14ac:dyDescent="0.25">
      <c r="I51" s="3"/>
    </row>
    <row r="52" spans="2:9" ht="18.75" customHeight="1" x14ac:dyDescent="0.25">
      <c r="I52" s="3"/>
    </row>
    <row r="53" spans="2:9" ht="18.75" customHeight="1" x14ac:dyDescent="0.25">
      <c r="I53" s="3"/>
    </row>
    <row r="54" spans="2:9" ht="18.75" customHeight="1" x14ac:dyDescent="0.25">
      <c r="B54" s="344" t="s">
        <v>481</v>
      </c>
      <c r="C54" s="344"/>
      <c r="D54" s="344"/>
      <c r="E54" s="344"/>
      <c r="F54" s="344"/>
      <c r="I54" s="3"/>
    </row>
    <row r="55" spans="2:9" ht="18.75" customHeight="1" x14ac:dyDescent="0.25">
      <c r="B55" s="273"/>
      <c r="C55" s="273"/>
      <c r="D55" s="273"/>
      <c r="E55" s="273"/>
      <c r="I55" s="3"/>
    </row>
    <row r="56" spans="2:9" ht="18.75" customHeight="1" x14ac:dyDescent="0.25">
      <c r="B56" s="273"/>
      <c r="C56" s="273"/>
      <c r="D56" s="273"/>
      <c r="E56" s="273"/>
      <c r="I56" s="3"/>
    </row>
    <row r="57" spans="2:9" ht="18.75" customHeight="1" x14ac:dyDescent="0.25">
      <c r="B57" s="273"/>
      <c r="C57" s="273"/>
      <c r="D57" s="273"/>
      <c r="E57" s="273"/>
      <c r="I57" s="3"/>
    </row>
    <row r="58" spans="2:9" ht="18.75" customHeight="1" x14ac:dyDescent="0.25">
      <c r="B58" s="273"/>
      <c r="C58" s="273"/>
      <c r="D58" s="273"/>
      <c r="E58" s="273"/>
      <c r="I58" s="3"/>
    </row>
    <row r="59" spans="2:9" ht="18.75" customHeight="1" x14ac:dyDescent="0.25">
      <c r="B59" s="273"/>
      <c r="C59" s="273"/>
      <c r="D59" s="273"/>
      <c r="E59" s="273"/>
      <c r="I59" s="3"/>
    </row>
    <row r="60" spans="2:9" ht="18.75" customHeight="1" x14ac:dyDescent="0.25">
      <c r="B60" s="273"/>
      <c r="C60" s="273"/>
      <c r="D60" s="273"/>
      <c r="E60" s="273"/>
      <c r="I60" s="3"/>
    </row>
    <row r="61" spans="2:9" ht="18.75" customHeight="1" x14ac:dyDescent="0.25">
      <c r="B61" s="273"/>
      <c r="C61" s="273"/>
      <c r="D61" s="273"/>
      <c r="E61" s="273"/>
      <c r="I61" s="3"/>
    </row>
    <row r="62" spans="2:9" ht="18.75" customHeight="1" x14ac:dyDescent="0.25">
      <c r="B62" s="273"/>
      <c r="C62" s="273"/>
      <c r="D62" s="273"/>
      <c r="E62" s="273"/>
      <c r="I62" s="3"/>
    </row>
    <row r="63" spans="2:9" ht="18.75" customHeight="1" x14ac:dyDescent="0.25">
      <c r="B63" s="273"/>
      <c r="C63" s="273"/>
      <c r="D63" s="273"/>
      <c r="E63" s="273"/>
      <c r="I63" s="3"/>
    </row>
    <row r="64" spans="2:9" ht="18.75" customHeight="1" x14ac:dyDescent="0.25">
      <c r="B64" s="273"/>
      <c r="C64" s="273"/>
      <c r="D64" s="273"/>
      <c r="E64" s="273"/>
      <c r="I64" s="3"/>
    </row>
    <row r="65" spans="1:9" ht="18.75" customHeight="1" x14ac:dyDescent="0.25">
      <c r="B65" s="273"/>
      <c r="C65" s="273"/>
      <c r="D65" s="273"/>
      <c r="E65" s="273"/>
      <c r="I65" s="3"/>
    </row>
    <row r="66" spans="1:9" ht="18.75" customHeight="1" x14ac:dyDescent="0.25">
      <c r="B66" s="273"/>
      <c r="C66" s="273"/>
      <c r="D66" s="273"/>
      <c r="E66" s="273"/>
      <c r="I66" s="3"/>
    </row>
    <row r="67" spans="1:9" ht="18.75" customHeight="1" x14ac:dyDescent="0.25">
      <c r="B67" s="273"/>
      <c r="C67" s="273"/>
      <c r="D67" s="273"/>
      <c r="E67" s="273"/>
      <c r="I67" s="3"/>
    </row>
    <row r="68" spans="1:9" ht="18.75" customHeight="1" x14ac:dyDescent="0.25">
      <c r="B68" s="273"/>
      <c r="C68" s="344" t="s">
        <v>482</v>
      </c>
      <c r="D68" s="344"/>
      <c r="E68" s="273"/>
      <c r="G68" s="344" t="s">
        <v>483</v>
      </c>
      <c r="H68" s="344"/>
      <c r="I68" s="3"/>
    </row>
    <row r="69" spans="1:9" ht="18.75" customHeight="1" x14ac:dyDescent="0.25">
      <c r="B69" s="273"/>
      <c r="C69" s="273"/>
      <c r="D69" s="273"/>
      <c r="E69" s="273"/>
      <c r="I69" s="3"/>
    </row>
    <row r="70" spans="1:9" ht="18.75" customHeight="1" x14ac:dyDescent="0.25">
      <c r="B70" s="2" t="s">
        <v>486</v>
      </c>
      <c r="C70" s="33"/>
      <c r="D70" s="33"/>
      <c r="F70" s="33"/>
      <c r="G70" s="25" t="s">
        <v>485</v>
      </c>
      <c r="H70" s="274">
        <f>'Input Data'!$H$62</f>
        <v>0</v>
      </c>
      <c r="I70" s="191" t="s">
        <v>9</v>
      </c>
    </row>
    <row r="71" spans="1:9" ht="18.75" customHeight="1" x14ac:dyDescent="0.25">
      <c r="B71" s="2"/>
      <c r="C71" s="33"/>
      <c r="D71" s="33"/>
      <c r="F71" s="33"/>
      <c r="G71" s="25" t="s">
        <v>484</v>
      </c>
      <c r="H71" s="274">
        <f>'Input Data'!$H$62</f>
        <v>0</v>
      </c>
      <c r="I71" s="191" t="s">
        <v>9</v>
      </c>
    </row>
    <row r="72" spans="1:9" ht="18.75" customHeight="1" x14ac:dyDescent="0.25">
      <c r="B72" s="273"/>
      <c r="C72" s="273"/>
      <c r="D72" s="273"/>
      <c r="E72" s="273"/>
      <c r="I72" s="3"/>
    </row>
    <row r="73" spans="1:9" ht="18.75" customHeight="1" x14ac:dyDescent="0.25">
      <c r="A73" s="196" t="s">
        <v>64</v>
      </c>
      <c r="B73" s="56" t="s">
        <v>274</v>
      </c>
      <c r="C73" s="59"/>
      <c r="D73" s="59"/>
      <c r="E73" s="59"/>
      <c r="F73" s="59"/>
      <c r="G73" s="60"/>
      <c r="H73" s="59"/>
      <c r="I73" s="194"/>
    </row>
    <row r="74" spans="1:9" ht="18.75" customHeight="1" x14ac:dyDescent="0.25">
      <c r="A74" s="1"/>
      <c r="B74" s="2" t="s">
        <v>65</v>
      </c>
      <c r="C74" s="2"/>
      <c r="D74" s="2"/>
      <c r="E74" s="2"/>
      <c r="F74" s="2"/>
      <c r="G74" s="41" t="s">
        <v>356</v>
      </c>
      <c r="H74" s="5">
        <f>'Input Data'!H75</f>
        <v>30</v>
      </c>
      <c r="I74" s="3" t="s">
        <v>67</v>
      </c>
    </row>
    <row r="75" spans="1:9" ht="18.75" customHeight="1" x14ac:dyDescent="0.25">
      <c r="A75" s="1"/>
      <c r="B75" s="1" t="s">
        <v>68</v>
      </c>
      <c r="G75" s="41" t="s">
        <v>69</v>
      </c>
      <c r="H75" s="5">
        <f>'Input Data'!H76</f>
        <v>400</v>
      </c>
      <c r="I75" s="3" t="s">
        <v>67</v>
      </c>
    </row>
    <row r="76" spans="1:9" ht="18.75" customHeight="1" x14ac:dyDescent="0.25">
      <c r="A76" s="1"/>
      <c r="B76" s="1" t="s">
        <v>70</v>
      </c>
      <c r="G76" s="41" t="s">
        <v>69</v>
      </c>
      <c r="H76" s="5">
        <f>'Input Data'!H77</f>
        <v>240</v>
      </c>
      <c r="I76" s="3" t="s">
        <v>67</v>
      </c>
    </row>
    <row r="77" spans="1:9" ht="18.75" customHeight="1" x14ac:dyDescent="0.25">
      <c r="A77" s="1"/>
      <c r="B77" s="9" t="s">
        <v>71</v>
      </c>
      <c r="G77" s="41" t="s">
        <v>72</v>
      </c>
      <c r="H77" s="5">
        <f>'Input Data'!H78</f>
        <v>200000</v>
      </c>
      <c r="I77" s="3" t="s">
        <v>67</v>
      </c>
    </row>
    <row r="78" spans="1:9" ht="18.75" customHeight="1" x14ac:dyDescent="0.25">
      <c r="A78" s="9"/>
      <c r="B78" s="9" t="s">
        <v>73</v>
      </c>
      <c r="C78" s="31"/>
      <c r="D78" s="31"/>
      <c r="E78" s="42"/>
      <c r="F78" s="43"/>
      <c r="G78" s="44" t="s">
        <v>1</v>
      </c>
      <c r="H78" s="199">
        <f>'Input Data'!H79</f>
        <v>16</v>
      </c>
      <c r="I78" s="193" t="s">
        <v>0</v>
      </c>
    </row>
    <row r="79" spans="1:9" ht="18.75" customHeight="1" x14ac:dyDescent="0.25">
      <c r="A79" s="9"/>
      <c r="B79" s="9" t="s">
        <v>74</v>
      </c>
      <c r="C79" s="31"/>
      <c r="D79" s="31"/>
      <c r="E79" s="42"/>
      <c r="F79" s="43"/>
      <c r="G79" s="44" t="s">
        <v>1</v>
      </c>
      <c r="H79" s="199">
        <f>'Input Data'!H80</f>
        <v>13</v>
      </c>
      <c r="I79" s="193" t="s">
        <v>0</v>
      </c>
    </row>
    <row r="80" spans="1:9" ht="18.75" customHeight="1" x14ac:dyDescent="0.25">
      <c r="I80" s="3"/>
    </row>
    <row r="81" spans="1:9" ht="18.75" customHeight="1" x14ac:dyDescent="0.25">
      <c r="A81" s="196" t="s">
        <v>75</v>
      </c>
      <c r="B81" s="56" t="s">
        <v>76</v>
      </c>
      <c r="C81" s="57"/>
      <c r="D81" s="57"/>
      <c r="E81" s="57"/>
      <c r="F81" s="57"/>
      <c r="G81" s="57"/>
      <c r="H81" s="57"/>
      <c r="I81" s="195"/>
    </row>
    <row r="82" spans="1:9" ht="18.75" customHeight="1" x14ac:dyDescent="0.25">
      <c r="A82" s="2"/>
      <c r="B82" s="2" t="s">
        <v>77</v>
      </c>
      <c r="C82" s="33"/>
      <c r="D82" s="33"/>
      <c r="E82" s="33"/>
      <c r="F82" s="33"/>
      <c r="G82" s="25" t="s">
        <v>78</v>
      </c>
      <c r="H82" s="197">
        <f>'Input Data'!H83</f>
        <v>17.2</v>
      </c>
      <c r="I82" s="191" t="s">
        <v>12</v>
      </c>
    </row>
    <row r="83" spans="1:9" ht="18.75" customHeight="1" x14ac:dyDescent="0.25">
      <c r="A83" s="11"/>
      <c r="B83" s="11" t="s">
        <v>79</v>
      </c>
      <c r="C83" s="11"/>
      <c r="D83" s="11"/>
      <c r="E83" s="11"/>
      <c r="F83" s="11"/>
      <c r="G83" s="25" t="s">
        <v>80</v>
      </c>
      <c r="H83" s="197">
        <f>'Input Data'!H84</f>
        <v>24</v>
      </c>
      <c r="I83" s="191" t="s">
        <v>12</v>
      </c>
    </row>
    <row r="86" spans="1:9" ht="18.75" customHeight="1" x14ac:dyDescent="0.25">
      <c r="A86" s="408" t="s">
        <v>264</v>
      </c>
      <c r="B86" s="409" t="s">
        <v>352</v>
      </c>
      <c r="C86" s="410"/>
      <c r="D86" s="410"/>
      <c r="E86" s="410"/>
      <c r="F86" s="410"/>
      <c r="G86" s="410"/>
      <c r="H86" s="410"/>
      <c r="I86" s="410"/>
    </row>
    <row r="87" spans="1:9" s="32" customFormat="1" ht="18.75" customHeight="1" x14ac:dyDescent="0.25">
      <c r="A87" s="168"/>
      <c r="C87" s="183"/>
      <c r="D87" s="183"/>
      <c r="E87" s="183"/>
      <c r="F87" s="183"/>
      <c r="G87" s="183"/>
      <c r="H87" s="183"/>
      <c r="I87" s="183"/>
    </row>
    <row r="88" spans="1:9" s="32" customFormat="1" ht="18.75" customHeight="1" x14ac:dyDescent="0.25">
      <c r="A88" s="168"/>
      <c r="C88" s="183"/>
      <c r="D88" s="183"/>
      <c r="E88" s="183"/>
      <c r="F88" s="183"/>
      <c r="G88" s="183"/>
      <c r="H88" s="183"/>
      <c r="I88" s="183"/>
    </row>
    <row r="89" spans="1:9" s="32" customFormat="1" ht="18.75" customHeight="1" x14ac:dyDescent="0.25">
      <c r="A89" s="168"/>
      <c r="C89" s="183"/>
      <c r="D89" s="183"/>
      <c r="E89" s="183"/>
      <c r="F89" s="183"/>
      <c r="G89" s="183"/>
      <c r="H89" s="183"/>
      <c r="I89" s="183"/>
    </row>
    <row r="90" spans="1:9" s="32" customFormat="1" ht="18.75" customHeight="1" x14ac:dyDescent="0.25">
      <c r="A90" s="168"/>
      <c r="C90" s="183"/>
      <c r="D90" s="183"/>
      <c r="E90" s="183"/>
      <c r="F90" s="183"/>
      <c r="G90" s="183"/>
      <c r="H90" s="183"/>
      <c r="I90" s="183"/>
    </row>
    <row r="91" spans="1:9" s="32" customFormat="1" ht="18.75" customHeight="1" x14ac:dyDescent="0.25">
      <c r="A91" s="168"/>
      <c r="C91" s="183"/>
      <c r="D91" s="183"/>
      <c r="E91" s="183"/>
      <c r="F91" s="183"/>
      <c r="G91" s="183"/>
      <c r="H91" s="183"/>
      <c r="I91" s="183"/>
    </row>
    <row r="92" spans="1:9" s="32" customFormat="1" ht="18.75" customHeight="1" x14ac:dyDescent="0.25">
      <c r="A92" s="168"/>
      <c r="C92" s="183"/>
      <c r="D92" s="183"/>
      <c r="E92" s="183"/>
      <c r="F92" s="183"/>
      <c r="G92" s="183"/>
      <c r="H92" s="183"/>
      <c r="I92" s="183"/>
    </row>
    <row r="93" spans="1:9" s="32" customFormat="1" ht="18.75" customHeight="1" x14ac:dyDescent="0.25">
      <c r="A93" s="168"/>
      <c r="C93" s="183"/>
      <c r="D93" s="183"/>
      <c r="E93" s="183"/>
      <c r="F93" s="183"/>
      <c r="G93" s="183"/>
      <c r="H93" s="183"/>
      <c r="I93" s="183"/>
    </row>
    <row r="94" spans="1:9" s="32" customFormat="1" ht="18.75" customHeight="1" x14ac:dyDescent="0.25">
      <c r="A94" s="168"/>
      <c r="C94" s="183"/>
      <c r="D94" s="183"/>
      <c r="E94" s="183"/>
      <c r="F94" s="183"/>
      <c r="G94" s="183"/>
      <c r="H94" s="183"/>
      <c r="I94" s="183"/>
    </row>
    <row r="95" spans="1:9" s="32" customFormat="1" ht="18.75" customHeight="1" x14ac:dyDescent="0.25">
      <c r="A95" s="168"/>
      <c r="C95" s="183"/>
      <c r="D95" s="183"/>
      <c r="E95" s="183"/>
      <c r="F95" s="183"/>
      <c r="G95" s="183"/>
      <c r="H95" s="183"/>
      <c r="I95" s="183"/>
    </row>
    <row r="96" spans="1:9" ht="18.75" customHeight="1" x14ac:dyDescent="0.25">
      <c r="A96" s="370" t="s">
        <v>47</v>
      </c>
      <c r="B96" s="372" t="s">
        <v>48</v>
      </c>
      <c r="C96" s="373"/>
      <c r="D96" s="371" t="s">
        <v>50</v>
      </c>
      <c r="E96" s="189" t="s">
        <v>259</v>
      </c>
      <c r="F96" s="189" t="s">
        <v>260</v>
      </c>
      <c r="G96" s="189" t="s">
        <v>261</v>
      </c>
      <c r="H96" s="189" t="s">
        <v>262</v>
      </c>
      <c r="I96" s="189" t="s">
        <v>263</v>
      </c>
    </row>
    <row r="97" spans="1:9" ht="18.75" customHeight="1" x14ac:dyDescent="0.25">
      <c r="A97" s="370"/>
      <c r="B97" s="374"/>
      <c r="C97" s="375"/>
      <c r="D97" s="371"/>
      <c r="E97" s="200" t="s">
        <v>5</v>
      </c>
      <c r="F97" s="200" t="s">
        <v>5</v>
      </c>
      <c r="G97" s="200" t="s">
        <v>5</v>
      </c>
      <c r="H97" s="200" t="s">
        <v>2</v>
      </c>
      <c r="I97" s="200" t="s">
        <v>2</v>
      </c>
    </row>
    <row r="98" spans="1:9" ht="37.5" customHeight="1" x14ac:dyDescent="0.25">
      <c r="A98" s="86">
        <v>1</v>
      </c>
      <c r="B98" s="386" t="s">
        <v>61</v>
      </c>
      <c r="C98" s="387"/>
      <c r="D98" s="7" t="s">
        <v>42</v>
      </c>
      <c r="E98" s="263"/>
      <c r="F98" s="263"/>
      <c r="G98" s="4">
        <f>'Input Beban'!G19</f>
        <v>620</v>
      </c>
      <c r="H98" s="263"/>
      <c r="I98" s="263"/>
    </row>
    <row r="99" spans="1:9" ht="18.75" customHeight="1" x14ac:dyDescent="0.25">
      <c r="A99" s="86">
        <v>2</v>
      </c>
      <c r="B99" s="388" t="s">
        <v>81</v>
      </c>
      <c r="C99" s="389"/>
      <c r="D99" s="7" t="s">
        <v>42</v>
      </c>
      <c r="E99" s="263"/>
      <c r="F99" s="263"/>
      <c r="G99" s="4">
        <f>'Input Beban'!G20</f>
        <v>220</v>
      </c>
      <c r="H99" s="4">
        <f>'Input Beban'!H20</f>
        <v>8</v>
      </c>
      <c r="I99" s="4">
        <f>'Input Beban'!I20</f>
        <v>14</v>
      </c>
    </row>
    <row r="100" spans="1:9" ht="18.75" customHeight="1" x14ac:dyDescent="0.25">
      <c r="A100" s="86">
        <v>3</v>
      </c>
      <c r="B100" s="388" t="s">
        <v>60</v>
      </c>
      <c r="C100" s="389"/>
      <c r="D100" s="7" t="s">
        <v>42</v>
      </c>
      <c r="E100" s="263"/>
      <c r="F100" s="263"/>
      <c r="G100" s="4">
        <f>'Input Beban'!G21</f>
        <v>170</v>
      </c>
      <c r="H100" s="4">
        <f>'Input Beban'!H21</f>
        <v>60</v>
      </c>
      <c r="I100" s="4">
        <f>'Input Beban'!I21</f>
        <v>90</v>
      </c>
    </row>
    <row r="101" spans="1:9" ht="18.75" customHeight="1" x14ac:dyDescent="0.25">
      <c r="A101" s="86">
        <v>4</v>
      </c>
      <c r="B101" s="388" t="s">
        <v>60</v>
      </c>
      <c r="C101" s="389"/>
      <c r="D101" s="7" t="s">
        <v>43</v>
      </c>
      <c r="E101" s="263"/>
      <c r="F101" s="263"/>
      <c r="G101" s="4">
        <f>'Input Beban'!G22</f>
        <v>90</v>
      </c>
      <c r="H101" s="4">
        <f>'Input Beban'!H22</f>
        <v>-30</v>
      </c>
      <c r="I101" s="4">
        <f>'Input Beban'!I22</f>
        <v>-95</v>
      </c>
    </row>
    <row r="102" spans="1:9" ht="18.75" customHeight="1" x14ac:dyDescent="0.25">
      <c r="A102" s="86">
        <v>5</v>
      </c>
      <c r="B102" s="388" t="s">
        <v>62</v>
      </c>
      <c r="C102" s="389"/>
      <c r="D102" s="7" t="s">
        <v>42</v>
      </c>
      <c r="E102" s="263"/>
      <c r="F102" s="263"/>
      <c r="G102" s="4">
        <f>'Input Beban'!G23</f>
        <v>160</v>
      </c>
      <c r="H102" s="4">
        <f>'Input Beban'!H23</f>
        <v>110</v>
      </c>
      <c r="I102" s="4">
        <f>'Input Beban'!I23</f>
        <v>40</v>
      </c>
    </row>
    <row r="103" spans="1:9" ht="18.75" customHeight="1" x14ac:dyDescent="0.25">
      <c r="A103" s="86">
        <v>6</v>
      </c>
      <c r="B103" s="388" t="s">
        <v>62</v>
      </c>
      <c r="C103" s="389"/>
      <c r="D103" s="7" t="s">
        <v>43</v>
      </c>
      <c r="E103" s="263"/>
      <c r="F103" s="263"/>
      <c r="G103" s="4">
        <f>'Input Beban'!G24</f>
        <v>100</v>
      </c>
      <c r="H103" s="4">
        <f>'Input Beban'!H24</f>
        <v>-90</v>
      </c>
      <c r="I103" s="4">
        <f>'Input Beban'!I24</f>
        <v>-30</v>
      </c>
    </row>
    <row r="106" spans="1:9" ht="18.75" customHeight="1" x14ac:dyDescent="0.25">
      <c r="A106" s="408" t="s">
        <v>269</v>
      </c>
      <c r="B106" s="411" t="s">
        <v>343</v>
      </c>
      <c r="C106" s="410"/>
      <c r="D106" s="410"/>
      <c r="E106" s="410"/>
      <c r="F106" s="410"/>
      <c r="G106" s="410"/>
      <c r="H106" s="410"/>
      <c r="I106" s="410"/>
    </row>
    <row r="107" spans="1:9" ht="18.75" customHeight="1" x14ac:dyDescent="0.25">
      <c r="A107" s="186" t="s">
        <v>270</v>
      </c>
      <c r="B107" s="56" t="s">
        <v>308</v>
      </c>
      <c r="C107" s="59"/>
      <c r="D107" s="59"/>
      <c r="E107" s="59"/>
      <c r="F107" s="59"/>
      <c r="G107" s="59"/>
      <c r="H107" s="59"/>
      <c r="I107" s="59"/>
    </row>
    <row r="108" spans="1:9" ht="18.75" customHeight="1" x14ac:dyDescent="0.25">
      <c r="B108" s="1" t="s">
        <v>309</v>
      </c>
      <c r="G108" s="25" t="s">
        <v>353</v>
      </c>
      <c r="H108" s="4" t="str">
        <f>Result!H3</f>
        <v>0,5 m</v>
      </c>
      <c r="I108" s="3"/>
    </row>
    <row r="109" spans="1:9" ht="18.75" customHeight="1" x14ac:dyDescent="0.25">
      <c r="B109" s="1" t="s">
        <v>310</v>
      </c>
      <c r="G109" s="25" t="s">
        <v>80</v>
      </c>
      <c r="H109" s="4" t="str">
        <f>Result!H4</f>
        <v>0,6 m</v>
      </c>
      <c r="I109" s="3"/>
    </row>
    <row r="110" spans="1:9" ht="18.75" customHeight="1" x14ac:dyDescent="0.25">
      <c r="B110" s="173"/>
      <c r="G110" s="41"/>
      <c r="I110" s="3"/>
    </row>
    <row r="111" spans="1:9" ht="18.75" customHeight="1" x14ac:dyDescent="0.25">
      <c r="B111" s="1" t="s">
        <v>311</v>
      </c>
      <c r="G111" s="41" t="s">
        <v>312</v>
      </c>
      <c r="H111" s="4" t="str">
        <f>Result!H6</f>
        <v>0,4 m</v>
      </c>
      <c r="I111" s="3"/>
    </row>
    <row r="112" spans="1:9" ht="18.75" customHeight="1" x14ac:dyDescent="0.25">
      <c r="B112" s="1" t="s">
        <v>313</v>
      </c>
      <c r="G112" s="41" t="s">
        <v>314</v>
      </c>
      <c r="H112" s="4" t="str">
        <f>Result!H7</f>
        <v>1,6 m</v>
      </c>
      <c r="I112" s="3"/>
    </row>
    <row r="113" spans="1:9" ht="18.75" customHeight="1" x14ac:dyDescent="0.25">
      <c r="B113" s="1" t="s">
        <v>315</v>
      </c>
      <c r="G113" s="41" t="s">
        <v>316</v>
      </c>
      <c r="H113" s="4" t="str">
        <f>Result!H8</f>
        <v>1,6 m</v>
      </c>
      <c r="I113" s="3"/>
    </row>
    <row r="114" spans="1:9" ht="18.75" customHeight="1" x14ac:dyDescent="0.25">
      <c r="B114" s="1" t="s">
        <v>317</v>
      </c>
      <c r="G114" s="41" t="s">
        <v>318</v>
      </c>
      <c r="H114" s="4" t="str">
        <f>Result!H9</f>
        <v>100 m</v>
      </c>
      <c r="I114" s="3"/>
    </row>
    <row r="115" spans="1:9" ht="37.5" customHeight="1" x14ac:dyDescent="0.25">
      <c r="B115" s="1" t="s">
        <v>319</v>
      </c>
      <c r="G115" s="41" t="s">
        <v>320</v>
      </c>
      <c r="H115" s="293" t="str">
        <f>Result!H10</f>
        <v>-2 m (m.t.a.)</v>
      </c>
      <c r="I115" s="174"/>
    </row>
    <row r="116" spans="1:9" ht="18.75" customHeight="1" x14ac:dyDescent="0.25">
      <c r="B116" s="175" t="s">
        <v>321</v>
      </c>
    </row>
    <row r="118" spans="1:9" s="13" customFormat="1" ht="18.75" customHeight="1" x14ac:dyDescent="0.25">
      <c r="A118" s="296"/>
      <c r="B118" s="356" t="s">
        <v>48</v>
      </c>
      <c r="C118" s="357"/>
      <c r="D118" s="346" t="s">
        <v>49</v>
      </c>
      <c r="E118" s="346" t="s">
        <v>50</v>
      </c>
      <c r="F118" s="106" t="s">
        <v>261</v>
      </c>
      <c r="G118" s="106" t="s">
        <v>262</v>
      </c>
      <c r="H118" s="106" t="s">
        <v>263</v>
      </c>
    </row>
    <row r="119" spans="1:9" s="13" customFormat="1" ht="18.75" customHeight="1" x14ac:dyDescent="0.25">
      <c r="A119" s="296"/>
      <c r="B119" s="358"/>
      <c r="C119" s="359"/>
      <c r="D119" s="355"/>
      <c r="E119" s="355"/>
      <c r="F119" s="278" t="s">
        <v>5</v>
      </c>
      <c r="G119" s="278" t="s">
        <v>2</v>
      </c>
      <c r="H119" s="278" t="s">
        <v>2</v>
      </c>
    </row>
    <row r="120" spans="1:9" s="13" customFormat="1" ht="18.75" customHeight="1" x14ac:dyDescent="0.25">
      <c r="A120" s="296"/>
      <c r="B120" s="353" t="s">
        <v>488</v>
      </c>
      <c r="C120" s="353"/>
      <c r="D120" s="275" t="s">
        <v>51</v>
      </c>
      <c r="E120" s="219" t="s">
        <v>42</v>
      </c>
      <c r="F120" s="220">
        <f>Result!F15</f>
        <v>724.12544000000003</v>
      </c>
      <c r="G120" s="260"/>
      <c r="H120" s="260"/>
    </row>
    <row r="121" spans="1:9" s="13" customFormat="1" ht="18.75" customHeight="1" x14ac:dyDescent="0.25">
      <c r="A121" s="296"/>
      <c r="B121" s="353" t="s">
        <v>489</v>
      </c>
      <c r="C121" s="353"/>
      <c r="D121" s="275" t="s">
        <v>51</v>
      </c>
      <c r="E121" s="219" t="s">
        <v>42</v>
      </c>
      <c r="F121" s="220">
        <f>Result!F16</f>
        <v>306.77120000000002</v>
      </c>
      <c r="G121" s="220">
        <f>Result!G16</f>
        <v>8</v>
      </c>
      <c r="H121" s="220">
        <f>Result!H16</f>
        <v>14</v>
      </c>
    </row>
    <row r="122" spans="1:9" s="13" customFormat="1" ht="18.75" customHeight="1" x14ac:dyDescent="0.25">
      <c r="A122" s="296"/>
      <c r="B122" s="354" t="s">
        <v>490</v>
      </c>
      <c r="C122" s="354"/>
      <c r="D122" s="276" t="s">
        <v>51</v>
      </c>
      <c r="E122" s="223" t="s">
        <v>42</v>
      </c>
      <c r="F122" s="224">
        <f>Result!F17</f>
        <v>256.77120000000002</v>
      </c>
      <c r="G122" s="224">
        <f>Result!G17</f>
        <v>60</v>
      </c>
      <c r="H122" s="224">
        <f>Result!H17</f>
        <v>90</v>
      </c>
    </row>
    <row r="123" spans="1:9" s="13" customFormat="1" ht="18.75" customHeight="1" x14ac:dyDescent="0.25">
      <c r="A123" s="296"/>
      <c r="B123" s="354" t="s">
        <v>491</v>
      </c>
      <c r="C123" s="354"/>
      <c r="D123" s="276" t="s">
        <v>51</v>
      </c>
      <c r="E123" s="223" t="s">
        <v>43</v>
      </c>
      <c r="F123" s="224">
        <f>Result!F18</f>
        <v>176.77120000000002</v>
      </c>
      <c r="G123" s="224">
        <f>Result!G18</f>
        <v>30</v>
      </c>
      <c r="H123" s="224">
        <f>Result!H18</f>
        <v>95</v>
      </c>
    </row>
    <row r="124" spans="1:9" s="13" customFormat="1" ht="18.75" customHeight="1" x14ac:dyDescent="0.25">
      <c r="A124" s="296"/>
      <c r="B124" s="352" t="s">
        <v>492</v>
      </c>
      <c r="C124" s="352"/>
      <c r="D124" s="277" t="s">
        <v>51</v>
      </c>
      <c r="E124" s="215" t="s">
        <v>42</v>
      </c>
      <c r="F124" s="216">
        <f>Result!F19</f>
        <v>246.77120000000002</v>
      </c>
      <c r="G124" s="216">
        <f>Result!G19</f>
        <v>110</v>
      </c>
      <c r="H124" s="216">
        <f>Result!H19</f>
        <v>40</v>
      </c>
    </row>
    <row r="125" spans="1:9" s="13" customFormat="1" ht="18.75" customHeight="1" x14ac:dyDescent="0.25">
      <c r="A125" s="296"/>
      <c r="B125" s="352" t="s">
        <v>493</v>
      </c>
      <c r="C125" s="352"/>
      <c r="D125" s="277" t="s">
        <v>51</v>
      </c>
      <c r="E125" s="215" t="s">
        <v>43</v>
      </c>
      <c r="F125" s="216">
        <f>Result!F20</f>
        <v>186.77120000000002</v>
      </c>
      <c r="G125" s="216">
        <f>Result!G20</f>
        <v>90</v>
      </c>
      <c r="H125" s="216">
        <f>Result!H20</f>
        <v>30</v>
      </c>
    </row>
    <row r="126" spans="1:9" s="13" customFormat="1" ht="18.75" customHeight="1" x14ac:dyDescent="0.25">
      <c r="A126" s="168"/>
      <c r="B126" s="289"/>
      <c r="C126" s="289"/>
      <c r="D126" s="289"/>
      <c r="E126" s="290"/>
      <c r="F126" s="268"/>
      <c r="G126" s="268"/>
      <c r="H126" s="291"/>
    </row>
    <row r="127" spans="1:9" s="13" customFormat="1" ht="18.75" customHeight="1" x14ac:dyDescent="0.25">
      <c r="A127" s="296"/>
      <c r="B127" s="346" t="s">
        <v>48</v>
      </c>
      <c r="C127" s="346"/>
      <c r="D127" s="106" t="s">
        <v>502</v>
      </c>
      <c r="E127" s="106" t="s">
        <v>497</v>
      </c>
      <c r="F127" s="106" t="s">
        <v>501</v>
      </c>
      <c r="G127" s="348" t="s">
        <v>499</v>
      </c>
      <c r="H127" s="348"/>
      <c r="I127" s="203"/>
    </row>
    <row r="128" spans="1:9" s="13" customFormat="1" ht="18.75" customHeight="1" x14ac:dyDescent="0.25">
      <c r="A128" s="296"/>
      <c r="B128" s="346"/>
      <c r="C128" s="346"/>
      <c r="D128" s="281" t="s">
        <v>498</v>
      </c>
      <c r="E128" s="281" t="s">
        <v>498</v>
      </c>
      <c r="F128" s="281" t="s">
        <v>498</v>
      </c>
      <c r="G128" s="349"/>
      <c r="H128" s="349"/>
      <c r="I128" s="203"/>
    </row>
    <row r="129" spans="1:9" s="13" customFormat="1" ht="18.75" customHeight="1" x14ac:dyDescent="0.25">
      <c r="A129" s="296"/>
      <c r="B129" s="351" t="s">
        <v>489</v>
      </c>
      <c r="C129" s="351"/>
      <c r="D129" s="79">
        <f>Result!D24</f>
        <v>87.605937499999982</v>
      </c>
      <c r="E129" s="4">
        <f>Result!E24</f>
        <v>152.05906249999998</v>
      </c>
      <c r="F129" s="347">
        <f>Result!F24</f>
        <v>362.95146850411572</v>
      </c>
      <c r="G129" s="369" t="str">
        <f>Result!G24</f>
        <v>qmax &lt; qa → AMAN (OK)</v>
      </c>
      <c r="H129" s="369">
        <f>Result!H24</f>
        <v>0</v>
      </c>
      <c r="I129" s="203"/>
    </row>
    <row r="130" spans="1:9" s="13" customFormat="1" ht="18.75" customHeight="1" x14ac:dyDescent="0.25">
      <c r="A130" s="296"/>
      <c r="B130" s="351" t="s">
        <v>490</v>
      </c>
      <c r="C130" s="351"/>
      <c r="D130" s="79">
        <f>Result!D25</f>
        <v>0</v>
      </c>
      <c r="E130" s="4">
        <f>Result!E25</f>
        <v>320.02781249999998</v>
      </c>
      <c r="F130" s="347">
        <f>Result!F25</f>
        <v>0</v>
      </c>
      <c r="G130" s="369" t="str">
        <f>Result!G25</f>
        <v>qmax &lt; qa → AMAN (OK)</v>
      </c>
      <c r="H130" s="369">
        <f>Result!H25</f>
        <v>0</v>
      </c>
      <c r="I130" s="203"/>
    </row>
    <row r="131" spans="1:9" s="13" customFormat="1" ht="18.75" customHeight="1" x14ac:dyDescent="0.25">
      <c r="A131" s="296"/>
      <c r="B131" s="351" t="s">
        <v>491</v>
      </c>
      <c r="C131" s="351"/>
      <c r="D131" s="79">
        <f>Result!D26</f>
        <v>0</v>
      </c>
      <c r="E131" s="4">
        <f>Result!E26</f>
        <v>252.15671874999995</v>
      </c>
      <c r="F131" s="347">
        <f>Result!F26</f>
        <v>0</v>
      </c>
      <c r="G131" s="369" t="str">
        <f>Result!G26</f>
        <v>qmax &lt; qa → AMAN (OK)</v>
      </c>
      <c r="H131" s="369">
        <f>Result!H26</f>
        <v>0</v>
      </c>
      <c r="I131" s="203"/>
    </row>
    <row r="132" spans="1:9" s="13" customFormat="1" ht="18.75" customHeight="1" x14ac:dyDescent="0.25">
      <c r="A132" s="296"/>
      <c r="B132" s="351" t="s">
        <v>492</v>
      </c>
      <c r="C132" s="351"/>
      <c r="D132" s="79">
        <f>Result!D27</f>
        <v>0</v>
      </c>
      <c r="E132" s="4">
        <f>Result!E27</f>
        <v>316.12156249999998</v>
      </c>
      <c r="F132" s="347">
        <f>Result!F27</f>
        <v>0</v>
      </c>
      <c r="G132" s="369" t="str">
        <f>Result!G27</f>
        <v>qmax &lt; qa → AMAN (OK)</v>
      </c>
      <c r="H132" s="369">
        <f>Result!H27</f>
        <v>0</v>
      </c>
      <c r="I132" s="203"/>
    </row>
    <row r="133" spans="1:9" s="13" customFormat="1" ht="18.75" customHeight="1" x14ac:dyDescent="0.25">
      <c r="A133" s="296"/>
      <c r="B133" s="351" t="s">
        <v>493</v>
      </c>
      <c r="C133" s="351"/>
      <c r="D133" s="79">
        <f>Result!D28</f>
        <v>0</v>
      </c>
      <c r="E133" s="4">
        <f>Result!E28</f>
        <v>248.73874999999998</v>
      </c>
      <c r="F133" s="347">
        <f>Result!F28</f>
        <v>0</v>
      </c>
      <c r="G133" s="369" t="str">
        <f>Result!G28</f>
        <v>qmax &lt; qa → AMAN (OK)</v>
      </c>
      <c r="H133" s="369">
        <f>Result!H28</f>
        <v>0</v>
      </c>
      <c r="I133" s="203"/>
    </row>
    <row r="134" spans="1:9" s="13" customFormat="1" ht="18.75" customHeight="1" x14ac:dyDescent="0.25">
      <c r="A134" s="168"/>
      <c r="B134" s="289"/>
      <c r="C134" s="289"/>
      <c r="D134" s="289"/>
      <c r="E134" s="290"/>
      <c r="F134" s="268"/>
      <c r="G134" s="268"/>
      <c r="H134" s="291"/>
    </row>
    <row r="135" spans="1:9" ht="18.75" customHeight="1" x14ac:dyDescent="0.25">
      <c r="A135" s="1"/>
      <c r="B135" s="1" t="s">
        <v>322</v>
      </c>
      <c r="G135" s="288"/>
      <c r="H135" s="176" t="str">
        <f>Result!H30</f>
        <v>D16  -  200</v>
      </c>
    </row>
    <row r="136" spans="1:9" ht="18.75" customHeight="1" x14ac:dyDescent="0.25">
      <c r="A136" s="1"/>
      <c r="B136" s="1" t="s">
        <v>323</v>
      </c>
      <c r="G136" s="288"/>
      <c r="H136" s="177" t="str">
        <f>Result!H31</f>
        <v>D16  -  200</v>
      </c>
    </row>
    <row r="137" spans="1:9" ht="18.75" customHeight="1" x14ac:dyDescent="0.25">
      <c r="A137" s="1"/>
      <c r="B137" s="1" t="s">
        <v>324</v>
      </c>
      <c r="G137" s="288"/>
      <c r="H137" s="176" t="str">
        <f>Result!H32</f>
        <v>D13  -  200</v>
      </c>
    </row>
    <row r="138" spans="1:9" ht="18.75" customHeight="1" x14ac:dyDescent="0.25">
      <c r="A138" s="1"/>
      <c r="B138" s="1" t="s">
        <v>325</v>
      </c>
      <c r="G138" s="288"/>
      <c r="H138" s="178" t="str">
        <f>Result!H33</f>
        <v>D13  -  200</v>
      </c>
    </row>
    <row r="139" spans="1:9" ht="18.75" customHeight="1" x14ac:dyDescent="0.25">
      <c r="A139" s="1"/>
      <c r="G139" s="294"/>
      <c r="H139" s="295"/>
    </row>
    <row r="140" spans="1:9" ht="18.75" customHeight="1" x14ac:dyDescent="0.25">
      <c r="A140" s="186" t="s">
        <v>271</v>
      </c>
      <c r="B140" s="56" t="s">
        <v>344</v>
      </c>
      <c r="C140" s="59"/>
      <c r="D140" s="59"/>
      <c r="E140" s="59"/>
      <c r="F140" s="59"/>
      <c r="G140" s="59"/>
      <c r="H140" s="59"/>
      <c r="I140" s="59"/>
    </row>
    <row r="141" spans="1:9" ht="18.75" customHeight="1" x14ac:dyDescent="0.25">
      <c r="B141" s="1" t="s">
        <v>327</v>
      </c>
    </row>
    <row r="142" spans="1:9" ht="18.75" customHeight="1" x14ac:dyDescent="0.25">
      <c r="C142" s="2" t="s">
        <v>328</v>
      </c>
      <c r="D142" s="179" t="s">
        <v>149</v>
      </c>
      <c r="E142" s="114" t="s">
        <v>120</v>
      </c>
      <c r="F142" s="179" t="s">
        <v>134</v>
      </c>
      <c r="G142" s="2"/>
    </row>
    <row r="143" spans="1:9" ht="18.75" customHeight="1" x14ac:dyDescent="0.25">
      <c r="C143" s="2"/>
      <c r="D143" s="180">
        <f>Result!D38</f>
        <v>604.68570348570324</v>
      </c>
      <c r="E143" s="181" t="str">
        <f>IF(D143&lt;=F143,"&lt;","&gt;")</f>
        <v>&gt;</v>
      </c>
      <c r="F143" s="180">
        <f>Result!F38</f>
        <v>70.297564374999979</v>
      </c>
      <c r="G143" s="182" t="s">
        <v>3</v>
      </c>
      <c r="H143" s="183" t="str">
        <f>IF(D143&gt;F143,"AMAN (OK)","BAHAYA (NG)")</f>
        <v>AMAN (OK)</v>
      </c>
    </row>
    <row r="144" spans="1:9" ht="18.75" customHeight="1" x14ac:dyDescent="0.25">
      <c r="B144" s="1" t="s">
        <v>329</v>
      </c>
    </row>
    <row r="145" spans="1:9" ht="18.75" customHeight="1" x14ac:dyDescent="0.25">
      <c r="C145" s="2" t="s">
        <v>328</v>
      </c>
      <c r="D145" s="179" t="s">
        <v>149</v>
      </c>
      <c r="E145" s="114" t="s">
        <v>120</v>
      </c>
      <c r="F145" s="179" t="s">
        <v>134</v>
      </c>
      <c r="G145" s="2"/>
    </row>
    <row r="146" spans="1:9" ht="18.75" customHeight="1" x14ac:dyDescent="0.25">
      <c r="C146" s="2"/>
      <c r="D146" s="180">
        <f>Result!D41</f>
        <v>604.68570348570324</v>
      </c>
      <c r="E146" s="181" t="str">
        <f>IF(D146&lt;=F146,"&lt;","&gt;")</f>
        <v>&gt;</v>
      </c>
      <c r="F146" s="180">
        <f>Result!F41</f>
        <v>62.349607343749987</v>
      </c>
      <c r="G146" s="182" t="s">
        <v>3</v>
      </c>
      <c r="H146" s="183" t="str">
        <f>IF(D146&gt;F146,"AMAN (OK)","BAHAYA (NG)")</f>
        <v>AMAN (OK)</v>
      </c>
    </row>
    <row r="147" spans="1:9" ht="18.75" customHeight="1" x14ac:dyDescent="0.25">
      <c r="B147" s="2" t="s">
        <v>305</v>
      </c>
    </row>
    <row r="148" spans="1:9" ht="18.75" customHeight="1" x14ac:dyDescent="0.25">
      <c r="C148" s="2" t="s">
        <v>4</v>
      </c>
      <c r="D148" s="179" t="s">
        <v>150</v>
      </c>
      <c r="E148" s="114" t="s">
        <v>120</v>
      </c>
      <c r="F148" s="179" t="s">
        <v>330</v>
      </c>
      <c r="G148" s="164"/>
    </row>
    <row r="149" spans="1:9" ht="18.75" customHeight="1" x14ac:dyDescent="0.25">
      <c r="C149" s="2"/>
      <c r="D149" s="180">
        <f>Result!D44</f>
        <v>1248.6759776979777</v>
      </c>
      <c r="E149" s="181" t="str">
        <f>IF(D149&lt;=F149,"&lt;","&gt;")</f>
        <v>&gt;</v>
      </c>
      <c r="F149" s="180">
        <f>Result!F44</f>
        <v>161.58175</v>
      </c>
      <c r="G149" s="182" t="s">
        <v>3</v>
      </c>
      <c r="H149" s="183" t="str">
        <f>IF(D149&gt;F149,"AMAN (OK)","BAHAYA (NG)")</f>
        <v>AMAN (OK)</v>
      </c>
    </row>
    <row r="150" spans="1:9" ht="18.75" customHeight="1" x14ac:dyDescent="0.25">
      <c r="B150" s="2" t="s">
        <v>306</v>
      </c>
    </row>
    <row r="151" spans="1:9" ht="18.75" customHeight="1" x14ac:dyDescent="0.25">
      <c r="C151" s="123" t="s">
        <v>4</v>
      </c>
      <c r="D151" s="184" t="s">
        <v>331</v>
      </c>
      <c r="E151" s="31" t="s">
        <v>44</v>
      </c>
      <c r="F151" s="184" t="s">
        <v>332</v>
      </c>
      <c r="G151" s="44"/>
      <c r="H151" s="127"/>
    </row>
    <row r="152" spans="1:9" ht="18.75" customHeight="1" x14ac:dyDescent="0.25">
      <c r="C152" s="9"/>
      <c r="D152" s="22">
        <f>Result!D47</f>
        <v>1248.6759776979777</v>
      </c>
      <c r="E152" s="127" t="str">
        <f>IF(D152&gt;F152,"&gt;","&lt;")</f>
        <v>&gt;</v>
      </c>
      <c r="F152" s="22">
        <f>Result!F47</f>
        <v>306.77120000000002</v>
      </c>
      <c r="G152" s="31" t="s">
        <v>3</v>
      </c>
      <c r="H152" s="183" t="str">
        <f>IF(D152&gt;F152,"AMAN (OK)","BAHAYA (NG)")</f>
        <v>AMAN (OK)</v>
      </c>
    </row>
    <row r="153" spans="1:9" ht="18.75" customHeight="1" x14ac:dyDescent="0.25">
      <c r="C153" s="9"/>
      <c r="D153" s="135"/>
      <c r="E153" s="127"/>
      <c r="F153" s="135"/>
      <c r="G153" s="31"/>
      <c r="H153" s="183"/>
    </row>
    <row r="154" spans="1:9" ht="18.75" customHeight="1" x14ac:dyDescent="0.25">
      <c r="A154" s="186" t="s">
        <v>345</v>
      </c>
      <c r="B154" s="56" t="s">
        <v>333</v>
      </c>
      <c r="C154" s="59"/>
      <c r="D154" s="59"/>
      <c r="E154" s="59"/>
      <c r="F154" s="59"/>
      <c r="G154" s="59"/>
      <c r="H154" s="59"/>
      <c r="I154" s="59"/>
    </row>
    <row r="155" spans="1:9" ht="18.75" customHeight="1" x14ac:dyDescent="0.25">
      <c r="B155" s="1" t="s">
        <v>334</v>
      </c>
    </row>
    <row r="156" spans="1:9" ht="18.75" customHeight="1" x14ac:dyDescent="0.25">
      <c r="C156" s="9" t="s">
        <v>4</v>
      </c>
      <c r="D156" s="156" t="s">
        <v>230</v>
      </c>
      <c r="E156" s="31" t="s">
        <v>120</v>
      </c>
      <c r="F156" s="156" t="s">
        <v>231</v>
      </c>
      <c r="G156" s="9"/>
      <c r="H156" s="9"/>
    </row>
    <row r="157" spans="1:9" ht="18.75" customHeight="1" x14ac:dyDescent="0.25">
      <c r="C157" s="9"/>
      <c r="D157" s="19">
        <f>Result!D52</f>
        <v>155.2543581193294</v>
      </c>
      <c r="E157" s="31" t="str">
        <f>IF(D157&gt;F157,"&gt;","&lt;")</f>
        <v>&gt;</v>
      </c>
      <c r="F157" s="19">
        <f>Result!F52</f>
        <v>54.811468593749993</v>
      </c>
      <c r="G157" s="42" t="s">
        <v>3</v>
      </c>
      <c r="H157" s="129" t="str">
        <f>IF(D157&gt;=F157,"AMAN  (OK)","BAHAYA  (NG)")</f>
        <v>AMAN  (OK)</v>
      </c>
    </row>
    <row r="158" spans="1:9" ht="18.75" customHeight="1" x14ac:dyDescent="0.25">
      <c r="B158" s="1" t="s">
        <v>335</v>
      </c>
    </row>
    <row r="159" spans="1:9" ht="18.75" customHeight="1" x14ac:dyDescent="0.25">
      <c r="C159" s="9" t="s">
        <v>4</v>
      </c>
      <c r="D159" s="156" t="s">
        <v>230</v>
      </c>
      <c r="E159" s="31" t="s">
        <v>120</v>
      </c>
      <c r="F159" s="156" t="s">
        <v>231</v>
      </c>
      <c r="G159" s="9"/>
      <c r="H159" s="9"/>
    </row>
    <row r="160" spans="1:9" ht="18.75" customHeight="1" x14ac:dyDescent="0.25">
      <c r="C160" s="9"/>
      <c r="D160" s="19">
        <f>Result!D55</f>
        <v>155.2543581193294</v>
      </c>
      <c r="E160" s="31" t="str">
        <f>IF(D160&gt;F160,"&gt;","&lt;")</f>
        <v>&gt;</v>
      </c>
      <c r="F160" s="19">
        <f>Result!F55</f>
        <v>45.567289062499988</v>
      </c>
      <c r="G160" s="42" t="s">
        <v>3</v>
      </c>
      <c r="H160" s="129" t="str">
        <f>IF(D160&gt;=F160,"AMAN  (OK)","BAHAYA  (NG)")</f>
        <v>AMAN  (OK)</v>
      </c>
    </row>
    <row r="162" spans="1:11" ht="18.75" customHeight="1" x14ac:dyDescent="0.25">
      <c r="A162" s="408" t="s">
        <v>265</v>
      </c>
      <c r="B162" s="412" t="s">
        <v>272</v>
      </c>
      <c r="C162" s="413"/>
      <c r="D162" s="413"/>
      <c r="E162" s="413"/>
      <c r="F162" s="413"/>
      <c r="G162" s="413"/>
      <c r="H162" s="413"/>
      <c r="I162" s="414"/>
    </row>
    <row r="163" spans="1:11" ht="18.75" customHeight="1" x14ac:dyDescent="0.25">
      <c r="A163" s="196" t="s">
        <v>82</v>
      </c>
      <c r="B163" s="91" t="s">
        <v>83</v>
      </c>
      <c r="C163" s="92"/>
      <c r="D163" s="92"/>
      <c r="E163" s="92"/>
      <c r="F163" s="92"/>
      <c r="G163" s="92"/>
      <c r="H163" s="92"/>
      <c r="I163" s="201"/>
    </row>
    <row r="164" spans="1:11" ht="18.75" customHeight="1" x14ac:dyDescent="0.25">
      <c r="A164" s="168" t="s">
        <v>266</v>
      </c>
      <c r="B164" s="32" t="s">
        <v>84</v>
      </c>
      <c r="C164" s="94"/>
      <c r="D164" s="94"/>
      <c r="E164" s="94"/>
      <c r="F164" s="94"/>
      <c r="G164" s="94"/>
      <c r="H164" s="94"/>
      <c r="I164" s="202"/>
    </row>
    <row r="165" spans="1:11" ht="18.75" customHeight="1" x14ac:dyDescent="0.25">
      <c r="A165" s="168"/>
      <c r="B165" s="13" t="s">
        <v>105</v>
      </c>
      <c r="C165" s="13"/>
      <c r="D165" s="94"/>
      <c r="E165" s="94"/>
      <c r="F165" s="94"/>
      <c r="G165" s="25" t="s">
        <v>6</v>
      </c>
      <c r="H165" s="79">
        <f>'Process (1)'!H5</f>
        <v>0</v>
      </c>
      <c r="I165" s="203" t="s">
        <v>21</v>
      </c>
    </row>
    <row r="166" spans="1:11" ht="18.75" customHeight="1" x14ac:dyDescent="0.25">
      <c r="A166" s="168"/>
      <c r="B166" s="13" t="s">
        <v>106</v>
      </c>
      <c r="C166" s="13"/>
      <c r="D166" s="94"/>
      <c r="E166" s="94"/>
      <c r="F166" s="94"/>
      <c r="G166" s="25" t="s">
        <v>8</v>
      </c>
      <c r="H166" s="79">
        <f>'Process (1)'!H6</f>
        <v>-2</v>
      </c>
      <c r="I166" s="203" t="s">
        <v>9</v>
      </c>
    </row>
    <row r="167" spans="1:11" ht="18.75" customHeight="1" x14ac:dyDescent="0.25">
      <c r="A167" s="168"/>
      <c r="B167" s="13" t="s">
        <v>107</v>
      </c>
      <c r="C167" s="13"/>
      <c r="D167" s="94"/>
      <c r="E167" s="94"/>
      <c r="F167" s="94"/>
      <c r="G167" s="25" t="s">
        <v>102</v>
      </c>
      <c r="H167" s="79">
        <f>'Process (1)'!H7</f>
        <v>16.8</v>
      </c>
      <c r="I167" s="203" t="s">
        <v>12</v>
      </c>
    </row>
    <row r="168" spans="1:11" ht="18.75" customHeight="1" x14ac:dyDescent="0.25">
      <c r="A168" s="168"/>
      <c r="B168" s="13" t="s">
        <v>109</v>
      </c>
      <c r="C168" s="13"/>
      <c r="D168" s="94"/>
      <c r="E168" s="94"/>
      <c r="F168" s="94"/>
      <c r="G168" s="25" t="s">
        <v>23</v>
      </c>
      <c r="H168" s="79">
        <f>'Process (1)'!H8</f>
        <v>1.6</v>
      </c>
      <c r="I168" s="203" t="s">
        <v>9</v>
      </c>
    </row>
    <row r="169" spans="1:11" ht="18.75" customHeight="1" x14ac:dyDescent="0.25">
      <c r="A169" s="168"/>
      <c r="B169" s="13" t="s">
        <v>108</v>
      </c>
      <c r="C169" s="13"/>
      <c r="D169" s="94"/>
      <c r="E169" s="94"/>
      <c r="F169" s="94"/>
      <c r="G169" s="25" t="s">
        <v>25</v>
      </c>
      <c r="H169" s="79">
        <f>'Process (1)'!H9</f>
        <v>1.6</v>
      </c>
      <c r="I169" s="203" t="s">
        <v>9</v>
      </c>
    </row>
    <row r="170" spans="1:11" ht="18.75" customHeight="1" x14ac:dyDescent="0.25">
      <c r="A170" s="168"/>
      <c r="B170" s="97" t="s">
        <v>13</v>
      </c>
      <c r="C170" s="94"/>
      <c r="D170" s="94"/>
      <c r="E170" s="94"/>
      <c r="F170" s="94"/>
      <c r="G170" s="25" t="s">
        <v>103</v>
      </c>
      <c r="H170" s="79">
        <f>'Process (1)'!H13</f>
        <v>34</v>
      </c>
      <c r="I170" s="203" t="s">
        <v>15</v>
      </c>
    </row>
    <row r="171" spans="1:11" ht="18.75" customHeight="1" x14ac:dyDescent="0.25">
      <c r="A171" s="168"/>
      <c r="B171" s="13"/>
      <c r="C171" s="94"/>
      <c r="D171" s="13"/>
      <c r="E171" s="94"/>
      <c r="F171" s="94"/>
      <c r="G171" s="25" t="s">
        <v>96</v>
      </c>
      <c r="H171" s="80">
        <f>'Process (1)'!H14</f>
        <v>0.59341194567807198</v>
      </c>
      <c r="I171" s="203" t="s">
        <v>26</v>
      </c>
    </row>
    <row r="172" spans="1:11" ht="18.75" customHeight="1" x14ac:dyDescent="0.25">
      <c r="A172" s="168"/>
      <c r="B172" s="13"/>
      <c r="C172" s="94"/>
      <c r="D172" s="94"/>
      <c r="E172" s="94"/>
      <c r="F172" s="94"/>
      <c r="G172" s="25" t="s">
        <v>97</v>
      </c>
      <c r="H172" s="80">
        <f>'Process (1)'!H15</f>
        <v>4.0114089764168144</v>
      </c>
      <c r="I172" s="203"/>
    </row>
    <row r="173" spans="1:11" ht="18.75" customHeight="1" x14ac:dyDescent="0.25">
      <c r="A173" s="168"/>
      <c r="B173" s="13"/>
      <c r="C173" s="94"/>
      <c r="D173" s="94"/>
      <c r="E173" s="94"/>
      <c r="F173" s="94"/>
      <c r="G173" s="25" t="s">
        <v>98</v>
      </c>
      <c r="H173" s="80">
        <f>'Process (1)'!H16</f>
        <v>72.4763059202661</v>
      </c>
      <c r="I173" s="203"/>
    </row>
    <row r="174" spans="1:11" ht="18.75" customHeight="1" x14ac:dyDescent="0.25">
      <c r="A174" s="168"/>
      <c r="B174" s="13"/>
      <c r="C174" s="94"/>
      <c r="D174" s="94"/>
      <c r="E174" s="94"/>
      <c r="F174" s="94"/>
      <c r="G174" s="25"/>
      <c r="H174" s="81"/>
      <c r="I174" s="203"/>
    </row>
    <row r="175" spans="1:11" s="13" customFormat="1" ht="18.75" customHeight="1" x14ac:dyDescent="0.25">
      <c r="A175" s="403"/>
      <c r="B175" s="13" t="s">
        <v>528</v>
      </c>
      <c r="D175" s="94"/>
      <c r="E175" s="94"/>
      <c r="F175" s="94"/>
      <c r="I175" s="404"/>
      <c r="J175" s="78"/>
      <c r="K175" s="1"/>
    </row>
    <row r="176" spans="1:11" s="13" customFormat="1" ht="18.75" customHeight="1" x14ac:dyDescent="0.25">
      <c r="A176" s="403"/>
      <c r="D176" s="94"/>
      <c r="E176" s="94"/>
      <c r="F176" s="94"/>
      <c r="G176" s="25" t="s">
        <v>526</v>
      </c>
      <c r="H176" s="79">
        <f>'Process (1)'!H11</f>
        <v>0.7</v>
      </c>
      <c r="I176" s="404"/>
      <c r="J176" s="78"/>
      <c r="K176" s="1"/>
    </row>
    <row r="177" spans="1:15" s="13" customFormat="1" ht="18.75" customHeight="1" x14ac:dyDescent="0.25">
      <c r="A177" s="403"/>
      <c r="D177" s="94"/>
      <c r="E177" s="94"/>
      <c r="F177" s="94"/>
      <c r="G177" s="25" t="s">
        <v>527</v>
      </c>
      <c r="H177" s="79">
        <f>'Process (1)'!H12</f>
        <v>0.5</v>
      </c>
      <c r="I177" s="404"/>
      <c r="J177" s="78"/>
      <c r="K177" s="1"/>
    </row>
    <row r="178" spans="1:15" s="13" customFormat="1" ht="18.75" customHeight="1" x14ac:dyDescent="0.25">
      <c r="A178" s="403"/>
      <c r="B178" s="97" t="s">
        <v>13</v>
      </c>
      <c r="C178" s="94"/>
      <c r="D178" s="94"/>
      <c r="E178" s="94"/>
      <c r="F178" s="94"/>
      <c r="G178" s="25" t="s">
        <v>103</v>
      </c>
      <c r="H178" s="79">
        <f>'Process (1)'!H13</f>
        <v>34</v>
      </c>
      <c r="I178" s="404" t="s">
        <v>15</v>
      </c>
      <c r="J178" s="78"/>
    </row>
    <row r="179" spans="1:15" s="13" customFormat="1" ht="18.75" customHeight="1" x14ac:dyDescent="0.25">
      <c r="A179" s="403"/>
      <c r="C179" s="94"/>
      <c r="E179" s="94"/>
      <c r="F179" s="94"/>
      <c r="G179" s="25" t="s">
        <v>96</v>
      </c>
      <c r="H179" s="80">
        <f>'Process (1)'!H14</f>
        <v>0.59341194567807198</v>
      </c>
      <c r="I179" s="404" t="s">
        <v>26</v>
      </c>
      <c r="J179" s="78"/>
    </row>
    <row r="180" spans="1:15" s="13" customFormat="1" ht="18.75" customHeight="1" x14ac:dyDescent="0.25">
      <c r="A180" s="403"/>
      <c r="C180" s="94"/>
      <c r="D180" s="94"/>
      <c r="E180" s="94"/>
      <c r="F180" s="94"/>
      <c r="G180" s="25" t="s">
        <v>97</v>
      </c>
      <c r="H180" s="80">
        <f>'Process (1)'!H15</f>
        <v>4.0114089764168144</v>
      </c>
      <c r="I180" s="404"/>
      <c r="J180" s="78"/>
    </row>
    <row r="181" spans="1:15" s="13" customFormat="1" ht="18.75" customHeight="1" x14ac:dyDescent="0.25">
      <c r="A181" s="403"/>
      <c r="C181" s="94"/>
      <c r="D181" s="94"/>
      <c r="E181" s="94"/>
      <c r="F181" s="94"/>
      <c r="G181" s="25" t="s">
        <v>98</v>
      </c>
      <c r="H181" s="80">
        <f>'Process (1)'!H16</f>
        <v>72.4763059202661</v>
      </c>
      <c r="I181" s="404"/>
      <c r="J181" s="78"/>
    </row>
    <row r="182" spans="1:15" s="13" customFormat="1" ht="18.75" customHeight="1" x14ac:dyDescent="0.25">
      <c r="A182" s="403"/>
      <c r="B182" s="13" t="s">
        <v>27</v>
      </c>
      <c r="C182" s="94"/>
      <c r="D182" s="94"/>
      <c r="E182" s="94"/>
      <c r="F182" s="94"/>
      <c r="G182" s="2"/>
      <c r="I182" s="404"/>
      <c r="J182" s="78"/>
    </row>
    <row r="183" spans="1:15" s="13" customFormat="1" ht="18.75" customHeight="1" x14ac:dyDescent="0.25">
      <c r="A183" s="403"/>
      <c r="B183" s="307" t="s">
        <v>515</v>
      </c>
      <c r="C183" s="94"/>
      <c r="D183" s="94"/>
      <c r="E183" s="94"/>
      <c r="F183" s="94"/>
      <c r="G183" s="25" t="s">
        <v>99</v>
      </c>
      <c r="H183" s="80">
        <f>'Process (1)'!H18</f>
        <v>52.637449090803408</v>
      </c>
      <c r="I183" s="404"/>
      <c r="J183" s="78"/>
      <c r="L183" s="298"/>
      <c r="M183" s="6"/>
      <c r="N183" s="6"/>
      <c r="O183" s="6"/>
    </row>
    <row r="184" spans="1:15" s="13" customFormat="1" ht="18.75" customHeight="1" x14ac:dyDescent="0.25">
      <c r="A184" s="403"/>
      <c r="C184" s="94"/>
      <c r="D184" s="94"/>
      <c r="E184" s="94"/>
      <c r="F184" s="94"/>
      <c r="G184" s="25" t="s">
        <v>100</v>
      </c>
      <c r="H184" s="80">
        <f>'Process (1)'!H19</f>
        <v>36.504407716606536</v>
      </c>
      <c r="I184" s="404"/>
      <c r="J184" s="78"/>
      <c r="L184" s="6"/>
      <c r="M184" s="299"/>
      <c r="N184" s="299"/>
      <c r="O184" s="299"/>
    </row>
    <row r="185" spans="1:15" s="13" customFormat="1" ht="18.75" customHeight="1" x14ac:dyDescent="0.25">
      <c r="A185" s="403"/>
      <c r="C185" s="94"/>
      <c r="D185" s="94"/>
      <c r="E185" s="94"/>
      <c r="F185" s="94"/>
      <c r="G185" s="25" t="s">
        <v>101</v>
      </c>
      <c r="H185" s="80">
        <f>'Process (1)'!H20</f>
        <v>35.226292320396446</v>
      </c>
      <c r="I185" s="404"/>
      <c r="J185" s="78"/>
      <c r="L185" s="6"/>
      <c r="M185" s="299"/>
      <c r="N185" s="299"/>
      <c r="O185" s="299"/>
    </row>
    <row r="186" spans="1:15" s="13" customFormat="1" ht="18.75" customHeight="1" x14ac:dyDescent="0.25">
      <c r="A186" s="403"/>
      <c r="C186" s="94"/>
      <c r="D186" s="94"/>
      <c r="E186" s="94"/>
      <c r="F186" s="94"/>
      <c r="G186" s="36"/>
      <c r="H186" s="81"/>
      <c r="I186" s="404"/>
      <c r="J186" s="78"/>
      <c r="L186" s="6"/>
      <c r="M186" s="299"/>
      <c r="N186" s="299"/>
      <c r="O186" s="299"/>
    </row>
    <row r="187" spans="1:15" s="13" customFormat="1" ht="18.75" customHeight="1" x14ac:dyDescent="0.25">
      <c r="A187" s="403"/>
      <c r="B187" s="307" t="s">
        <v>516</v>
      </c>
      <c r="C187" s="94"/>
      <c r="D187" s="94"/>
      <c r="E187" s="300" t="s">
        <v>514</v>
      </c>
      <c r="F187" s="301" t="s">
        <v>520</v>
      </c>
      <c r="G187" s="301" t="s">
        <v>521</v>
      </c>
      <c r="H187" s="301" t="s">
        <v>522</v>
      </c>
      <c r="I187" s="404"/>
      <c r="J187" s="78"/>
      <c r="L187" s="6"/>
      <c r="M187" s="299"/>
      <c r="N187" s="299"/>
      <c r="O187" s="299"/>
    </row>
    <row r="188" spans="1:15" s="13" customFormat="1" ht="18.75" customHeight="1" x14ac:dyDescent="0.25">
      <c r="A188" s="403"/>
      <c r="C188" s="94"/>
      <c r="D188" s="94"/>
      <c r="E188" s="302">
        <v>0</v>
      </c>
      <c r="F188" s="303">
        <v>5.7</v>
      </c>
      <c r="G188" s="303">
        <v>1</v>
      </c>
      <c r="H188" s="303">
        <v>0</v>
      </c>
      <c r="I188" s="404"/>
      <c r="J188" s="78"/>
      <c r="L188" s="6"/>
      <c r="M188" s="299"/>
      <c r="N188" s="299"/>
      <c r="O188" s="299"/>
    </row>
    <row r="189" spans="1:15" s="13" customFormat="1" ht="18.75" customHeight="1" x14ac:dyDescent="0.25">
      <c r="A189" s="403"/>
      <c r="C189" s="94"/>
      <c r="D189" s="94"/>
      <c r="E189" s="302">
        <f>E188+5</f>
        <v>5</v>
      </c>
      <c r="F189" s="303">
        <v>6.7</v>
      </c>
      <c r="G189" s="303">
        <v>1.4</v>
      </c>
      <c r="H189" s="303">
        <v>0.2</v>
      </c>
      <c r="I189" s="404"/>
      <c r="J189" s="78"/>
      <c r="L189" s="6"/>
      <c r="M189" s="299"/>
      <c r="N189" s="299"/>
      <c r="O189" s="299"/>
    </row>
    <row r="190" spans="1:15" s="13" customFormat="1" ht="18.75" customHeight="1" x14ac:dyDescent="0.25">
      <c r="A190" s="403"/>
      <c r="C190" s="94"/>
      <c r="D190" s="94"/>
      <c r="E190" s="302">
        <f t="shared" ref="E190:E191" si="0">E189+5</f>
        <v>10</v>
      </c>
      <c r="F190" s="303">
        <v>8</v>
      </c>
      <c r="G190" s="303">
        <v>1.9</v>
      </c>
      <c r="H190" s="303">
        <v>0.5</v>
      </c>
      <c r="I190" s="404"/>
      <c r="J190" s="78"/>
      <c r="L190" s="6"/>
      <c r="M190" s="299"/>
      <c r="N190" s="299"/>
      <c r="O190" s="299"/>
    </row>
    <row r="191" spans="1:15" s="13" customFormat="1" ht="18.75" customHeight="1" x14ac:dyDescent="0.25">
      <c r="A191" s="403"/>
      <c r="C191" s="94"/>
      <c r="D191" s="94"/>
      <c r="E191" s="302">
        <f t="shared" si="0"/>
        <v>15</v>
      </c>
      <c r="F191" s="303">
        <v>9.6999999999999993</v>
      </c>
      <c r="G191" s="303">
        <v>2.7</v>
      </c>
      <c r="H191" s="303">
        <v>0.9</v>
      </c>
      <c r="I191" s="404"/>
      <c r="J191" s="78"/>
      <c r="L191" s="6"/>
      <c r="M191" s="299"/>
      <c r="N191" s="299"/>
      <c r="O191" s="299"/>
    </row>
    <row r="192" spans="1:15" s="13" customFormat="1" ht="18.75" customHeight="1" x14ac:dyDescent="0.25">
      <c r="A192" s="403"/>
      <c r="C192" s="94"/>
      <c r="D192" s="94"/>
      <c r="E192" s="302">
        <f>E191+5</f>
        <v>20</v>
      </c>
      <c r="F192" s="303">
        <v>11.8</v>
      </c>
      <c r="G192" s="303">
        <v>3.9</v>
      </c>
      <c r="H192" s="303">
        <v>1.7</v>
      </c>
      <c r="I192" s="404"/>
      <c r="J192" s="78"/>
      <c r="L192" s="6"/>
      <c r="M192" s="299"/>
      <c r="N192" s="299"/>
      <c r="O192" s="299"/>
    </row>
    <row r="193" spans="1:15" s="13" customFormat="1" ht="18.75" customHeight="1" x14ac:dyDescent="0.25">
      <c r="A193" s="403"/>
      <c r="C193" s="94"/>
      <c r="D193" s="94"/>
      <c r="E193" s="302">
        <f t="shared" ref="E193:E194" si="1">E192+5</f>
        <v>25</v>
      </c>
      <c r="F193" s="303">
        <v>14.8</v>
      </c>
      <c r="G193" s="303">
        <v>5.6</v>
      </c>
      <c r="H193" s="303">
        <v>3.2</v>
      </c>
      <c r="I193" s="404"/>
      <c r="J193" s="78"/>
      <c r="L193" s="6"/>
      <c r="M193" s="299"/>
      <c r="N193" s="299"/>
      <c r="O193" s="299"/>
    </row>
    <row r="194" spans="1:15" s="13" customFormat="1" ht="18.75" customHeight="1" x14ac:dyDescent="0.25">
      <c r="A194" s="403"/>
      <c r="C194" s="94"/>
      <c r="D194" s="94"/>
      <c r="E194" s="302">
        <f t="shared" si="1"/>
        <v>30</v>
      </c>
      <c r="F194" s="303">
        <v>19</v>
      </c>
      <c r="G194" s="303">
        <v>8.3000000000000007</v>
      </c>
      <c r="H194" s="303">
        <v>5.7</v>
      </c>
      <c r="I194" s="404"/>
      <c r="J194" s="78"/>
      <c r="L194" s="6"/>
      <c r="M194" s="299"/>
      <c r="N194" s="299"/>
      <c r="O194" s="299"/>
    </row>
    <row r="195" spans="1:15" s="13" customFormat="1" ht="18.75" customHeight="1" x14ac:dyDescent="0.25">
      <c r="A195" s="403"/>
      <c r="C195" s="94"/>
      <c r="D195" s="94"/>
      <c r="E195" s="302">
        <v>34</v>
      </c>
      <c r="F195" s="303">
        <v>23.7</v>
      </c>
      <c r="G195" s="303">
        <v>11.7</v>
      </c>
      <c r="H195" s="303">
        <v>9</v>
      </c>
      <c r="I195" s="404"/>
      <c r="J195" s="78"/>
      <c r="L195" s="6"/>
      <c r="M195" s="299"/>
      <c r="N195" s="299"/>
      <c r="O195" s="299"/>
    </row>
    <row r="196" spans="1:15" s="13" customFormat="1" ht="18.75" customHeight="1" x14ac:dyDescent="0.25">
      <c r="A196" s="403"/>
      <c r="C196" s="94"/>
      <c r="D196" s="94"/>
      <c r="E196" s="302">
        <v>35</v>
      </c>
      <c r="F196" s="303">
        <v>25.2</v>
      </c>
      <c r="G196" s="303">
        <v>12.6</v>
      </c>
      <c r="H196" s="303">
        <v>10.1</v>
      </c>
      <c r="I196" s="404"/>
      <c r="J196" s="78"/>
      <c r="L196" s="6"/>
      <c r="M196" s="299"/>
      <c r="N196" s="299"/>
      <c r="O196" s="299"/>
    </row>
    <row r="197" spans="1:15" s="13" customFormat="1" ht="18.75" customHeight="1" x14ac:dyDescent="0.25">
      <c r="A197" s="403"/>
      <c r="C197" s="94"/>
      <c r="D197" s="94"/>
      <c r="E197" s="302">
        <v>40</v>
      </c>
      <c r="F197" s="303">
        <v>34.9</v>
      </c>
      <c r="G197" s="303">
        <v>20.5</v>
      </c>
      <c r="H197" s="303">
        <v>18.8</v>
      </c>
      <c r="I197" s="404"/>
      <c r="J197" s="78"/>
    </row>
    <row r="198" spans="1:15" s="13" customFormat="1" ht="18.75" customHeight="1" x14ac:dyDescent="0.25">
      <c r="A198" s="403"/>
      <c r="C198" s="94"/>
      <c r="D198" s="94"/>
      <c r="E198" s="302">
        <v>45</v>
      </c>
      <c r="F198" s="303">
        <v>51.2</v>
      </c>
      <c r="G198" s="303">
        <v>35.1</v>
      </c>
      <c r="H198" s="303">
        <v>37.700000000000003</v>
      </c>
      <c r="I198" s="404"/>
      <c r="J198" s="78"/>
    </row>
    <row r="199" spans="1:15" s="13" customFormat="1" ht="18.75" customHeight="1" x14ac:dyDescent="0.25">
      <c r="A199" s="403"/>
      <c r="C199" s="94"/>
      <c r="D199" s="94"/>
      <c r="E199" s="302">
        <v>48</v>
      </c>
      <c r="F199" s="303">
        <v>66.8</v>
      </c>
      <c r="G199" s="303">
        <v>50.5</v>
      </c>
      <c r="H199" s="303">
        <v>60.4</v>
      </c>
      <c r="I199" s="404"/>
      <c r="J199" s="78"/>
    </row>
    <row r="200" spans="1:15" s="13" customFormat="1" ht="18.75" customHeight="1" x14ac:dyDescent="0.25">
      <c r="A200" s="403"/>
      <c r="C200" s="94"/>
      <c r="D200" s="94"/>
      <c r="E200" s="302">
        <v>50</v>
      </c>
      <c r="F200" s="303">
        <v>81.3</v>
      </c>
      <c r="G200" s="303">
        <v>65.599999999999994</v>
      </c>
      <c r="H200" s="303">
        <v>87.1</v>
      </c>
      <c r="I200" s="404"/>
      <c r="J200" s="78"/>
    </row>
    <row r="201" spans="1:15" s="13" customFormat="1" ht="18.75" customHeight="1" x14ac:dyDescent="0.25">
      <c r="A201" s="403"/>
      <c r="C201" s="94"/>
      <c r="D201" s="94"/>
      <c r="E201" s="94"/>
      <c r="F201" s="94"/>
      <c r="G201" s="36"/>
      <c r="H201" s="81"/>
      <c r="I201" s="404"/>
      <c r="J201" s="78"/>
    </row>
    <row r="202" spans="1:15" s="13" customFormat="1" ht="18.75" customHeight="1" x14ac:dyDescent="0.25">
      <c r="A202" s="403"/>
      <c r="C202" s="94"/>
      <c r="D202" s="94"/>
      <c r="E202" s="300" t="s">
        <v>514</v>
      </c>
      <c r="F202" s="300" t="s">
        <v>517</v>
      </c>
      <c r="G202" s="300" t="s">
        <v>518</v>
      </c>
      <c r="H202" s="300" t="s">
        <v>519</v>
      </c>
      <c r="I202" s="404"/>
      <c r="J202" s="78"/>
    </row>
    <row r="203" spans="1:15" s="13" customFormat="1" ht="18.75" customHeight="1" x14ac:dyDescent="0.25">
      <c r="A203" s="403"/>
      <c r="C203" s="94"/>
      <c r="D203" s="94"/>
      <c r="E203" s="306">
        <f>'Process (1)'!E38</f>
        <v>34</v>
      </c>
      <c r="F203" s="304">
        <f>'Process (1)'!F38</f>
        <v>23.7</v>
      </c>
      <c r="G203" s="304">
        <f>'Process (1)'!G38</f>
        <v>11.7</v>
      </c>
      <c r="H203" s="305">
        <f>'Process (1)'!H38</f>
        <v>9</v>
      </c>
      <c r="I203" s="404"/>
      <c r="J203" s="78"/>
    </row>
    <row r="204" spans="1:15" s="13" customFormat="1" ht="18.75" customHeight="1" x14ac:dyDescent="0.25">
      <c r="A204" s="403"/>
      <c r="C204" s="94"/>
      <c r="D204" s="94"/>
      <c r="E204" s="268"/>
      <c r="F204" s="268"/>
      <c r="G204" s="268"/>
      <c r="H204" s="101"/>
      <c r="I204" s="404"/>
      <c r="J204" s="78"/>
    </row>
    <row r="205" spans="1:15" s="13" customFormat="1" ht="18.75" customHeight="1" x14ac:dyDescent="0.25">
      <c r="A205" s="403"/>
      <c r="C205" s="94"/>
      <c r="D205" s="94"/>
      <c r="E205" s="268"/>
      <c r="F205" s="268"/>
      <c r="G205" s="268"/>
      <c r="H205" s="101"/>
      <c r="I205" s="404"/>
      <c r="J205" s="78"/>
    </row>
    <row r="206" spans="1:15" s="13" customFormat="1" ht="18.75" customHeight="1" x14ac:dyDescent="0.25">
      <c r="A206" s="403"/>
      <c r="B206" s="13" t="s">
        <v>523</v>
      </c>
      <c r="C206" s="94"/>
      <c r="D206" s="94"/>
      <c r="E206" s="94"/>
      <c r="F206" s="360" t="str">
        <f>IF(H178&lt;28,"Kegagalan geser lokal",IF(H178&lt;36,"Kegagalan geser lokal / umum",IF(H178&gt;=36,"Kegagalan geser umum","[ EROR ]")))</f>
        <v>Kegagalan geser lokal / umum</v>
      </c>
      <c r="G206" s="361"/>
      <c r="H206" s="362"/>
      <c r="I206" s="404"/>
      <c r="J206" s="78"/>
    </row>
    <row r="207" spans="1:15" s="13" customFormat="1" ht="18.75" customHeight="1" x14ac:dyDescent="0.25">
      <c r="A207" s="403"/>
      <c r="B207" s="13" t="s">
        <v>529</v>
      </c>
      <c r="C207" s="94"/>
      <c r="D207" s="94"/>
      <c r="E207" s="300" t="s">
        <v>514</v>
      </c>
      <c r="F207" s="300" t="s">
        <v>530</v>
      </c>
      <c r="G207" s="300" t="s">
        <v>531</v>
      </c>
      <c r="H207" s="300" t="s">
        <v>532</v>
      </c>
      <c r="I207" s="404"/>
      <c r="J207" s="78"/>
    </row>
    <row r="208" spans="1:15" s="13" customFormat="1" ht="18.75" customHeight="1" x14ac:dyDescent="0.25">
      <c r="A208" s="403"/>
      <c r="B208" s="307" t="s">
        <v>515</v>
      </c>
      <c r="C208" s="94"/>
      <c r="D208" s="94"/>
      <c r="E208" s="363">
        <f>'Process (1)'!E43</f>
        <v>34</v>
      </c>
      <c r="F208" s="304">
        <f>'Process (1)'!F43</f>
        <v>52.637449090803408</v>
      </c>
      <c r="G208" s="304">
        <f>'Process (1)'!G43</f>
        <v>36.504407716606536</v>
      </c>
      <c r="H208" s="304">
        <f>'Process (1)'!H43</f>
        <v>35.226292320396446</v>
      </c>
      <c r="I208" s="404"/>
      <c r="J208" s="78"/>
    </row>
    <row r="209" spans="1:10" s="13" customFormat="1" ht="18.75" customHeight="1" x14ac:dyDescent="0.25">
      <c r="A209" s="403"/>
      <c r="B209" s="307" t="s">
        <v>516</v>
      </c>
      <c r="C209" s="94"/>
      <c r="D209" s="94"/>
      <c r="E209" s="364">
        <f>'Process (1)'!E44</f>
        <v>0</v>
      </c>
      <c r="F209" s="304">
        <f>'Process (1)'!F44</f>
        <v>23.7</v>
      </c>
      <c r="G209" s="304">
        <f>'Process (1)'!G44</f>
        <v>11.7</v>
      </c>
      <c r="H209" s="304">
        <f>'Process (1)'!H44</f>
        <v>9</v>
      </c>
      <c r="I209" s="404"/>
      <c r="J209" s="78"/>
    </row>
    <row r="210" spans="1:10" s="13" customFormat="1" ht="18.75" customHeight="1" x14ac:dyDescent="0.25">
      <c r="A210" s="403"/>
      <c r="C210" s="94"/>
      <c r="D210" s="94"/>
      <c r="E210" s="94"/>
      <c r="F210" s="94"/>
      <c r="G210" s="308"/>
      <c r="H210" s="308"/>
      <c r="I210" s="404"/>
      <c r="J210" s="78"/>
    </row>
    <row r="211" spans="1:10" s="13" customFormat="1" ht="18.75" customHeight="1" x14ac:dyDescent="0.25">
      <c r="A211" s="403"/>
      <c r="B211" s="13" t="s">
        <v>28</v>
      </c>
      <c r="C211" s="94"/>
      <c r="D211" s="94"/>
      <c r="E211" s="94"/>
      <c r="F211" s="94"/>
      <c r="G211" s="36"/>
      <c r="H211" s="81"/>
      <c r="I211" s="404"/>
      <c r="J211" s="78"/>
    </row>
    <row r="212" spans="1:10" s="13" customFormat="1" ht="18.75" customHeight="1" x14ac:dyDescent="0.25">
      <c r="A212" s="403"/>
      <c r="B212" s="405" t="s">
        <v>534</v>
      </c>
      <c r="C212" s="405"/>
      <c r="D212" s="405"/>
      <c r="E212" s="405"/>
      <c r="F212" s="405"/>
      <c r="G212" s="405"/>
      <c r="H212" s="405"/>
      <c r="I212" s="405"/>
      <c r="J212" s="78"/>
    </row>
    <row r="213" spans="1:10" s="13" customFormat="1" ht="18.75" customHeight="1" x14ac:dyDescent="0.25">
      <c r="A213" s="403"/>
      <c r="C213" s="94"/>
      <c r="D213" s="94"/>
      <c r="E213" s="94"/>
      <c r="F213" s="94"/>
      <c r="G213" s="25" t="s">
        <v>535</v>
      </c>
      <c r="H213" s="79">
        <f>'Process (1)'!H48</f>
        <v>1190.6858740164628</v>
      </c>
      <c r="I213" s="404" t="s">
        <v>21</v>
      </c>
      <c r="J213" s="78"/>
    </row>
    <row r="214" spans="1:10" s="13" customFormat="1" ht="18.75" customHeight="1" x14ac:dyDescent="0.25">
      <c r="A214" s="403"/>
      <c r="C214" s="94"/>
      <c r="D214" s="94"/>
      <c r="E214" s="94"/>
      <c r="F214" s="94"/>
      <c r="G214" s="25" t="s">
        <v>536</v>
      </c>
      <c r="H214" s="79">
        <f>'Process (1)'!H49</f>
        <v>380.15999999999997</v>
      </c>
      <c r="I214" s="404" t="s">
        <v>21</v>
      </c>
      <c r="J214" s="78"/>
    </row>
    <row r="215" spans="1:10" s="13" customFormat="1" ht="18.75" customHeight="1" x14ac:dyDescent="0.25">
      <c r="A215" s="403"/>
      <c r="C215" s="94"/>
      <c r="D215" s="94"/>
      <c r="E215" s="94"/>
      <c r="F215" s="94"/>
      <c r="G215" s="25" t="s">
        <v>537</v>
      </c>
      <c r="H215" s="79">
        <f>'Process (1)'!H50</f>
        <v>988.0544055123471</v>
      </c>
      <c r="I215" s="404" t="s">
        <v>21</v>
      </c>
      <c r="J215" s="78"/>
    </row>
    <row r="216" spans="1:10" s="13" customFormat="1" ht="18.75" customHeight="1" x14ac:dyDescent="0.25">
      <c r="A216" s="403"/>
      <c r="B216" s="13" t="s">
        <v>29</v>
      </c>
      <c r="C216" s="94"/>
      <c r="D216" s="94"/>
      <c r="E216" s="94"/>
      <c r="F216" s="94"/>
      <c r="G216" s="98" t="s">
        <v>506</v>
      </c>
      <c r="H216" s="79">
        <f>'Process (1)'!H51</f>
        <v>362.95146850411572</v>
      </c>
      <c r="I216" s="404" t="s">
        <v>21</v>
      </c>
      <c r="J216" s="78"/>
    </row>
    <row r="217" spans="1:10" ht="18.75" customHeight="1" x14ac:dyDescent="0.25">
      <c r="A217" s="168"/>
      <c r="B217" s="94"/>
      <c r="C217" s="94"/>
      <c r="D217" s="94"/>
      <c r="E217" s="94"/>
      <c r="F217" s="94"/>
      <c r="G217" s="36"/>
      <c r="H217" s="99"/>
      <c r="I217" s="202"/>
    </row>
    <row r="218" spans="1:10" ht="18.75" customHeight="1" x14ac:dyDescent="0.25">
      <c r="A218" s="168" t="s">
        <v>267</v>
      </c>
      <c r="B218" s="32" t="s">
        <v>85</v>
      </c>
      <c r="C218" s="13"/>
      <c r="D218" s="13"/>
      <c r="E218" s="13"/>
      <c r="F218" s="13"/>
      <c r="G218" s="13"/>
      <c r="H218" s="13"/>
      <c r="I218" s="203"/>
    </row>
    <row r="219" spans="1:10" ht="18.75" customHeight="1" x14ac:dyDescent="0.25">
      <c r="A219" s="168"/>
      <c r="B219" s="98" t="s">
        <v>19</v>
      </c>
      <c r="C219" s="13" t="s">
        <v>30</v>
      </c>
      <c r="D219" s="13"/>
      <c r="E219" s="13"/>
      <c r="F219" s="13"/>
      <c r="G219" s="13"/>
      <c r="H219" s="13"/>
      <c r="I219" s="203"/>
    </row>
    <row r="220" spans="1:10" ht="18.75" customHeight="1" x14ac:dyDescent="0.25">
      <c r="A220" s="168"/>
      <c r="B220" s="98" t="s">
        <v>31</v>
      </c>
      <c r="C220" s="13" t="s">
        <v>24</v>
      </c>
      <c r="D220" s="13"/>
      <c r="E220" s="13"/>
      <c r="F220" s="13"/>
      <c r="G220" s="98" t="s">
        <v>23</v>
      </c>
      <c r="H220" s="79">
        <f>'Process (1)'!H55</f>
        <v>1.6</v>
      </c>
      <c r="I220" s="203" t="s">
        <v>9</v>
      </c>
    </row>
    <row r="221" spans="1:10" ht="18.75" customHeight="1" x14ac:dyDescent="0.25">
      <c r="A221" s="168"/>
      <c r="B221" s="98" t="s">
        <v>8</v>
      </c>
      <c r="C221" s="13" t="s">
        <v>22</v>
      </c>
      <c r="D221" s="13"/>
      <c r="E221" s="13"/>
      <c r="F221" s="13"/>
      <c r="G221" s="98" t="s">
        <v>8</v>
      </c>
      <c r="H221" s="79">
        <f>'Process (1)'!H56</f>
        <v>2</v>
      </c>
      <c r="I221" s="203" t="s">
        <v>9</v>
      </c>
    </row>
    <row r="222" spans="1:10" ht="18.75" customHeight="1" x14ac:dyDescent="0.25">
      <c r="A222" s="168"/>
      <c r="B222" s="98"/>
      <c r="C222" s="13"/>
      <c r="D222" s="13"/>
      <c r="E222" s="13"/>
      <c r="F222" s="13"/>
      <c r="G222" s="98" t="s">
        <v>45</v>
      </c>
      <c r="H222" s="80">
        <f>'Process (1)'!H57</f>
        <v>1.4125000000000001</v>
      </c>
      <c r="I222" s="203" t="str">
        <f>IF(H222&gt;1.33,"&gt; 1.33","&lt; 1.33")</f>
        <v>&gt; 1.33</v>
      </c>
    </row>
    <row r="223" spans="1:10" ht="18.75" customHeight="1" x14ac:dyDescent="0.25">
      <c r="A223" s="168"/>
      <c r="B223" s="98"/>
      <c r="C223" s="13"/>
      <c r="D223" s="13"/>
      <c r="E223" s="100" t="s">
        <v>3</v>
      </c>
      <c r="F223" s="13" t="s">
        <v>32</v>
      </c>
      <c r="G223" s="98" t="s">
        <v>33</v>
      </c>
      <c r="H223" s="80">
        <f>'Process (1)'!H58</f>
        <v>1.33</v>
      </c>
      <c r="I223" s="203"/>
    </row>
    <row r="224" spans="1:10" ht="18.75" customHeight="1" x14ac:dyDescent="0.25">
      <c r="A224" s="168"/>
      <c r="B224" s="13" t="s">
        <v>34</v>
      </c>
      <c r="C224" s="13"/>
      <c r="D224" s="13"/>
      <c r="E224" s="13"/>
      <c r="F224" s="13"/>
      <c r="G224" s="98" t="s">
        <v>19</v>
      </c>
      <c r="H224" s="79">
        <f>'Process (1)'!H59</f>
        <v>200</v>
      </c>
      <c r="I224" s="203" t="s">
        <v>20</v>
      </c>
    </row>
    <row r="225" spans="1:9" ht="18.75" customHeight="1" x14ac:dyDescent="0.25">
      <c r="A225" s="168"/>
      <c r="B225" s="13"/>
      <c r="C225" s="13"/>
      <c r="D225" s="13"/>
      <c r="E225" s="13"/>
      <c r="F225" s="13"/>
      <c r="G225" s="98" t="s">
        <v>46</v>
      </c>
      <c r="H225" s="80">
        <f>'Process (1)'!H60</f>
        <v>9.6617069128787882</v>
      </c>
      <c r="I225" s="203" t="s">
        <v>20</v>
      </c>
    </row>
    <row r="226" spans="1:9" ht="18.75" customHeight="1" x14ac:dyDescent="0.25">
      <c r="A226" s="168"/>
      <c r="B226" s="13" t="s">
        <v>35</v>
      </c>
      <c r="C226" s="13"/>
      <c r="D226" s="13"/>
      <c r="E226" s="13"/>
      <c r="F226" s="13"/>
      <c r="G226" s="98" t="s">
        <v>36</v>
      </c>
      <c r="H226" s="79">
        <f>'Process (1)'!H61</f>
        <v>966.17069128787887</v>
      </c>
      <c r="I226" s="203" t="s">
        <v>21</v>
      </c>
    </row>
    <row r="227" spans="1:9" ht="18.75" customHeight="1" x14ac:dyDescent="0.25">
      <c r="A227" s="168"/>
      <c r="B227" s="13"/>
      <c r="C227" s="13"/>
      <c r="D227" s="13"/>
      <c r="E227" s="13"/>
      <c r="F227" s="13"/>
      <c r="G227" s="13"/>
      <c r="H227" s="13"/>
      <c r="I227" s="203"/>
    </row>
    <row r="228" spans="1:9" ht="18.75" customHeight="1" x14ac:dyDescent="0.25">
      <c r="A228" s="168" t="s">
        <v>268</v>
      </c>
      <c r="B228" s="32" t="s">
        <v>86</v>
      </c>
      <c r="C228" s="13"/>
      <c r="D228" s="13"/>
      <c r="E228" s="13"/>
      <c r="F228" s="13"/>
      <c r="G228" s="13"/>
      <c r="H228" s="13"/>
      <c r="I228" s="203"/>
    </row>
    <row r="229" spans="1:9" ht="18.75" customHeight="1" x14ac:dyDescent="0.25">
      <c r="A229" s="168"/>
      <c r="B229" s="13" t="s">
        <v>37</v>
      </c>
      <c r="C229" s="13"/>
      <c r="D229" s="13"/>
      <c r="E229" s="13"/>
      <c r="F229" s="13"/>
      <c r="G229" s="98" t="s">
        <v>36</v>
      </c>
      <c r="H229" s="79">
        <f>'Process (1)'!H64</f>
        <v>362.95146850411572</v>
      </c>
      <c r="I229" s="203" t="s">
        <v>21</v>
      </c>
    </row>
    <row r="230" spans="1:9" ht="18.75" customHeight="1" x14ac:dyDescent="0.25">
      <c r="A230" s="168"/>
      <c r="B230" s="13" t="s">
        <v>38</v>
      </c>
      <c r="C230" s="13"/>
      <c r="D230" s="13"/>
      <c r="E230" s="13"/>
      <c r="F230" s="13"/>
      <c r="G230" s="98" t="s">
        <v>36</v>
      </c>
      <c r="H230" s="79">
        <f>'Process (1)'!H65</f>
        <v>966.17069128787887</v>
      </c>
      <c r="I230" s="203" t="s">
        <v>21</v>
      </c>
    </row>
    <row r="231" spans="1:9" ht="18.75" customHeight="1" x14ac:dyDescent="0.25">
      <c r="A231" s="168"/>
      <c r="B231" s="13" t="s">
        <v>39</v>
      </c>
      <c r="C231" s="13"/>
      <c r="D231" s="13"/>
      <c r="E231" s="13"/>
      <c r="F231" s="13"/>
      <c r="G231" s="98" t="s">
        <v>36</v>
      </c>
      <c r="H231" s="79">
        <f>'Process (1)'!H66</f>
        <v>362.95146850411572</v>
      </c>
      <c r="I231" s="203" t="s">
        <v>21</v>
      </c>
    </row>
    <row r="232" spans="1:9" ht="18.75" customHeight="1" x14ac:dyDescent="0.25">
      <c r="A232" s="168"/>
      <c r="B232" s="13"/>
      <c r="C232" s="13"/>
      <c r="D232" s="13"/>
      <c r="E232" s="13"/>
      <c r="F232" s="13"/>
      <c r="G232" s="98"/>
      <c r="H232" s="402"/>
      <c r="I232" s="203"/>
    </row>
    <row r="233" spans="1:9" ht="18.75" customHeight="1" x14ac:dyDescent="0.25">
      <c r="A233" s="168"/>
      <c r="B233" s="13"/>
      <c r="C233" s="13"/>
      <c r="D233" s="13"/>
      <c r="E233" s="13"/>
      <c r="F233" s="13"/>
      <c r="G233" s="98"/>
      <c r="H233" s="402"/>
      <c r="I233" s="203"/>
    </row>
    <row r="234" spans="1:9" ht="18.75" customHeight="1" x14ac:dyDescent="0.25">
      <c r="A234" s="168"/>
      <c r="B234" s="13"/>
      <c r="C234" s="13"/>
      <c r="D234" s="13"/>
      <c r="E234" s="13"/>
      <c r="F234" s="13"/>
      <c r="G234" s="98"/>
      <c r="H234" s="402"/>
      <c r="I234" s="203"/>
    </row>
    <row r="235" spans="1:9" ht="18.75" customHeight="1" x14ac:dyDescent="0.25">
      <c r="A235" s="168"/>
      <c r="B235" s="13"/>
      <c r="C235" s="13"/>
      <c r="D235" s="13"/>
      <c r="E235" s="13"/>
      <c r="F235" s="13"/>
      <c r="G235" s="98"/>
      <c r="H235" s="402"/>
      <c r="I235" s="203"/>
    </row>
    <row r="236" spans="1:9" ht="18.75" customHeight="1" x14ac:dyDescent="0.25">
      <c r="A236" s="168"/>
      <c r="B236" s="13"/>
      <c r="C236" s="13"/>
      <c r="D236" s="13"/>
      <c r="E236" s="13"/>
      <c r="F236" s="13"/>
      <c r="G236" s="98"/>
      <c r="H236" s="402"/>
      <c r="I236" s="203"/>
    </row>
    <row r="237" spans="1:9" ht="18.75" customHeight="1" x14ac:dyDescent="0.25">
      <c r="A237" s="168"/>
      <c r="B237" s="13"/>
      <c r="C237" s="13"/>
      <c r="D237" s="13"/>
      <c r="E237" s="13"/>
      <c r="F237" s="13"/>
      <c r="G237" s="98"/>
      <c r="H237" s="402"/>
      <c r="I237" s="203"/>
    </row>
    <row r="238" spans="1:9" ht="18.75" customHeight="1" x14ac:dyDescent="0.25">
      <c r="A238" s="196" t="s">
        <v>88</v>
      </c>
      <c r="B238" s="91" t="s">
        <v>90</v>
      </c>
      <c r="C238" s="92"/>
      <c r="D238" s="92"/>
      <c r="E238" s="92"/>
      <c r="F238" s="92"/>
      <c r="G238" s="92"/>
      <c r="H238" s="92"/>
      <c r="I238" s="201"/>
    </row>
    <row r="239" spans="1:9" ht="18.75" customHeight="1" x14ac:dyDescent="0.25">
      <c r="A239" s="168"/>
      <c r="B239" s="13" t="s">
        <v>104</v>
      </c>
      <c r="C239" s="13"/>
      <c r="D239" s="13"/>
      <c r="E239" s="13"/>
      <c r="F239" s="13"/>
      <c r="G239" s="98" t="s">
        <v>358</v>
      </c>
      <c r="H239" s="79">
        <f>'Process (1)'!H70</f>
        <v>2.5600000000000005</v>
      </c>
      <c r="I239" s="203" t="s">
        <v>40</v>
      </c>
    </row>
    <row r="240" spans="1:9" ht="18.75" customHeight="1" x14ac:dyDescent="0.25">
      <c r="A240" s="168"/>
      <c r="B240" s="13" t="s">
        <v>87</v>
      </c>
      <c r="C240" s="13"/>
      <c r="D240" s="13"/>
      <c r="E240" s="13"/>
      <c r="F240" s="13"/>
      <c r="G240" s="98" t="s">
        <v>359</v>
      </c>
      <c r="H240" s="79">
        <f>'Process (1)'!H71</f>
        <v>0.4</v>
      </c>
      <c r="I240" s="203" t="s">
        <v>9</v>
      </c>
    </row>
    <row r="241" spans="1:10" ht="18.75" customHeight="1" x14ac:dyDescent="0.25">
      <c r="A241" s="168"/>
      <c r="B241" s="13" t="s">
        <v>89</v>
      </c>
      <c r="C241" s="13"/>
      <c r="D241" s="13"/>
      <c r="E241" s="13"/>
      <c r="F241" s="13"/>
      <c r="G241" s="98" t="s">
        <v>360</v>
      </c>
      <c r="H241" s="79">
        <f>'Process (1)'!H72</f>
        <v>3.6160000000000014</v>
      </c>
      <c r="I241" s="203" t="s">
        <v>41</v>
      </c>
    </row>
    <row r="242" spans="1:10" ht="18.75" customHeight="1" x14ac:dyDescent="0.25">
      <c r="A242" s="168"/>
      <c r="B242" s="13" t="s">
        <v>91</v>
      </c>
      <c r="C242" s="13"/>
      <c r="D242" s="13"/>
      <c r="E242" s="13"/>
      <c r="F242" s="13"/>
      <c r="G242" s="98" t="s">
        <v>361</v>
      </c>
      <c r="H242" s="79">
        <f>'Process (1)'!H73</f>
        <v>24.576000000000008</v>
      </c>
      <c r="I242" s="203" t="s">
        <v>5</v>
      </c>
    </row>
    <row r="243" spans="1:10" ht="18.75" customHeight="1" x14ac:dyDescent="0.25">
      <c r="A243" s="168"/>
      <c r="B243" s="13" t="s">
        <v>92</v>
      </c>
      <c r="C243" s="13"/>
      <c r="D243" s="13"/>
      <c r="E243" s="13"/>
      <c r="F243" s="13"/>
      <c r="G243" s="98" t="s">
        <v>93</v>
      </c>
      <c r="H243" s="79">
        <f>'Process (1)'!H74</f>
        <v>62.195200000000021</v>
      </c>
      <c r="I243" s="203" t="s">
        <v>5</v>
      </c>
    </row>
    <row r="244" spans="1:10" ht="18.75" customHeight="1" x14ac:dyDescent="0.25">
      <c r="A244" s="168"/>
      <c r="B244" s="13" t="s">
        <v>143</v>
      </c>
      <c r="C244" s="13"/>
      <c r="D244" s="13"/>
      <c r="E244" s="13"/>
      <c r="F244" s="13"/>
      <c r="G244" s="98" t="s">
        <v>144</v>
      </c>
      <c r="H244" s="79">
        <f>'Process (1)'!H75</f>
        <v>86.771200000000022</v>
      </c>
      <c r="I244" s="203" t="s">
        <v>5</v>
      </c>
    </row>
    <row r="245" spans="1:10" ht="18.75" customHeight="1" x14ac:dyDescent="0.25">
      <c r="A245" s="168"/>
      <c r="B245" s="13"/>
      <c r="C245" s="13"/>
      <c r="D245" s="13"/>
      <c r="E245" s="13"/>
      <c r="F245" s="13"/>
      <c r="G245" s="98"/>
      <c r="H245" s="84"/>
      <c r="I245" s="203"/>
    </row>
    <row r="246" spans="1:10" s="13" customFormat="1" ht="18.75" customHeight="1" x14ac:dyDescent="0.25">
      <c r="A246" s="168"/>
      <c r="B246" s="13" t="s">
        <v>494</v>
      </c>
      <c r="G246" s="98"/>
      <c r="H246" s="83"/>
      <c r="I246" s="203"/>
      <c r="J246" s="78"/>
    </row>
    <row r="247" spans="1:10" s="13" customFormat="1" ht="18.75" customHeight="1" x14ac:dyDescent="0.25">
      <c r="A247" s="168"/>
      <c r="B247" s="2" t="s">
        <v>486</v>
      </c>
      <c r="C247" s="33"/>
      <c r="D247" s="33"/>
      <c r="E247" s="1"/>
      <c r="F247" s="33"/>
      <c r="G247" s="25" t="s">
        <v>485</v>
      </c>
      <c r="H247" s="197">
        <f>'Process (1)'!H78</f>
        <v>0</v>
      </c>
      <c r="I247" s="191" t="s">
        <v>9</v>
      </c>
      <c r="J247" s="78"/>
    </row>
    <row r="248" spans="1:10" s="13" customFormat="1" ht="18.75" customHeight="1" x14ac:dyDescent="0.25">
      <c r="A248" s="168"/>
      <c r="B248" s="2"/>
      <c r="C248" s="33"/>
      <c r="D248" s="33"/>
      <c r="E248" s="1"/>
      <c r="F248" s="33"/>
      <c r="G248" s="25" t="s">
        <v>484</v>
      </c>
      <c r="H248" s="197">
        <f>'Process (1)'!H79</f>
        <v>0</v>
      </c>
      <c r="I248" s="191" t="s">
        <v>9</v>
      </c>
      <c r="J248" s="78"/>
    </row>
    <row r="249" spans="1:10" s="13" customFormat="1" ht="18.75" customHeight="1" x14ac:dyDescent="0.25">
      <c r="A249" s="168"/>
      <c r="G249" s="98"/>
      <c r="H249" s="84"/>
      <c r="I249" s="203"/>
      <c r="J249" s="78"/>
    </row>
    <row r="250" spans="1:10" s="13" customFormat="1" ht="18.75" customHeight="1" x14ac:dyDescent="0.25">
      <c r="A250" s="296"/>
      <c r="B250" s="356" t="s">
        <v>48</v>
      </c>
      <c r="C250" s="357"/>
      <c r="D250" s="346" t="s">
        <v>49</v>
      </c>
      <c r="E250" s="346" t="s">
        <v>50</v>
      </c>
      <c r="F250" s="106" t="s">
        <v>261</v>
      </c>
      <c r="G250" s="106" t="s">
        <v>262</v>
      </c>
      <c r="H250" s="106" t="s">
        <v>263</v>
      </c>
    </row>
    <row r="251" spans="1:10" s="13" customFormat="1" ht="18.75" customHeight="1" x14ac:dyDescent="0.25">
      <c r="A251" s="296"/>
      <c r="B251" s="358"/>
      <c r="C251" s="359"/>
      <c r="D251" s="355"/>
      <c r="E251" s="355"/>
      <c r="F251" s="278" t="s">
        <v>5</v>
      </c>
      <c r="G251" s="278" t="s">
        <v>2</v>
      </c>
      <c r="H251" s="278" t="s">
        <v>2</v>
      </c>
    </row>
    <row r="252" spans="1:10" s="13" customFormat="1" ht="18.75" customHeight="1" x14ac:dyDescent="0.25">
      <c r="A252" s="296"/>
      <c r="B252" s="353" t="s">
        <v>488</v>
      </c>
      <c r="C252" s="353"/>
      <c r="D252" s="275" t="s">
        <v>51</v>
      </c>
      <c r="E252" s="219" t="s">
        <v>42</v>
      </c>
      <c r="F252" s="220">
        <f>'Process (1)'!F83</f>
        <v>724.12544000000003</v>
      </c>
      <c r="G252" s="260"/>
      <c r="H252" s="260"/>
    </row>
    <row r="253" spans="1:10" s="13" customFormat="1" ht="18.75" customHeight="1" x14ac:dyDescent="0.25">
      <c r="A253" s="296"/>
      <c r="B253" s="353" t="s">
        <v>489</v>
      </c>
      <c r="C253" s="353"/>
      <c r="D253" s="275" t="s">
        <v>51</v>
      </c>
      <c r="E253" s="219" t="s">
        <v>42</v>
      </c>
      <c r="F253" s="220">
        <f>'Process (1)'!F84</f>
        <v>306.77120000000002</v>
      </c>
      <c r="G253" s="220">
        <f>'Process (1)'!G84</f>
        <v>8</v>
      </c>
      <c r="H253" s="220">
        <f>'Process (1)'!H84</f>
        <v>14</v>
      </c>
    </row>
    <row r="254" spans="1:10" s="13" customFormat="1" ht="18.75" customHeight="1" x14ac:dyDescent="0.25">
      <c r="A254" s="296"/>
      <c r="B254" s="354" t="s">
        <v>490</v>
      </c>
      <c r="C254" s="354"/>
      <c r="D254" s="276" t="s">
        <v>51</v>
      </c>
      <c r="E254" s="223" t="s">
        <v>42</v>
      </c>
      <c r="F254" s="224">
        <f>'Process (1)'!F85</f>
        <v>256.77120000000002</v>
      </c>
      <c r="G254" s="224">
        <f>'Process (1)'!G85</f>
        <v>60</v>
      </c>
      <c r="H254" s="224">
        <f>'Process (1)'!H85</f>
        <v>90</v>
      </c>
    </row>
    <row r="255" spans="1:10" s="13" customFormat="1" ht="18.75" customHeight="1" x14ac:dyDescent="0.25">
      <c r="A255" s="296"/>
      <c r="B255" s="354" t="s">
        <v>491</v>
      </c>
      <c r="C255" s="354"/>
      <c r="D255" s="276" t="s">
        <v>51</v>
      </c>
      <c r="E255" s="223" t="s">
        <v>43</v>
      </c>
      <c r="F255" s="224">
        <f>'Process (1)'!F86</f>
        <v>176.77120000000002</v>
      </c>
      <c r="G255" s="224">
        <f>'Process (1)'!G86</f>
        <v>30</v>
      </c>
      <c r="H255" s="224">
        <f>'Process (1)'!H86</f>
        <v>95</v>
      </c>
    </row>
    <row r="256" spans="1:10" s="13" customFormat="1" ht="18.75" customHeight="1" x14ac:dyDescent="0.25">
      <c r="A256" s="296"/>
      <c r="B256" s="352" t="s">
        <v>492</v>
      </c>
      <c r="C256" s="352"/>
      <c r="D256" s="277" t="s">
        <v>51</v>
      </c>
      <c r="E256" s="215" t="s">
        <v>42</v>
      </c>
      <c r="F256" s="216">
        <f>'Process (1)'!F87</f>
        <v>246.77120000000002</v>
      </c>
      <c r="G256" s="216">
        <f>'Process (1)'!G87</f>
        <v>110</v>
      </c>
      <c r="H256" s="216">
        <f>'Process (1)'!H87</f>
        <v>40</v>
      </c>
    </row>
    <row r="257" spans="1:9" s="13" customFormat="1" ht="18.75" customHeight="1" x14ac:dyDescent="0.25">
      <c r="A257" s="296"/>
      <c r="B257" s="352" t="s">
        <v>493</v>
      </c>
      <c r="C257" s="352"/>
      <c r="D257" s="277" t="s">
        <v>51</v>
      </c>
      <c r="E257" s="215" t="s">
        <v>43</v>
      </c>
      <c r="F257" s="216">
        <f>'Process (1)'!F88</f>
        <v>186.77120000000002</v>
      </c>
      <c r="G257" s="216">
        <f>'Process (1)'!G88</f>
        <v>90</v>
      </c>
      <c r="H257" s="216">
        <f>'Process (1)'!H88</f>
        <v>30</v>
      </c>
    </row>
    <row r="258" spans="1:9" ht="18.75" customHeight="1" x14ac:dyDescent="0.25">
      <c r="A258" s="168"/>
      <c r="B258" s="13"/>
      <c r="C258" s="13"/>
      <c r="D258" s="13"/>
      <c r="E258" s="13"/>
      <c r="F258" s="13"/>
      <c r="G258" s="13"/>
      <c r="H258" s="13"/>
      <c r="I258" s="203"/>
    </row>
    <row r="259" spans="1:9" ht="18.75" customHeight="1" x14ac:dyDescent="0.25">
      <c r="A259" s="168"/>
      <c r="B259" s="13" t="s">
        <v>94</v>
      </c>
      <c r="C259" s="13"/>
      <c r="D259" s="13"/>
      <c r="E259" s="13"/>
      <c r="F259" s="13"/>
      <c r="G259" s="98" t="s">
        <v>362</v>
      </c>
      <c r="H259" s="85">
        <f>'Process (1)'!H90</f>
        <v>0.68266666666666675</v>
      </c>
      <c r="I259" s="203" t="s">
        <v>41</v>
      </c>
    </row>
    <row r="260" spans="1:9" ht="18.75" customHeight="1" x14ac:dyDescent="0.25">
      <c r="A260" s="168"/>
      <c r="B260" s="13" t="s">
        <v>95</v>
      </c>
      <c r="C260" s="13"/>
      <c r="D260" s="13"/>
      <c r="E260" s="13"/>
      <c r="F260" s="13"/>
      <c r="G260" s="98" t="s">
        <v>363</v>
      </c>
      <c r="H260" s="85">
        <f>'Process (1)'!H91</f>
        <v>0.68266666666666675</v>
      </c>
      <c r="I260" s="203" t="s">
        <v>41</v>
      </c>
    </row>
    <row r="261" spans="1:9" ht="18.75" customHeight="1" x14ac:dyDescent="0.25">
      <c r="A261" s="168"/>
      <c r="B261" s="13"/>
      <c r="C261" s="13"/>
      <c r="D261" s="13"/>
      <c r="E261" s="13"/>
      <c r="F261" s="13"/>
      <c r="G261" s="98"/>
      <c r="H261" s="225"/>
      <c r="I261" s="203"/>
    </row>
    <row r="262" spans="1:9" ht="18.75" customHeight="1" x14ac:dyDescent="0.25">
      <c r="A262" s="168"/>
      <c r="B262" s="13"/>
      <c r="C262" s="13"/>
      <c r="D262" s="13"/>
      <c r="E262" s="13"/>
      <c r="F262" s="13"/>
      <c r="G262" s="98"/>
      <c r="H262" s="225"/>
      <c r="I262" s="203"/>
    </row>
    <row r="263" spans="1:9" ht="18.75" customHeight="1" x14ac:dyDescent="0.25">
      <c r="A263" s="168"/>
      <c r="B263" s="13"/>
      <c r="C263" s="13"/>
      <c r="D263" s="13"/>
      <c r="E263" s="13"/>
      <c r="F263" s="13"/>
      <c r="G263" s="98"/>
      <c r="H263" s="225"/>
      <c r="I263" s="203"/>
    </row>
    <row r="264" spans="1:9" ht="18.75" customHeight="1" x14ac:dyDescent="0.25">
      <c r="A264" s="168"/>
      <c r="B264" s="13"/>
      <c r="C264" s="13"/>
      <c r="D264" s="13"/>
      <c r="E264" s="13"/>
      <c r="F264" s="13"/>
      <c r="G264" s="98"/>
      <c r="H264" s="225"/>
      <c r="I264" s="203"/>
    </row>
    <row r="265" spans="1:9" ht="18.75" customHeight="1" x14ac:dyDescent="0.25">
      <c r="A265" s="168"/>
      <c r="B265" s="13"/>
      <c r="C265" s="13"/>
      <c r="D265" s="13"/>
      <c r="E265" s="13"/>
      <c r="F265" s="13"/>
      <c r="G265" s="98"/>
      <c r="H265" s="225"/>
      <c r="I265" s="203"/>
    </row>
    <row r="266" spans="1:9" ht="18.75" customHeight="1" x14ac:dyDescent="0.25">
      <c r="A266" s="168"/>
      <c r="B266" s="13"/>
      <c r="C266" s="13"/>
      <c r="D266" s="13"/>
      <c r="E266" s="13"/>
      <c r="F266" s="13"/>
      <c r="G266" s="98"/>
      <c r="H266" s="225"/>
      <c r="I266" s="203"/>
    </row>
    <row r="267" spans="1:9" ht="18.75" customHeight="1" x14ac:dyDescent="0.25">
      <c r="A267" s="168"/>
      <c r="B267" s="13"/>
      <c r="C267" s="13"/>
      <c r="D267" s="13"/>
      <c r="E267" s="13"/>
      <c r="F267" s="13"/>
      <c r="G267" s="98"/>
      <c r="H267" s="225"/>
      <c r="I267" s="203"/>
    </row>
    <row r="268" spans="1:9" ht="18.75" customHeight="1" x14ac:dyDescent="0.25">
      <c r="A268" s="168"/>
      <c r="B268" s="13"/>
      <c r="C268" s="13"/>
      <c r="D268" s="13"/>
      <c r="E268" s="13"/>
      <c r="F268" s="13"/>
      <c r="G268" s="98"/>
      <c r="H268" s="225"/>
      <c r="I268" s="203"/>
    </row>
    <row r="269" spans="1:9" ht="18.75" customHeight="1" x14ac:dyDescent="0.25">
      <c r="A269" s="168"/>
      <c r="B269" s="13"/>
      <c r="C269" s="13"/>
      <c r="D269" s="13"/>
      <c r="E269" s="13"/>
      <c r="F269" s="13"/>
      <c r="G269" s="98"/>
      <c r="H269" s="225"/>
      <c r="I269" s="203"/>
    </row>
    <row r="270" spans="1:9" ht="18.75" customHeight="1" x14ac:dyDescent="0.25">
      <c r="A270" s="168"/>
      <c r="B270" s="13"/>
      <c r="C270" s="13"/>
      <c r="D270" s="13"/>
      <c r="E270" s="13"/>
      <c r="F270" s="13"/>
      <c r="G270" s="98"/>
      <c r="H270" s="225"/>
      <c r="I270" s="203"/>
    </row>
    <row r="271" spans="1:9" ht="18.75" customHeight="1" x14ac:dyDescent="0.25">
      <c r="A271" s="168"/>
      <c r="B271" s="13"/>
      <c r="C271" s="13"/>
      <c r="D271" s="13"/>
      <c r="E271" s="13"/>
      <c r="F271" s="13"/>
      <c r="G271" s="98"/>
      <c r="H271" s="225"/>
      <c r="I271" s="203"/>
    </row>
    <row r="272" spans="1:9" ht="18.75" customHeight="1" x14ac:dyDescent="0.25">
      <c r="A272" s="168"/>
      <c r="B272" s="13"/>
      <c r="C272" s="13"/>
      <c r="D272" s="13"/>
      <c r="E272" s="13"/>
      <c r="F272" s="13"/>
      <c r="G272" s="98"/>
      <c r="H272" s="225"/>
      <c r="I272" s="203"/>
    </row>
    <row r="273" spans="1:10" ht="18.75" customHeight="1" x14ac:dyDescent="0.25">
      <c r="A273" s="168"/>
      <c r="B273" s="13"/>
      <c r="C273" s="13"/>
      <c r="D273" s="13"/>
      <c r="E273" s="13"/>
      <c r="F273" s="13"/>
      <c r="G273" s="98"/>
      <c r="H273" s="225"/>
      <c r="I273" s="203"/>
    </row>
    <row r="274" spans="1:10" ht="18.75" customHeight="1" x14ac:dyDescent="0.25">
      <c r="A274" s="168"/>
      <c r="B274" s="13"/>
      <c r="C274" s="13"/>
      <c r="D274" s="13"/>
      <c r="E274" s="13"/>
      <c r="F274" s="13"/>
      <c r="G274" s="98"/>
      <c r="H274" s="225"/>
      <c r="I274" s="203"/>
    </row>
    <row r="275" spans="1:10" ht="18.75" customHeight="1" x14ac:dyDescent="0.25">
      <c r="A275" s="168"/>
      <c r="B275" s="13"/>
      <c r="C275" s="13"/>
      <c r="D275" s="13"/>
      <c r="E275" s="13"/>
      <c r="F275" s="13"/>
      <c r="G275" s="98"/>
      <c r="H275" s="225"/>
      <c r="I275" s="203"/>
    </row>
    <row r="276" spans="1:10" ht="18.75" customHeight="1" x14ac:dyDescent="0.25">
      <c r="A276" s="168"/>
      <c r="B276" s="13"/>
      <c r="C276" s="13"/>
      <c r="D276" s="13"/>
      <c r="E276" s="13"/>
      <c r="F276" s="13"/>
      <c r="G276" s="98"/>
      <c r="H276" s="225"/>
      <c r="I276" s="203"/>
    </row>
    <row r="277" spans="1:10" ht="18.75" customHeight="1" x14ac:dyDescent="0.25">
      <c r="A277" s="168"/>
      <c r="B277" s="13"/>
      <c r="C277" s="13"/>
      <c r="D277" s="13"/>
      <c r="E277" s="13"/>
      <c r="F277" s="13"/>
      <c r="G277" s="98"/>
      <c r="H277" s="225"/>
      <c r="I277" s="203"/>
    </row>
    <row r="278" spans="1:10" s="13" customFormat="1" ht="18.75" customHeight="1" x14ac:dyDescent="0.25">
      <c r="A278" s="168"/>
      <c r="F278" s="280" t="s">
        <v>500</v>
      </c>
      <c r="I278" s="203"/>
      <c r="J278" s="78"/>
    </row>
    <row r="279" spans="1:10" s="13" customFormat="1" ht="18.75" customHeight="1" x14ac:dyDescent="0.25">
      <c r="A279" s="168"/>
      <c r="F279" s="280" t="s">
        <v>503</v>
      </c>
      <c r="I279" s="203"/>
      <c r="J279" s="78"/>
    </row>
    <row r="280" spans="1:10" s="13" customFormat="1" ht="18.75" customHeight="1" x14ac:dyDescent="0.25">
      <c r="A280" s="296"/>
      <c r="B280" s="346" t="s">
        <v>48</v>
      </c>
      <c r="C280" s="346"/>
      <c r="D280" s="106" t="s">
        <v>502</v>
      </c>
      <c r="E280" s="106" t="s">
        <v>497</v>
      </c>
      <c r="F280" s="106" t="s">
        <v>501</v>
      </c>
      <c r="G280" s="348" t="s">
        <v>499</v>
      </c>
      <c r="H280" s="348"/>
      <c r="I280" s="203"/>
    </row>
    <row r="281" spans="1:10" s="13" customFormat="1" ht="18.75" customHeight="1" x14ac:dyDescent="0.25">
      <c r="A281" s="296"/>
      <c r="B281" s="346"/>
      <c r="C281" s="346"/>
      <c r="D281" s="281" t="s">
        <v>498</v>
      </c>
      <c r="E281" s="281" t="s">
        <v>498</v>
      </c>
      <c r="F281" s="281" t="s">
        <v>498</v>
      </c>
      <c r="G281" s="349"/>
      <c r="H281" s="349"/>
      <c r="I281" s="203"/>
    </row>
    <row r="282" spans="1:10" s="13" customFormat="1" ht="18.75" customHeight="1" x14ac:dyDescent="0.25">
      <c r="A282" s="296"/>
      <c r="B282" s="351" t="s">
        <v>489</v>
      </c>
      <c r="C282" s="351"/>
      <c r="D282" s="79">
        <f>'Process (1)'!D107</f>
        <v>87.605937499999982</v>
      </c>
      <c r="E282" s="4">
        <f>'Process (1)'!E107</f>
        <v>152.05906249999998</v>
      </c>
      <c r="F282" s="347">
        <f>'Process (1)'!F107</f>
        <v>362.95146850411572</v>
      </c>
      <c r="G282" s="369" t="str">
        <f>'Process (1)'!G107</f>
        <v>qmax &lt; qa → AMAN (OK)</v>
      </c>
      <c r="H282" s="369">
        <f>'Process (1)'!H107</f>
        <v>0</v>
      </c>
      <c r="I282" s="203"/>
    </row>
    <row r="283" spans="1:10" s="13" customFormat="1" ht="18.75" customHeight="1" x14ac:dyDescent="0.25">
      <c r="A283" s="296"/>
      <c r="B283" s="351" t="s">
        <v>490</v>
      </c>
      <c r="C283" s="351"/>
      <c r="D283" s="79">
        <f>'Process (1)'!D108</f>
        <v>0</v>
      </c>
      <c r="E283" s="4">
        <f>'Process (1)'!E108</f>
        <v>320.02781249999998</v>
      </c>
      <c r="F283" s="347">
        <f>'Process (1)'!F108</f>
        <v>0</v>
      </c>
      <c r="G283" s="369" t="str">
        <f>'Process (1)'!G108</f>
        <v>qmax &lt; qa → AMAN (OK)</v>
      </c>
      <c r="H283" s="369">
        <f>'Process (1)'!H108</f>
        <v>0</v>
      </c>
      <c r="I283" s="203"/>
    </row>
    <row r="284" spans="1:10" s="13" customFormat="1" ht="18.75" customHeight="1" x14ac:dyDescent="0.25">
      <c r="A284" s="296"/>
      <c r="B284" s="351" t="s">
        <v>491</v>
      </c>
      <c r="C284" s="351"/>
      <c r="D284" s="79">
        <f>'Process (1)'!D109</f>
        <v>0</v>
      </c>
      <c r="E284" s="4">
        <f>'Process (1)'!E109</f>
        <v>252.15671874999995</v>
      </c>
      <c r="F284" s="347">
        <f>'Process (1)'!F109</f>
        <v>0</v>
      </c>
      <c r="G284" s="369" t="str">
        <f>'Process (1)'!G109</f>
        <v>qmax &lt; qa → AMAN (OK)</v>
      </c>
      <c r="H284" s="369">
        <f>'Process (1)'!H109</f>
        <v>0</v>
      </c>
      <c r="I284" s="203"/>
    </row>
    <row r="285" spans="1:10" s="13" customFormat="1" ht="18.75" customHeight="1" x14ac:dyDescent="0.25">
      <c r="A285" s="296"/>
      <c r="B285" s="351" t="s">
        <v>492</v>
      </c>
      <c r="C285" s="351"/>
      <c r="D285" s="79">
        <f>'Process (1)'!D110</f>
        <v>0</v>
      </c>
      <c r="E285" s="4">
        <f>'Process (1)'!E110</f>
        <v>316.12156249999998</v>
      </c>
      <c r="F285" s="347">
        <f>'Process (1)'!F110</f>
        <v>0</v>
      </c>
      <c r="G285" s="369" t="str">
        <f>'Process (1)'!G110</f>
        <v>qmax &lt; qa → AMAN (OK)</v>
      </c>
      <c r="H285" s="369">
        <f>'Process (1)'!H110</f>
        <v>0</v>
      </c>
      <c r="I285" s="297"/>
    </row>
    <row r="286" spans="1:10" s="13" customFormat="1" ht="18.75" customHeight="1" x14ac:dyDescent="0.25">
      <c r="A286" s="296"/>
      <c r="B286" s="351" t="s">
        <v>493</v>
      </c>
      <c r="C286" s="351"/>
      <c r="D286" s="79">
        <f>'Process (1)'!D111</f>
        <v>0</v>
      </c>
      <c r="E286" s="4">
        <f>'Process (1)'!E111</f>
        <v>248.73874999999998</v>
      </c>
      <c r="F286" s="347">
        <f>'Process (1)'!F111</f>
        <v>0</v>
      </c>
      <c r="G286" s="369" t="str">
        <f>'Process (1)'!G111</f>
        <v>qmax &lt; qa → AMAN (OK)</v>
      </c>
      <c r="H286" s="369">
        <f>'Process (1)'!H111</f>
        <v>0</v>
      </c>
      <c r="I286" s="297"/>
    </row>
    <row r="287" spans="1:10" ht="18.75" customHeight="1" x14ac:dyDescent="0.25">
      <c r="I287" s="3"/>
    </row>
    <row r="288" spans="1:10" ht="18.75" customHeight="1" x14ac:dyDescent="0.25">
      <c r="A288" s="415" t="s">
        <v>282</v>
      </c>
      <c r="B288" s="412" t="s">
        <v>280</v>
      </c>
      <c r="C288" s="413"/>
      <c r="D288" s="413"/>
      <c r="E288" s="413"/>
      <c r="F288" s="413"/>
      <c r="G288" s="413"/>
      <c r="H288" s="413"/>
      <c r="I288" s="414"/>
    </row>
    <row r="289" spans="1:18" ht="18.75" customHeight="1" x14ac:dyDescent="0.25">
      <c r="A289" s="208" t="s">
        <v>284</v>
      </c>
      <c r="B289" s="63" t="s">
        <v>140</v>
      </c>
      <c r="C289" s="113"/>
      <c r="D289" s="113"/>
      <c r="E289" s="113"/>
      <c r="F289" s="113"/>
      <c r="G289" s="113"/>
      <c r="H289" s="113"/>
      <c r="I289" s="192"/>
    </row>
    <row r="290" spans="1:18" ht="18.75" customHeight="1" x14ac:dyDescent="0.25">
      <c r="A290" s="155"/>
      <c r="B290" s="2" t="s">
        <v>66</v>
      </c>
      <c r="C290" s="2"/>
      <c r="D290" s="2"/>
      <c r="E290" s="2"/>
      <c r="F290" s="2"/>
      <c r="G290" s="25" t="s">
        <v>289</v>
      </c>
      <c r="H290" s="15">
        <f>'Process (2)'!H4</f>
        <v>30</v>
      </c>
      <c r="I290" s="191" t="s">
        <v>67</v>
      </c>
    </row>
    <row r="291" spans="1:18" ht="18.75" customHeight="1" x14ac:dyDescent="0.25">
      <c r="A291" s="155"/>
      <c r="B291" s="1" t="s">
        <v>68</v>
      </c>
      <c r="C291" s="2"/>
      <c r="D291" s="2"/>
      <c r="E291" s="2"/>
      <c r="F291" s="2"/>
      <c r="G291" s="25" t="s">
        <v>165</v>
      </c>
      <c r="H291" s="15">
        <f>'Process (2)'!H5</f>
        <v>400</v>
      </c>
      <c r="I291" s="191" t="s">
        <v>67</v>
      </c>
    </row>
    <row r="292" spans="1:18" ht="18.75" customHeight="1" x14ac:dyDescent="0.25">
      <c r="A292" s="155"/>
      <c r="B292" s="2" t="s">
        <v>58</v>
      </c>
      <c r="G292" s="25" t="s">
        <v>353</v>
      </c>
      <c r="H292" s="15">
        <f>'Process (2)'!H6</f>
        <v>0.5</v>
      </c>
      <c r="I292" s="191" t="s">
        <v>9</v>
      </c>
    </row>
    <row r="293" spans="1:18" ht="18.75" customHeight="1" x14ac:dyDescent="0.25">
      <c r="A293" s="155"/>
      <c r="B293" s="2" t="s">
        <v>59</v>
      </c>
      <c r="G293" s="25" t="s">
        <v>80</v>
      </c>
      <c r="H293" s="15">
        <f>'Process (2)'!H7</f>
        <v>0.6</v>
      </c>
      <c r="I293" s="191" t="s">
        <v>9</v>
      </c>
    </row>
    <row r="294" spans="1:18" ht="18.75" customHeight="1" x14ac:dyDescent="0.25">
      <c r="A294" s="155"/>
      <c r="B294" s="2" t="s">
        <v>56</v>
      </c>
      <c r="G294" s="25" t="s">
        <v>354</v>
      </c>
      <c r="H294" s="15">
        <f>'Process (2)'!H8</f>
        <v>1.6</v>
      </c>
      <c r="I294" s="191" t="s">
        <v>9</v>
      </c>
    </row>
    <row r="295" spans="1:18" ht="18.75" customHeight="1" x14ac:dyDescent="0.25">
      <c r="A295" s="155"/>
      <c r="B295" s="2" t="s">
        <v>57</v>
      </c>
      <c r="G295" s="25" t="s">
        <v>355</v>
      </c>
      <c r="H295" s="15">
        <f>'Process (2)'!H9</f>
        <v>1.6</v>
      </c>
      <c r="I295" s="191" t="s">
        <v>9</v>
      </c>
    </row>
    <row r="296" spans="1:18" ht="18.75" customHeight="1" x14ac:dyDescent="0.25">
      <c r="A296" s="155"/>
      <c r="B296" s="2" t="s">
        <v>63</v>
      </c>
      <c r="G296" s="25" t="s">
        <v>273</v>
      </c>
      <c r="H296" s="15">
        <f>'Process (2)'!H10</f>
        <v>0.4</v>
      </c>
      <c r="I296" s="191" t="s">
        <v>9</v>
      </c>
    </row>
    <row r="297" spans="1:18" ht="18.75" customHeight="1" x14ac:dyDescent="0.25">
      <c r="A297" s="155"/>
      <c r="B297" s="9" t="s">
        <v>73</v>
      </c>
      <c r="G297" s="44" t="s">
        <v>1</v>
      </c>
      <c r="H297" s="26">
        <f>'Process (2)'!H11</f>
        <v>16</v>
      </c>
      <c r="I297" s="193" t="s">
        <v>0</v>
      </c>
    </row>
    <row r="298" spans="1:18" ht="18.75" customHeight="1" x14ac:dyDescent="0.25">
      <c r="A298" s="155"/>
      <c r="B298" s="9" t="s">
        <v>74</v>
      </c>
      <c r="G298" s="44" t="s">
        <v>1</v>
      </c>
      <c r="H298" s="26">
        <f>'Process (2)'!H12</f>
        <v>13</v>
      </c>
      <c r="I298" s="193" t="s">
        <v>0</v>
      </c>
    </row>
    <row r="299" spans="1:18" ht="18.75" customHeight="1" x14ac:dyDescent="0.25">
      <c r="A299" s="155"/>
      <c r="B299" s="9"/>
      <c r="G299" s="44"/>
      <c r="H299" s="27"/>
      <c r="I299" s="193"/>
    </row>
    <row r="300" spans="1:18" ht="18.75" customHeight="1" x14ac:dyDescent="0.25">
      <c r="A300" s="155"/>
      <c r="B300" s="9" t="s">
        <v>151</v>
      </c>
      <c r="G300" s="98" t="s">
        <v>152</v>
      </c>
      <c r="H300" s="28">
        <f>'Process (2)'!H14</f>
        <v>306.77120000000002</v>
      </c>
      <c r="I300" s="203" t="s">
        <v>5</v>
      </c>
    </row>
    <row r="301" spans="1:18" ht="18.75" customHeight="1" x14ac:dyDescent="0.25">
      <c r="A301" s="155"/>
      <c r="B301" s="97" t="s">
        <v>141</v>
      </c>
      <c r="G301" s="98" t="s">
        <v>138</v>
      </c>
      <c r="H301" s="28">
        <f>'Process (2)'!H15</f>
        <v>152.05906249999998</v>
      </c>
      <c r="I301" s="203" t="s">
        <v>21</v>
      </c>
    </row>
    <row r="302" spans="1:18" ht="18.75" customHeight="1" x14ac:dyDescent="0.25">
      <c r="A302" s="155"/>
      <c r="B302" s="97" t="s">
        <v>142</v>
      </c>
      <c r="G302" s="98" t="s">
        <v>139</v>
      </c>
      <c r="H302" s="28">
        <f>'Process (2)'!H16</f>
        <v>87.605937499999982</v>
      </c>
      <c r="I302" s="203" t="s">
        <v>21</v>
      </c>
    </row>
    <row r="303" spans="1:18" ht="18.75" customHeight="1" x14ac:dyDescent="0.25">
      <c r="A303" s="155"/>
      <c r="I303" s="3"/>
    </row>
    <row r="304" spans="1:18" s="11" customFormat="1" ht="19.149999999999999" customHeight="1" x14ac:dyDescent="0.25">
      <c r="A304" s="208" t="s">
        <v>285</v>
      </c>
      <c r="B304" s="56" t="s">
        <v>371</v>
      </c>
      <c r="C304" s="57"/>
      <c r="D304" s="57"/>
      <c r="E304" s="57"/>
      <c r="F304" s="57"/>
      <c r="G304" s="57"/>
      <c r="H304" s="57"/>
      <c r="I304" s="57"/>
      <c r="N304" s="8"/>
      <c r="O304" s="8"/>
      <c r="P304" s="8"/>
      <c r="Q304" s="8"/>
      <c r="R304" s="8"/>
    </row>
    <row r="305" spans="1:18" s="11" customFormat="1" ht="19.149999999999999" customHeight="1" x14ac:dyDescent="0.25">
      <c r="A305" s="155"/>
      <c r="B305" s="173"/>
      <c r="N305" s="8"/>
      <c r="O305" s="8"/>
      <c r="P305" s="8"/>
      <c r="Q305" s="8"/>
      <c r="R305" s="8"/>
    </row>
    <row r="306" spans="1:18" s="11" customFormat="1" ht="19.149999999999999" customHeight="1" x14ac:dyDescent="0.25">
      <c r="A306" s="155"/>
      <c r="B306" s="173"/>
      <c r="N306" s="8"/>
      <c r="O306" s="8"/>
      <c r="P306" s="8"/>
      <c r="Q306" s="8"/>
      <c r="R306" s="8"/>
    </row>
    <row r="307" spans="1:18" s="11" customFormat="1" ht="19.149999999999999" customHeight="1" x14ac:dyDescent="0.25">
      <c r="A307" s="155"/>
      <c r="B307" s="173"/>
      <c r="N307" s="8"/>
      <c r="O307" s="8"/>
      <c r="P307" s="8"/>
      <c r="Q307" s="8"/>
      <c r="R307" s="8"/>
    </row>
    <row r="308" spans="1:18" s="11" customFormat="1" ht="19.149999999999999" customHeight="1" x14ac:dyDescent="0.25">
      <c r="A308" s="155"/>
      <c r="B308" s="173"/>
      <c r="N308" s="8"/>
      <c r="O308" s="8"/>
      <c r="P308" s="8"/>
      <c r="Q308" s="8"/>
      <c r="R308" s="8"/>
    </row>
    <row r="309" spans="1:18" s="11" customFormat="1" ht="19.149999999999999" customHeight="1" x14ac:dyDescent="0.25">
      <c r="A309" s="155"/>
      <c r="B309" s="173"/>
      <c r="N309" s="8"/>
      <c r="O309" s="8"/>
      <c r="P309" s="8"/>
      <c r="Q309" s="8"/>
      <c r="R309" s="8"/>
    </row>
    <row r="310" spans="1:18" s="11" customFormat="1" ht="19.149999999999999" customHeight="1" x14ac:dyDescent="0.25">
      <c r="A310" s="155"/>
      <c r="B310" s="173"/>
      <c r="N310" s="8"/>
      <c r="O310" s="8"/>
      <c r="P310" s="8"/>
      <c r="Q310" s="8"/>
      <c r="R310" s="8"/>
    </row>
    <row r="311" spans="1:18" s="11" customFormat="1" ht="19.149999999999999" customHeight="1" x14ac:dyDescent="0.25">
      <c r="A311" s="155"/>
      <c r="B311" s="173"/>
      <c r="N311" s="8"/>
      <c r="O311" s="8"/>
      <c r="P311" s="8"/>
      <c r="Q311" s="8"/>
      <c r="R311" s="8"/>
    </row>
    <row r="312" spans="1:18" s="11" customFormat="1" ht="19.149999999999999" customHeight="1" x14ac:dyDescent="0.25">
      <c r="A312" s="155"/>
      <c r="B312" s="173"/>
      <c r="N312" s="8"/>
      <c r="O312" s="8"/>
      <c r="P312" s="8"/>
      <c r="Q312" s="8"/>
      <c r="R312" s="8"/>
    </row>
    <row r="313" spans="1:18" s="11" customFormat="1" ht="19.149999999999999" customHeight="1" x14ac:dyDescent="0.25">
      <c r="A313" s="155"/>
      <c r="B313" s="173"/>
      <c r="N313" s="8"/>
      <c r="O313" s="8"/>
      <c r="P313" s="8"/>
      <c r="Q313" s="8"/>
      <c r="R313" s="8"/>
    </row>
    <row r="314" spans="1:18" s="11" customFormat="1" ht="19.149999999999999" customHeight="1" x14ac:dyDescent="0.25">
      <c r="A314" s="155"/>
      <c r="B314" s="173"/>
      <c r="N314" s="8"/>
      <c r="O314" s="8"/>
      <c r="P314" s="8"/>
      <c r="Q314" s="8"/>
      <c r="R314" s="8"/>
    </row>
    <row r="315" spans="1:18" s="11" customFormat="1" ht="19.149999999999999" customHeight="1" x14ac:dyDescent="0.25">
      <c r="A315" s="155"/>
      <c r="B315" s="173"/>
      <c r="N315" s="8"/>
      <c r="O315" s="8"/>
      <c r="P315" s="8"/>
      <c r="Q315" s="8"/>
      <c r="R315" s="8"/>
    </row>
    <row r="316" spans="1:18" s="11" customFormat="1" ht="19.149999999999999" customHeight="1" x14ac:dyDescent="0.25">
      <c r="A316" s="155"/>
      <c r="B316" s="173"/>
      <c r="N316" s="8"/>
      <c r="O316" s="8"/>
      <c r="P316" s="8"/>
      <c r="Q316" s="8"/>
      <c r="R316" s="8"/>
    </row>
    <row r="318" spans="1:18" ht="18.75" customHeight="1" x14ac:dyDescent="0.25">
      <c r="A318" s="155"/>
      <c r="B318" s="2" t="s">
        <v>110</v>
      </c>
      <c r="C318" s="2"/>
      <c r="D318" s="2"/>
      <c r="E318" s="2"/>
      <c r="G318" s="25" t="s">
        <v>292</v>
      </c>
      <c r="H318" s="180">
        <f>'Process (2)'!H31</f>
        <v>124</v>
      </c>
      <c r="I318" s="191" t="s">
        <v>0</v>
      </c>
    </row>
    <row r="319" spans="1:18" ht="18.75" customHeight="1" x14ac:dyDescent="0.25">
      <c r="A319" s="155"/>
      <c r="B319" s="2" t="s">
        <v>301</v>
      </c>
      <c r="C319" s="2"/>
      <c r="D319" s="2"/>
      <c r="E319" s="2"/>
      <c r="G319" s="25" t="s">
        <v>415</v>
      </c>
      <c r="H319" s="180">
        <f>'Process (2)'!H32</f>
        <v>276</v>
      </c>
      <c r="I319" s="191" t="s">
        <v>0</v>
      </c>
    </row>
    <row r="320" spans="1:18" ht="18.75" customHeight="1" x14ac:dyDescent="0.25">
      <c r="A320" s="155"/>
      <c r="B320" s="2" t="s">
        <v>372</v>
      </c>
      <c r="C320" s="2"/>
      <c r="D320" s="2"/>
      <c r="E320" s="2"/>
      <c r="G320" s="25" t="str">
        <f>'Process (2)'!G33</f>
        <v>cx = ( Lx - b - d ) / 2 =</v>
      </c>
      <c r="H320" s="180">
        <f>'Process (2)'!H33</f>
        <v>412</v>
      </c>
      <c r="I320" s="191" t="s">
        <v>0</v>
      </c>
    </row>
    <row r="321" spans="1:18" ht="18.75" customHeight="1" x14ac:dyDescent="0.25">
      <c r="A321" s="155"/>
      <c r="B321" s="2" t="s">
        <v>373</v>
      </c>
      <c r="C321" s="2"/>
      <c r="D321" s="2"/>
      <c r="E321" s="2"/>
      <c r="G321" s="228" t="s">
        <v>416</v>
      </c>
      <c r="H321" s="180">
        <f>'Process (2)'!H34</f>
        <v>6.3283200000000006</v>
      </c>
      <c r="I321" s="191" t="s">
        <v>114</v>
      </c>
    </row>
    <row r="322" spans="1:18" ht="18.75" customHeight="1" x14ac:dyDescent="0.25">
      <c r="A322" s="155"/>
      <c r="B322" s="2" t="s">
        <v>374</v>
      </c>
      <c r="C322" s="2"/>
      <c r="D322" s="2"/>
      <c r="E322" s="2"/>
      <c r="G322" s="228" t="s">
        <v>375</v>
      </c>
      <c r="H322" s="248">
        <f>'Process (2)'!H35</f>
        <v>18.141184000000003</v>
      </c>
      <c r="I322" s="191" t="s">
        <v>114</v>
      </c>
    </row>
    <row r="323" spans="1:18" ht="18.75" customHeight="1" x14ac:dyDescent="0.25">
      <c r="A323" s="155"/>
      <c r="B323" s="2" t="s">
        <v>406</v>
      </c>
      <c r="C323" s="2"/>
      <c r="D323" s="2"/>
      <c r="E323" s="2"/>
      <c r="G323" s="25" t="s">
        <v>368</v>
      </c>
      <c r="H323" s="180">
        <f>'Process (2)'!H36</f>
        <v>135.46238281249998</v>
      </c>
      <c r="I323" s="191" t="s">
        <v>21</v>
      </c>
    </row>
    <row r="324" spans="1:18" ht="18.75" customHeight="1" x14ac:dyDescent="0.25">
      <c r="A324" s="155"/>
      <c r="B324" s="2" t="s">
        <v>407</v>
      </c>
      <c r="C324" s="2"/>
      <c r="D324" s="2"/>
      <c r="E324" s="2"/>
      <c r="G324" s="25" t="s">
        <v>408</v>
      </c>
      <c r="H324" s="249">
        <f>'Process (2)'!H37</f>
        <v>89.296802749999983</v>
      </c>
      <c r="I324" s="191" t="s">
        <v>114</v>
      </c>
    </row>
    <row r="325" spans="1:18" ht="18.75" customHeight="1" x14ac:dyDescent="0.25">
      <c r="A325" s="155"/>
      <c r="B325" s="2" t="s">
        <v>409</v>
      </c>
      <c r="C325" s="2"/>
      <c r="D325" s="2"/>
      <c r="E325" s="2"/>
      <c r="G325" s="25" t="s">
        <v>410</v>
      </c>
      <c r="H325" s="180">
        <f>'Process (2)'!H38</f>
        <v>5.4702656249999997</v>
      </c>
      <c r="I325" s="191" t="s">
        <v>114</v>
      </c>
    </row>
    <row r="326" spans="1:18" s="11" customFormat="1" ht="19.149999999999999" customHeight="1" x14ac:dyDescent="0.25">
      <c r="A326" s="254"/>
      <c r="B326" s="2" t="s">
        <v>113</v>
      </c>
      <c r="C326" s="2"/>
      <c r="D326" s="2"/>
      <c r="E326" s="2"/>
      <c r="F326" s="1"/>
      <c r="G326" s="25" t="s">
        <v>411</v>
      </c>
      <c r="H326" s="180">
        <f>'Process (2)'!H39</f>
        <v>70.297564374999979</v>
      </c>
      <c r="I326" s="191" t="s">
        <v>114</v>
      </c>
      <c r="N326" s="8"/>
      <c r="O326" s="8"/>
      <c r="P326" s="8"/>
      <c r="Q326" s="8"/>
      <c r="R326" s="8"/>
    </row>
    <row r="327" spans="1:18" s="11" customFormat="1" ht="19.149999999999999" customHeight="1" x14ac:dyDescent="0.25">
      <c r="A327" s="254"/>
      <c r="N327" s="8"/>
      <c r="O327" s="8"/>
      <c r="P327" s="8"/>
      <c r="Q327" s="8"/>
      <c r="R327" s="8"/>
    </row>
    <row r="328" spans="1:18" s="11" customFormat="1" ht="19.149999999999999" customHeight="1" x14ac:dyDescent="0.25">
      <c r="A328" s="208" t="s">
        <v>287</v>
      </c>
      <c r="B328" s="56" t="s">
        <v>377</v>
      </c>
      <c r="C328" s="57"/>
      <c r="D328" s="57"/>
      <c r="E328" s="57"/>
      <c r="F328" s="57"/>
      <c r="G328" s="57"/>
      <c r="H328" s="57"/>
      <c r="I328" s="57"/>
      <c r="N328" s="8"/>
      <c r="O328" s="8"/>
      <c r="P328" s="8"/>
      <c r="Q328" s="8"/>
      <c r="R328" s="8"/>
    </row>
    <row r="329" spans="1:18" s="11" customFormat="1" ht="19.149999999999999" customHeight="1" x14ac:dyDescent="0.25">
      <c r="A329" s="155"/>
      <c r="N329" s="8"/>
      <c r="O329" s="8"/>
      <c r="P329" s="8"/>
      <c r="Q329" s="8"/>
      <c r="R329" s="8"/>
    </row>
    <row r="330" spans="1:18" s="11" customFormat="1" ht="19.149999999999999" customHeight="1" x14ac:dyDescent="0.25">
      <c r="A330" s="155"/>
      <c r="N330" s="8"/>
      <c r="O330" s="8"/>
      <c r="P330" s="8"/>
      <c r="Q330" s="8"/>
      <c r="R330" s="8"/>
    </row>
    <row r="331" spans="1:18" s="11" customFormat="1" ht="19.149999999999999" customHeight="1" x14ac:dyDescent="0.25">
      <c r="A331" s="155"/>
      <c r="N331" s="8"/>
      <c r="O331" s="8"/>
      <c r="P331" s="8"/>
      <c r="Q331" s="8"/>
      <c r="R331" s="8"/>
    </row>
    <row r="332" spans="1:18" s="11" customFormat="1" ht="19.149999999999999" customHeight="1" x14ac:dyDescent="0.25">
      <c r="A332" s="155"/>
      <c r="N332" s="8"/>
      <c r="O332" s="8"/>
      <c r="P332" s="8"/>
      <c r="Q332" s="8"/>
      <c r="R332" s="8"/>
    </row>
    <row r="333" spans="1:18" s="11" customFormat="1" ht="19.149999999999999" customHeight="1" x14ac:dyDescent="0.25">
      <c r="A333" s="155"/>
      <c r="N333" s="8"/>
      <c r="O333" s="8"/>
      <c r="P333" s="8"/>
      <c r="Q333" s="8"/>
      <c r="R333" s="8"/>
    </row>
    <row r="334" spans="1:18" s="11" customFormat="1" ht="19.149999999999999" customHeight="1" x14ac:dyDescent="0.25">
      <c r="A334" s="155"/>
      <c r="N334" s="8"/>
      <c r="O334" s="8"/>
      <c r="P334" s="8"/>
      <c r="Q334" s="8"/>
      <c r="R334" s="8"/>
    </row>
    <row r="335" spans="1:18" s="11" customFormat="1" ht="19.149999999999999" customHeight="1" x14ac:dyDescent="0.25">
      <c r="A335" s="155"/>
      <c r="N335" s="8"/>
      <c r="O335" s="8"/>
      <c r="P335" s="8"/>
      <c r="Q335" s="8"/>
      <c r="R335" s="8"/>
    </row>
    <row r="336" spans="1:18" s="11" customFormat="1" ht="19.149999999999999" customHeight="1" x14ac:dyDescent="0.25">
      <c r="A336" s="155"/>
      <c r="N336" s="8"/>
      <c r="O336" s="8"/>
      <c r="P336" s="8"/>
      <c r="Q336" s="8"/>
      <c r="R336" s="8"/>
    </row>
    <row r="337" spans="1:18" s="11" customFormat="1" ht="19.149999999999999" customHeight="1" x14ac:dyDescent="0.25">
      <c r="A337" s="155"/>
      <c r="N337" s="8"/>
      <c r="O337" s="8"/>
      <c r="P337" s="8"/>
      <c r="Q337" s="8"/>
      <c r="R337" s="8"/>
    </row>
    <row r="338" spans="1:18" s="11" customFormat="1" ht="19.149999999999999" customHeight="1" x14ac:dyDescent="0.25">
      <c r="A338" s="155"/>
      <c r="N338" s="8"/>
      <c r="O338" s="8"/>
      <c r="P338" s="8"/>
      <c r="Q338" s="8"/>
      <c r="R338" s="8"/>
    </row>
    <row r="339" spans="1:18" s="11" customFormat="1" ht="19.149999999999999" customHeight="1" x14ac:dyDescent="0.25">
      <c r="A339" s="155"/>
      <c r="N339" s="8"/>
      <c r="O339" s="8"/>
      <c r="P339" s="8"/>
      <c r="Q339" s="8"/>
      <c r="R339" s="8"/>
    </row>
    <row r="340" spans="1:18" s="11" customFormat="1" ht="19.149999999999999" customHeight="1" x14ac:dyDescent="0.25">
      <c r="A340" s="155"/>
      <c r="N340" s="8"/>
      <c r="O340" s="8"/>
      <c r="P340" s="8"/>
      <c r="Q340" s="8"/>
      <c r="R340" s="8"/>
    </row>
    <row r="341" spans="1:18" s="11" customFormat="1" ht="19.149999999999999" customHeight="1" x14ac:dyDescent="0.25">
      <c r="A341" s="155"/>
      <c r="B341" s="11" t="s">
        <v>378</v>
      </c>
      <c r="N341" s="8"/>
      <c r="O341" s="8"/>
      <c r="P341" s="8"/>
      <c r="Q341" s="8"/>
      <c r="R341" s="8"/>
    </row>
    <row r="342" spans="1:18" s="11" customFormat="1" ht="19.149999999999999" customHeight="1" x14ac:dyDescent="0.25">
      <c r="A342" s="155"/>
      <c r="B342" s="41" t="s">
        <v>412</v>
      </c>
      <c r="C342" s="230">
        <f>'Process (2)'!C55</f>
        <v>0.5</v>
      </c>
      <c r="D342" s="232" t="s">
        <v>9</v>
      </c>
      <c r="E342" s="41" t="s">
        <v>413</v>
      </c>
      <c r="F342" s="233">
        <f>'Process (2)'!F55</f>
        <v>0.27500000000000002</v>
      </c>
      <c r="G342" s="232" t="s">
        <v>9</v>
      </c>
      <c r="H342" s="231"/>
      <c r="I342" s="255"/>
      <c r="N342" s="8"/>
      <c r="O342" s="8"/>
      <c r="P342" s="8"/>
      <c r="Q342" s="8"/>
      <c r="R342" s="8"/>
    </row>
    <row r="343" spans="1:18" s="11" customFormat="1" ht="19.149999999999999" customHeight="1" x14ac:dyDescent="0.25">
      <c r="A343" s="155"/>
      <c r="B343" s="231" t="s">
        <v>379</v>
      </c>
      <c r="C343" s="235">
        <f>'Process (2)'!C56</f>
        <v>0.55000000000000004</v>
      </c>
      <c r="D343" s="232" t="s">
        <v>9</v>
      </c>
      <c r="E343" s="41" t="s">
        <v>414</v>
      </c>
      <c r="F343" s="233">
        <f>'Process (2)'!F56</f>
        <v>0.3666666666666667</v>
      </c>
      <c r="G343" s="232" t="s">
        <v>9</v>
      </c>
      <c r="N343" s="8"/>
      <c r="O343" s="8"/>
      <c r="P343" s="8"/>
      <c r="Q343" s="8"/>
      <c r="R343" s="8"/>
    </row>
    <row r="344" spans="1:18" s="11" customFormat="1" ht="19.149999999999999" customHeight="1" x14ac:dyDescent="0.25">
      <c r="A344" s="155"/>
      <c r="B344" s="231"/>
      <c r="C344" s="236"/>
      <c r="D344" s="232"/>
      <c r="E344" s="231" t="s">
        <v>380</v>
      </c>
      <c r="F344" s="233">
        <f>'Process (2)'!F57</f>
        <v>0.27500000000000002</v>
      </c>
      <c r="G344" s="232" t="s">
        <v>9</v>
      </c>
      <c r="N344" s="8"/>
      <c r="O344" s="8"/>
      <c r="P344" s="8"/>
      <c r="Q344" s="8"/>
      <c r="R344" s="8"/>
    </row>
    <row r="345" spans="1:18" s="11" customFormat="1" ht="19.149999999999999" customHeight="1" x14ac:dyDescent="0.25">
      <c r="A345" s="155"/>
      <c r="B345" s="231" t="s">
        <v>314</v>
      </c>
      <c r="C345" s="235">
        <f>'Process (2)'!C58</f>
        <v>1.6</v>
      </c>
      <c r="D345" s="232" t="s">
        <v>9</v>
      </c>
      <c r="E345" s="231" t="s">
        <v>381</v>
      </c>
      <c r="F345" s="233">
        <f>'Process (2)'!F58</f>
        <v>0.27500000000000002</v>
      </c>
      <c r="G345" s="232" t="s">
        <v>9</v>
      </c>
      <c r="N345" s="8"/>
      <c r="O345" s="8"/>
      <c r="P345" s="8"/>
      <c r="Q345" s="8"/>
      <c r="R345" s="8"/>
    </row>
    <row r="346" spans="1:18" s="11" customFormat="1" ht="19.149999999999999" customHeight="1" x14ac:dyDescent="0.25">
      <c r="A346" s="155"/>
      <c r="B346" s="231" t="s">
        <v>383</v>
      </c>
      <c r="C346" s="230">
        <f>'Process (2)'!C59</f>
        <v>0.4</v>
      </c>
      <c r="D346" s="232" t="s">
        <v>9</v>
      </c>
      <c r="E346" s="237"/>
      <c r="F346" s="250"/>
      <c r="K346" s="8"/>
      <c r="L346" s="8"/>
      <c r="M346" s="8"/>
      <c r="N346" s="8"/>
      <c r="O346" s="8"/>
    </row>
    <row r="347" spans="1:18" s="11" customFormat="1" ht="19.149999999999999" customHeight="1" x14ac:dyDescent="0.25">
      <c r="A347" s="155"/>
      <c r="N347" s="8"/>
      <c r="O347" s="8"/>
      <c r="P347" s="8"/>
      <c r="Q347" s="8"/>
      <c r="R347" s="8"/>
    </row>
    <row r="348" spans="1:18" s="11" customFormat="1" ht="19.149999999999999" customHeight="1" x14ac:dyDescent="0.25">
      <c r="A348" s="155"/>
      <c r="B348" s="390" t="s">
        <v>384</v>
      </c>
      <c r="C348" s="251" t="s">
        <v>385</v>
      </c>
      <c r="D348" s="252"/>
      <c r="E348" s="253"/>
      <c r="F348" s="393" t="s">
        <v>395</v>
      </c>
      <c r="G348" s="390" t="s">
        <v>386</v>
      </c>
      <c r="H348" s="390" t="s">
        <v>387</v>
      </c>
      <c r="M348" s="8"/>
      <c r="N348" s="8"/>
      <c r="O348" s="8"/>
    </row>
    <row r="349" spans="1:18" s="11" customFormat="1" ht="19.149999999999999" customHeight="1" x14ac:dyDescent="0.25">
      <c r="A349" s="155"/>
      <c r="B349" s="391"/>
      <c r="C349" s="238" t="s">
        <v>388</v>
      </c>
      <c r="D349" s="238" t="s">
        <v>389</v>
      </c>
      <c r="E349" s="238" t="s">
        <v>390</v>
      </c>
      <c r="F349" s="394"/>
      <c r="G349" s="392"/>
      <c r="H349" s="392"/>
      <c r="M349" s="8"/>
      <c r="N349" s="8"/>
      <c r="O349" s="8"/>
    </row>
    <row r="350" spans="1:18" s="11" customFormat="1" ht="19.149999999999999" customHeight="1" x14ac:dyDescent="0.25">
      <c r="A350" s="155"/>
      <c r="B350" s="392"/>
      <c r="C350" s="238" t="s">
        <v>391</v>
      </c>
      <c r="D350" s="238" t="s">
        <v>391</v>
      </c>
      <c r="E350" s="238" t="s">
        <v>391</v>
      </c>
      <c r="F350" s="238"/>
      <c r="G350" s="238" t="s">
        <v>376</v>
      </c>
      <c r="H350" s="238" t="s">
        <v>392</v>
      </c>
      <c r="M350" s="8"/>
      <c r="N350" s="8"/>
      <c r="O350" s="8"/>
    </row>
    <row r="351" spans="1:18" s="11" customFormat="1" ht="19.149999999999999" customHeight="1" x14ac:dyDescent="0.25">
      <c r="A351" s="155"/>
      <c r="B351" s="258" t="s">
        <v>393</v>
      </c>
      <c r="C351" s="235">
        <f>'Process (2)'!C64</f>
        <v>0.55000000000000004</v>
      </c>
      <c r="D351" s="235">
        <f>'Process (2)'!D64</f>
        <v>0.4</v>
      </c>
      <c r="E351" s="235">
        <f>'Process (2)'!E64</f>
        <v>1.6</v>
      </c>
      <c r="F351" s="235">
        <f>'Process (2)'!F64</f>
        <v>1.2</v>
      </c>
      <c r="G351" s="239">
        <f>'Process (2)'!G64</f>
        <v>10.137600000000003</v>
      </c>
      <c r="H351" s="240">
        <f>'Process (2)'!H64</f>
        <v>2.787840000000001</v>
      </c>
      <c r="M351" s="8"/>
      <c r="N351" s="8"/>
      <c r="O351" s="8"/>
    </row>
    <row r="352" spans="1:18" s="11" customFormat="1" ht="19.149999999999999" customHeight="1" x14ac:dyDescent="0.25">
      <c r="A352" s="155"/>
      <c r="B352" s="258" t="s">
        <v>394</v>
      </c>
      <c r="C352" s="235">
        <f>'Process (2)'!C65</f>
        <v>0.55000000000000004</v>
      </c>
      <c r="D352" s="235">
        <f>'Process (2)'!D65</f>
        <v>1.6</v>
      </c>
      <c r="E352" s="235">
        <f>'Process (2)'!E65</f>
        <v>1.6</v>
      </c>
      <c r="F352" s="235">
        <f>'Process (2)'!F65</f>
        <v>2</v>
      </c>
      <c r="G352" s="239">
        <f>'Process (2)'!G65</f>
        <v>48.435200000000009</v>
      </c>
      <c r="H352" s="240">
        <f>'Process (2)'!H65</f>
        <v>13.319680000000004</v>
      </c>
      <c r="M352" s="8"/>
      <c r="N352" s="8"/>
      <c r="O352" s="8"/>
    </row>
    <row r="353" spans="1:18" s="11" customFormat="1" ht="19.149999999999999" customHeight="1" x14ac:dyDescent="0.25">
      <c r="A353" s="155"/>
      <c r="B353" s="86" t="s">
        <v>417</v>
      </c>
      <c r="C353" s="235">
        <f>'Process (2)'!C66</f>
        <v>0.55000000000000004</v>
      </c>
      <c r="D353" s="235">
        <f>'Process (2)'!D66</f>
        <v>135.46238281249998</v>
      </c>
      <c r="E353" s="235">
        <f>'Process (2)'!E66</f>
        <v>1.6</v>
      </c>
      <c r="F353" s="235">
        <f>'Process (2)'!F66</f>
        <v>2</v>
      </c>
      <c r="G353" s="239">
        <f>'Process (2)'!G66</f>
        <v>238.41379374999997</v>
      </c>
      <c r="H353" s="240">
        <f>'Process (2)'!H66</f>
        <v>65.56379328125</v>
      </c>
      <c r="M353" s="8"/>
      <c r="N353" s="8"/>
      <c r="O353" s="8"/>
    </row>
    <row r="354" spans="1:18" s="11" customFormat="1" ht="19.149999999999999" customHeight="1" x14ac:dyDescent="0.25">
      <c r="A354" s="155"/>
      <c r="B354" s="86" t="s">
        <v>418</v>
      </c>
      <c r="C354" s="235">
        <f>'Process (2)'!C67</f>
        <v>0.55000000000000004</v>
      </c>
      <c r="D354" s="235">
        <f>'Process (2)'!D67</f>
        <v>16.5966796875</v>
      </c>
      <c r="E354" s="235">
        <f>'Process (2)'!E67</f>
        <v>1.6</v>
      </c>
      <c r="F354" s="235">
        <f>'Process (2)'!F67</f>
        <v>2</v>
      </c>
      <c r="G354" s="239">
        <f>'Process (2)'!G67</f>
        <v>14.605078125</v>
      </c>
      <c r="H354" s="240">
        <f>'Process (2)'!H67</f>
        <v>5.3551953125000002</v>
      </c>
      <c r="M354" s="8"/>
      <c r="N354" s="8"/>
      <c r="O354" s="8"/>
    </row>
    <row r="355" spans="1:18" s="11" customFormat="1" ht="19.149999999999999" customHeight="1" x14ac:dyDescent="0.25">
      <c r="B355" s="250"/>
      <c r="F355" s="241" t="s">
        <v>420</v>
      </c>
      <c r="G355" s="242">
        <f>'Process (2)'!G68</f>
        <v>311.59167187499997</v>
      </c>
      <c r="H355" s="243"/>
      <c r="M355" s="8"/>
      <c r="N355" s="8"/>
      <c r="O355" s="8"/>
    </row>
    <row r="356" spans="1:18" s="11" customFormat="1" ht="19.149999999999999" customHeight="1" x14ac:dyDescent="0.25">
      <c r="A356" s="155"/>
      <c r="G356" s="244" t="s">
        <v>419</v>
      </c>
      <c r="H356" s="245">
        <f>'Process (2)'!H69</f>
        <v>54.811468593749993</v>
      </c>
      <c r="I356" s="256"/>
      <c r="M356" s="8"/>
      <c r="N356" s="8"/>
      <c r="O356" s="8"/>
      <c r="P356" s="8"/>
    </row>
    <row r="357" spans="1:18" s="11" customFormat="1" ht="19.149999999999999" customHeight="1" x14ac:dyDescent="0.25">
      <c r="A357" s="208" t="s">
        <v>432</v>
      </c>
      <c r="B357" s="56" t="s">
        <v>396</v>
      </c>
      <c r="C357" s="57"/>
      <c r="D357" s="57"/>
      <c r="E357" s="57"/>
      <c r="F357" s="57"/>
      <c r="G357" s="57"/>
      <c r="H357" s="57"/>
      <c r="I357" s="57"/>
      <c r="N357" s="8"/>
      <c r="O357" s="8"/>
      <c r="P357" s="8"/>
      <c r="Q357" s="8"/>
      <c r="R357" s="8"/>
    </row>
    <row r="358" spans="1:18" s="11" customFormat="1" ht="19.149999999999999" customHeight="1" x14ac:dyDescent="0.25">
      <c r="A358" s="155"/>
      <c r="B358" s="173"/>
      <c r="N358" s="8"/>
      <c r="O358" s="8"/>
      <c r="P358" s="8"/>
      <c r="Q358" s="8"/>
      <c r="R358" s="8"/>
    </row>
    <row r="359" spans="1:18" s="11" customFormat="1" ht="19.149999999999999" customHeight="1" x14ac:dyDescent="0.25">
      <c r="A359" s="155"/>
      <c r="B359" s="173"/>
      <c r="N359" s="8"/>
      <c r="O359" s="8"/>
      <c r="P359" s="8"/>
      <c r="Q359" s="8"/>
      <c r="R359" s="8"/>
    </row>
    <row r="360" spans="1:18" s="11" customFormat="1" ht="19.149999999999999" customHeight="1" x14ac:dyDescent="0.25">
      <c r="A360" s="155"/>
      <c r="B360" s="173"/>
      <c r="N360" s="8"/>
      <c r="O360" s="8"/>
      <c r="P360" s="8"/>
      <c r="Q360" s="8"/>
      <c r="R360" s="8"/>
    </row>
    <row r="361" spans="1:18" s="11" customFormat="1" ht="19.149999999999999" customHeight="1" x14ac:dyDescent="0.25">
      <c r="A361" s="155"/>
      <c r="B361" s="173"/>
      <c r="N361" s="8"/>
      <c r="O361" s="8"/>
      <c r="P361" s="8"/>
      <c r="Q361" s="8"/>
      <c r="R361" s="8"/>
    </row>
    <row r="362" spans="1:18" s="11" customFormat="1" ht="19.149999999999999" customHeight="1" x14ac:dyDescent="0.25">
      <c r="A362" s="155"/>
      <c r="B362" s="173"/>
      <c r="N362" s="8"/>
      <c r="O362" s="8"/>
      <c r="P362" s="8"/>
      <c r="Q362" s="8"/>
      <c r="R362" s="8"/>
    </row>
    <row r="363" spans="1:18" s="11" customFormat="1" ht="19.149999999999999" customHeight="1" x14ac:dyDescent="0.25">
      <c r="A363" s="155"/>
      <c r="B363" s="173"/>
      <c r="N363" s="8"/>
      <c r="O363" s="8"/>
      <c r="P363" s="8"/>
      <c r="Q363" s="8"/>
      <c r="R363" s="8"/>
    </row>
    <row r="364" spans="1:18" s="11" customFormat="1" ht="19.149999999999999" customHeight="1" x14ac:dyDescent="0.25">
      <c r="A364" s="155"/>
      <c r="B364" s="173"/>
      <c r="N364" s="8"/>
      <c r="O364" s="8"/>
      <c r="P364" s="8"/>
      <c r="Q364" s="8"/>
      <c r="R364" s="8"/>
    </row>
    <row r="365" spans="1:18" s="11" customFormat="1" ht="19.149999999999999" customHeight="1" x14ac:dyDescent="0.25">
      <c r="A365" s="155"/>
      <c r="B365" s="173"/>
      <c r="N365" s="8"/>
      <c r="O365" s="8"/>
      <c r="P365" s="8"/>
      <c r="Q365" s="8"/>
      <c r="R365" s="8"/>
    </row>
    <row r="366" spans="1:18" s="11" customFormat="1" ht="19.149999999999999" customHeight="1" x14ac:dyDescent="0.25">
      <c r="A366" s="155"/>
      <c r="B366" s="173"/>
      <c r="N366" s="8"/>
      <c r="O366" s="8"/>
      <c r="P366" s="8"/>
      <c r="Q366" s="8"/>
      <c r="R366" s="8"/>
    </row>
    <row r="367" spans="1:18" s="11" customFormat="1" ht="19.149999999999999" customHeight="1" x14ac:dyDescent="0.25">
      <c r="A367" s="155"/>
      <c r="B367" s="173"/>
      <c r="N367" s="8"/>
      <c r="O367" s="8"/>
      <c r="P367" s="8"/>
      <c r="Q367" s="8"/>
      <c r="R367" s="8"/>
    </row>
    <row r="368" spans="1:18" s="11" customFormat="1" ht="19.149999999999999" customHeight="1" x14ac:dyDescent="0.25">
      <c r="A368" s="155"/>
      <c r="B368" s="173"/>
      <c r="N368" s="8"/>
      <c r="O368" s="8"/>
      <c r="P368" s="8"/>
      <c r="Q368" s="8"/>
      <c r="R368" s="8"/>
    </row>
    <row r="369" spans="1:18" s="11" customFormat="1" ht="19.149999999999999" customHeight="1" x14ac:dyDescent="0.25">
      <c r="A369" s="155"/>
      <c r="B369" s="173"/>
      <c r="N369" s="8"/>
      <c r="O369" s="8"/>
      <c r="P369" s="8"/>
      <c r="Q369" s="8"/>
      <c r="R369" s="8"/>
    </row>
    <row r="370" spans="1:18" ht="18.75" customHeight="1" x14ac:dyDescent="0.25">
      <c r="A370" s="155"/>
      <c r="B370" s="2" t="s">
        <v>110</v>
      </c>
      <c r="C370" s="2"/>
      <c r="D370" s="2"/>
      <c r="E370" s="2"/>
      <c r="G370" s="25" t="s">
        <v>292</v>
      </c>
      <c r="H370" s="180">
        <f>'Process (2)'!H84</f>
        <v>124</v>
      </c>
      <c r="I370" s="191" t="s">
        <v>0</v>
      </c>
    </row>
    <row r="371" spans="1:18" ht="18.75" customHeight="1" x14ac:dyDescent="0.25">
      <c r="A371" s="155"/>
      <c r="B371" s="2" t="s">
        <v>301</v>
      </c>
      <c r="C371" s="2"/>
      <c r="D371" s="2"/>
      <c r="E371" s="2"/>
      <c r="G371" s="25" t="s">
        <v>415</v>
      </c>
      <c r="H371" s="180">
        <f>'Process (2)'!H85</f>
        <v>276</v>
      </c>
      <c r="I371" s="191" t="s">
        <v>0</v>
      </c>
    </row>
    <row r="372" spans="1:18" ht="18.75" customHeight="1" x14ac:dyDescent="0.25">
      <c r="A372" s="155"/>
      <c r="B372" s="2" t="s">
        <v>372</v>
      </c>
      <c r="C372" s="2"/>
      <c r="D372" s="2"/>
      <c r="E372" s="2"/>
      <c r="G372" s="25" t="str">
        <f>'Process (2)'!G86</f>
        <v>cy = ( Ly - wc - d ) / 2 =</v>
      </c>
      <c r="H372" s="180">
        <f>'Process (2)'!H86</f>
        <v>362</v>
      </c>
      <c r="I372" s="191" t="s">
        <v>0</v>
      </c>
    </row>
    <row r="373" spans="1:18" ht="18.75" customHeight="1" x14ac:dyDescent="0.25">
      <c r="A373" s="155"/>
      <c r="B373" s="2" t="s">
        <v>373</v>
      </c>
      <c r="C373" s="2"/>
      <c r="D373" s="2"/>
      <c r="E373" s="2"/>
      <c r="G373" s="228" t="s">
        <v>422</v>
      </c>
      <c r="H373" s="180">
        <f>'Process (2)'!H87</f>
        <v>5.5603200000000008</v>
      </c>
      <c r="I373" s="191" t="s">
        <v>114</v>
      </c>
    </row>
    <row r="374" spans="1:18" ht="18.75" customHeight="1" x14ac:dyDescent="0.25">
      <c r="A374" s="155"/>
      <c r="B374" s="2" t="s">
        <v>374</v>
      </c>
      <c r="C374" s="2"/>
      <c r="D374" s="2"/>
      <c r="E374" s="2"/>
      <c r="G374" s="228" t="s">
        <v>397</v>
      </c>
      <c r="H374" s="248">
        <f>'Process (2)'!H88</f>
        <v>15.939584000000002</v>
      </c>
      <c r="I374" s="191" t="s">
        <v>114</v>
      </c>
    </row>
    <row r="375" spans="1:18" ht="18.75" customHeight="1" x14ac:dyDescent="0.25">
      <c r="A375" s="155"/>
      <c r="B375" s="2" t="s">
        <v>406</v>
      </c>
      <c r="C375" s="2"/>
      <c r="D375" s="2"/>
      <c r="E375" s="2"/>
      <c r="G375" s="25" t="s">
        <v>369</v>
      </c>
      <c r="H375" s="180">
        <f>'Process (2)'!H89</f>
        <v>137.47654296874998</v>
      </c>
      <c r="I375" s="191" t="s">
        <v>21</v>
      </c>
    </row>
    <row r="376" spans="1:18" ht="18.75" customHeight="1" x14ac:dyDescent="0.25">
      <c r="A376" s="155"/>
      <c r="B376" s="2" t="s">
        <v>407</v>
      </c>
      <c r="C376" s="2"/>
      <c r="D376" s="2"/>
      <c r="E376" s="2"/>
      <c r="G376" s="25" t="s">
        <v>423</v>
      </c>
      <c r="H376" s="249">
        <f>'Process (2)'!H90</f>
        <v>79.626413687499991</v>
      </c>
      <c r="I376" s="191" t="s">
        <v>114</v>
      </c>
    </row>
    <row r="377" spans="1:18" ht="18.75" customHeight="1" x14ac:dyDescent="0.25">
      <c r="A377" s="155"/>
      <c r="B377" s="2" t="s">
        <v>409</v>
      </c>
      <c r="C377" s="2"/>
      <c r="D377" s="2"/>
      <c r="E377" s="2"/>
      <c r="G377" s="25" t="s">
        <v>424</v>
      </c>
      <c r="H377" s="180">
        <f>'Process (2)'!H91</f>
        <v>4.2230976562500002</v>
      </c>
      <c r="I377" s="191" t="s">
        <v>114</v>
      </c>
    </row>
    <row r="378" spans="1:18" s="11" customFormat="1" ht="19.149999999999999" customHeight="1" x14ac:dyDescent="0.25">
      <c r="A378" s="254"/>
      <c r="B378" s="2" t="s">
        <v>113</v>
      </c>
      <c r="C378" s="2"/>
      <c r="D378" s="2"/>
      <c r="E378" s="2"/>
      <c r="F378" s="1"/>
      <c r="G378" s="25" t="s">
        <v>411</v>
      </c>
      <c r="H378" s="180">
        <f>'Process (2)'!H92</f>
        <v>62.349607343749987</v>
      </c>
      <c r="I378" s="191" t="s">
        <v>114</v>
      </c>
      <c r="N378" s="8"/>
      <c r="O378" s="8"/>
      <c r="P378" s="8"/>
      <c r="Q378" s="8"/>
      <c r="R378" s="8"/>
    </row>
    <row r="379" spans="1:18" s="11" customFormat="1" ht="19.149999999999999" customHeight="1" x14ac:dyDescent="0.25">
      <c r="A379" s="254"/>
      <c r="N379" s="8"/>
      <c r="O379" s="8"/>
      <c r="P379" s="8"/>
      <c r="Q379" s="8"/>
      <c r="R379" s="8"/>
    </row>
    <row r="380" spans="1:18" s="11" customFormat="1" ht="19.149999999999999" customHeight="1" x14ac:dyDescent="0.25">
      <c r="A380" s="208" t="s">
        <v>433</v>
      </c>
      <c r="B380" s="56" t="s">
        <v>398</v>
      </c>
      <c r="C380" s="57"/>
      <c r="D380" s="57"/>
      <c r="E380" s="57"/>
      <c r="F380" s="57"/>
      <c r="G380" s="57"/>
      <c r="H380" s="57"/>
      <c r="I380" s="57"/>
      <c r="N380" s="8"/>
      <c r="O380" s="8"/>
      <c r="P380" s="8"/>
      <c r="Q380" s="8"/>
      <c r="R380" s="8"/>
    </row>
    <row r="381" spans="1:18" s="11" customFormat="1" ht="19.149999999999999" customHeight="1" x14ac:dyDescent="0.25">
      <c r="A381" s="155"/>
      <c r="N381" s="8"/>
      <c r="O381" s="8"/>
      <c r="P381" s="8"/>
      <c r="Q381" s="8"/>
      <c r="R381" s="8"/>
    </row>
    <row r="382" spans="1:18" s="11" customFormat="1" ht="19.149999999999999" customHeight="1" x14ac:dyDescent="0.25">
      <c r="A382" s="155"/>
      <c r="N382" s="8"/>
      <c r="O382" s="8"/>
      <c r="P382" s="8"/>
      <c r="Q382" s="8"/>
      <c r="R382" s="8"/>
    </row>
    <row r="383" spans="1:18" s="11" customFormat="1" ht="19.149999999999999" customHeight="1" x14ac:dyDescent="0.25">
      <c r="A383" s="155"/>
      <c r="N383" s="8"/>
      <c r="O383" s="8"/>
      <c r="P383" s="8"/>
      <c r="Q383" s="8"/>
      <c r="R383" s="8"/>
    </row>
    <row r="384" spans="1:18" s="11" customFormat="1" ht="19.149999999999999" customHeight="1" x14ac:dyDescent="0.25">
      <c r="A384" s="155"/>
      <c r="N384" s="8"/>
      <c r="O384" s="8"/>
      <c r="P384" s="8"/>
      <c r="Q384" s="8"/>
      <c r="R384" s="8"/>
    </row>
    <row r="385" spans="1:18" s="11" customFormat="1" ht="19.149999999999999" customHeight="1" x14ac:dyDescent="0.25">
      <c r="A385" s="155"/>
      <c r="N385" s="8"/>
      <c r="O385" s="8"/>
      <c r="P385" s="8"/>
      <c r="Q385" s="8"/>
      <c r="R385" s="8"/>
    </row>
    <row r="386" spans="1:18" s="11" customFormat="1" ht="19.149999999999999" customHeight="1" x14ac:dyDescent="0.25">
      <c r="A386" s="155"/>
      <c r="N386" s="8"/>
      <c r="O386" s="8"/>
      <c r="P386" s="8"/>
      <c r="Q386" s="8"/>
      <c r="R386" s="8"/>
    </row>
    <row r="387" spans="1:18" s="11" customFormat="1" ht="19.149999999999999" customHeight="1" x14ac:dyDescent="0.25">
      <c r="A387" s="155"/>
      <c r="N387" s="8"/>
      <c r="O387" s="8"/>
      <c r="P387" s="8"/>
      <c r="Q387" s="8"/>
      <c r="R387" s="8"/>
    </row>
    <row r="388" spans="1:18" s="11" customFormat="1" ht="19.149999999999999" customHeight="1" x14ac:dyDescent="0.25">
      <c r="A388" s="155"/>
      <c r="N388" s="8"/>
      <c r="O388" s="8"/>
      <c r="P388" s="8"/>
      <c r="Q388" s="8"/>
      <c r="R388" s="8"/>
    </row>
    <row r="389" spans="1:18" s="11" customFormat="1" ht="19.149999999999999" customHeight="1" x14ac:dyDescent="0.25">
      <c r="A389" s="155"/>
      <c r="N389" s="8"/>
      <c r="O389" s="8"/>
      <c r="P389" s="8"/>
      <c r="Q389" s="8"/>
      <c r="R389" s="8"/>
    </row>
    <row r="390" spans="1:18" s="11" customFormat="1" ht="19.149999999999999" customHeight="1" x14ac:dyDescent="0.25">
      <c r="A390" s="155"/>
      <c r="N390" s="8"/>
      <c r="O390" s="8"/>
      <c r="P390" s="8"/>
      <c r="Q390" s="8"/>
      <c r="R390" s="8"/>
    </row>
    <row r="391" spans="1:18" s="11" customFormat="1" ht="19.149999999999999" customHeight="1" x14ac:dyDescent="0.25">
      <c r="A391" s="155"/>
      <c r="N391" s="8"/>
      <c r="O391" s="8"/>
      <c r="P391" s="8"/>
      <c r="Q391" s="8"/>
      <c r="R391" s="8"/>
    </row>
    <row r="392" spans="1:18" s="11" customFormat="1" ht="19.149999999999999" customHeight="1" x14ac:dyDescent="0.25">
      <c r="A392" s="155"/>
      <c r="N392" s="8"/>
      <c r="O392" s="8"/>
      <c r="P392" s="8"/>
      <c r="Q392" s="8"/>
      <c r="R392" s="8"/>
    </row>
    <row r="393" spans="1:18" s="11" customFormat="1" ht="19.149999999999999" customHeight="1" x14ac:dyDescent="0.25">
      <c r="A393" s="155"/>
      <c r="N393" s="8"/>
      <c r="O393" s="8"/>
      <c r="P393" s="8"/>
      <c r="Q393" s="8"/>
      <c r="R393" s="8"/>
    </row>
    <row r="394" spans="1:18" s="11" customFormat="1" ht="19.149999999999999" customHeight="1" x14ac:dyDescent="0.25">
      <c r="A394" s="155"/>
      <c r="N394" s="8"/>
      <c r="O394" s="8"/>
      <c r="P394" s="8"/>
      <c r="Q394" s="8"/>
      <c r="R394" s="8"/>
    </row>
    <row r="395" spans="1:18" s="11" customFormat="1" ht="19.149999999999999" customHeight="1" x14ac:dyDescent="0.25">
      <c r="A395" s="155"/>
      <c r="N395" s="8"/>
      <c r="O395" s="8"/>
      <c r="P395" s="8"/>
      <c r="Q395" s="8"/>
      <c r="R395" s="8"/>
    </row>
    <row r="396" spans="1:18" s="11" customFormat="1" ht="19.149999999999999" customHeight="1" x14ac:dyDescent="0.25">
      <c r="A396" s="155"/>
      <c r="B396" s="11" t="s">
        <v>378</v>
      </c>
      <c r="N396" s="8"/>
      <c r="O396" s="8"/>
      <c r="P396" s="8"/>
      <c r="Q396" s="8"/>
      <c r="R396" s="8"/>
    </row>
    <row r="397" spans="1:18" s="11" customFormat="1" ht="19.149999999999999" customHeight="1" x14ac:dyDescent="0.25">
      <c r="A397" s="155"/>
      <c r="B397" s="41" t="s">
        <v>427</v>
      </c>
      <c r="C397" s="230">
        <f>'Process (2)'!C108</f>
        <v>0.6</v>
      </c>
      <c r="D397" s="232" t="s">
        <v>9</v>
      </c>
      <c r="E397" s="41" t="s">
        <v>428</v>
      </c>
      <c r="F397" s="233">
        <f>'Process (2)'!F108</f>
        <v>0.25</v>
      </c>
      <c r="G397" s="232" t="s">
        <v>9</v>
      </c>
      <c r="H397" s="231"/>
      <c r="I397" s="255"/>
      <c r="N397" s="8"/>
      <c r="O397" s="8"/>
      <c r="P397" s="8"/>
      <c r="Q397" s="8"/>
      <c r="R397" s="8"/>
    </row>
    <row r="398" spans="1:18" s="11" customFormat="1" ht="19.149999999999999" customHeight="1" x14ac:dyDescent="0.25">
      <c r="A398" s="155"/>
      <c r="B398" s="41" t="s">
        <v>399</v>
      </c>
      <c r="C398" s="235">
        <f>'Process (2)'!C109</f>
        <v>0.5</v>
      </c>
      <c r="D398" s="232" t="s">
        <v>9</v>
      </c>
      <c r="E398" s="41" t="s">
        <v>429</v>
      </c>
      <c r="F398" s="233">
        <f>'Process (2)'!F109</f>
        <v>0.33333333333333331</v>
      </c>
      <c r="G398" s="232" t="s">
        <v>9</v>
      </c>
      <c r="N398" s="8"/>
      <c r="O398" s="8"/>
      <c r="P398" s="8"/>
      <c r="Q398" s="8"/>
      <c r="R398" s="8"/>
    </row>
    <row r="399" spans="1:18" s="11" customFormat="1" ht="19.149999999999999" customHeight="1" x14ac:dyDescent="0.25">
      <c r="A399" s="155"/>
      <c r="B399" s="231"/>
      <c r="C399" s="257"/>
      <c r="D399" s="232"/>
      <c r="E399" s="41" t="s">
        <v>400</v>
      </c>
      <c r="F399" s="233">
        <f>'Process (2)'!F110</f>
        <v>0.25</v>
      </c>
      <c r="G399" s="232" t="s">
        <v>9</v>
      </c>
      <c r="N399" s="8"/>
      <c r="O399" s="8"/>
      <c r="P399" s="8"/>
      <c r="Q399" s="8"/>
      <c r="R399" s="8"/>
    </row>
    <row r="400" spans="1:18" s="11" customFormat="1" ht="19.149999999999999" customHeight="1" x14ac:dyDescent="0.25">
      <c r="A400" s="155"/>
      <c r="B400" s="41" t="s">
        <v>316</v>
      </c>
      <c r="C400" s="235">
        <f>'Process (2)'!C111</f>
        <v>1.6</v>
      </c>
      <c r="D400" s="232" t="s">
        <v>9</v>
      </c>
      <c r="E400" s="41" t="s">
        <v>401</v>
      </c>
      <c r="F400" s="233">
        <f>'Process (2)'!F111</f>
        <v>0.25</v>
      </c>
      <c r="G400" s="232" t="s">
        <v>9</v>
      </c>
      <c r="N400" s="8"/>
      <c r="O400" s="8"/>
      <c r="P400" s="8"/>
      <c r="Q400" s="8"/>
      <c r="R400" s="8"/>
    </row>
    <row r="401" spans="1:18" s="11" customFormat="1" ht="19.149999999999999" customHeight="1" x14ac:dyDescent="0.25">
      <c r="A401" s="155"/>
      <c r="B401" s="231" t="s">
        <v>383</v>
      </c>
      <c r="C401" s="230">
        <f>'Process (2)'!C112</f>
        <v>0.4</v>
      </c>
      <c r="D401" s="232" t="s">
        <v>9</v>
      </c>
      <c r="E401" s="237"/>
      <c r="F401" s="250"/>
      <c r="K401" s="8"/>
      <c r="L401" s="8"/>
      <c r="M401" s="8"/>
      <c r="N401" s="8"/>
      <c r="O401" s="8"/>
    </row>
    <row r="402" spans="1:18" s="11" customFormat="1" ht="19.149999999999999" customHeight="1" x14ac:dyDescent="0.25">
      <c r="A402" s="155"/>
      <c r="N402" s="8"/>
      <c r="O402" s="8"/>
      <c r="P402" s="8"/>
      <c r="Q402" s="8"/>
      <c r="R402" s="8"/>
    </row>
    <row r="403" spans="1:18" s="11" customFormat="1" ht="19.149999999999999" customHeight="1" x14ac:dyDescent="0.25">
      <c r="A403" s="155"/>
      <c r="B403" s="390" t="s">
        <v>384</v>
      </c>
      <c r="C403" s="251" t="s">
        <v>385</v>
      </c>
      <c r="D403" s="252"/>
      <c r="E403" s="253"/>
      <c r="F403" s="393" t="s">
        <v>395</v>
      </c>
      <c r="G403" s="390" t="s">
        <v>386</v>
      </c>
      <c r="H403" s="390" t="s">
        <v>387</v>
      </c>
      <c r="M403" s="8"/>
      <c r="N403" s="8"/>
      <c r="O403" s="8"/>
    </row>
    <row r="404" spans="1:18" s="11" customFormat="1" ht="19.149999999999999" customHeight="1" x14ac:dyDescent="0.25">
      <c r="A404" s="155"/>
      <c r="B404" s="391"/>
      <c r="C404" s="238" t="s">
        <v>403</v>
      </c>
      <c r="D404" s="238" t="s">
        <v>389</v>
      </c>
      <c r="E404" s="238" t="s">
        <v>404</v>
      </c>
      <c r="F404" s="394"/>
      <c r="G404" s="392"/>
      <c r="H404" s="392"/>
      <c r="M404" s="8"/>
      <c r="N404" s="8"/>
      <c r="O404" s="8"/>
    </row>
    <row r="405" spans="1:18" s="11" customFormat="1" ht="19.149999999999999" customHeight="1" x14ac:dyDescent="0.25">
      <c r="A405" s="155"/>
      <c r="B405" s="392"/>
      <c r="C405" s="238" t="s">
        <v>391</v>
      </c>
      <c r="D405" s="238" t="s">
        <v>391</v>
      </c>
      <c r="E405" s="238" t="s">
        <v>391</v>
      </c>
      <c r="F405" s="238"/>
      <c r="G405" s="238" t="s">
        <v>376</v>
      </c>
      <c r="H405" s="238" t="s">
        <v>392</v>
      </c>
      <c r="M405" s="8"/>
      <c r="N405" s="8"/>
      <c r="O405" s="8"/>
    </row>
    <row r="406" spans="1:18" s="11" customFormat="1" ht="19.149999999999999" customHeight="1" x14ac:dyDescent="0.25">
      <c r="A406" s="155"/>
      <c r="B406" s="258" t="s">
        <v>393</v>
      </c>
      <c r="C406" s="235">
        <f>'Process (2)'!C117</f>
        <v>0.5</v>
      </c>
      <c r="D406" s="235">
        <f>'Process (2)'!D117</f>
        <v>0.4</v>
      </c>
      <c r="E406" s="235">
        <f>'Process (2)'!E117</f>
        <v>1.6</v>
      </c>
      <c r="F406" s="235">
        <f>'Process (2)'!F117</f>
        <v>1.2</v>
      </c>
      <c r="G406" s="239">
        <f>'Process (2)'!G117</f>
        <v>9.2160000000000011</v>
      </c>
      <c r="H406" s="240">
        <f>'Process (2)'!H117</f>
        <v>2.3040000000000003</v>
      </c>
      <c r="M406" s="8"/>
      <c r="N406" s="8"/>
      <c r="O406" s="8"/>
    </row>
    <row r="407" spans="1:18" s="11" customFormat="1" ht="19.149999999999999" customHeight="1" x14ac:dyDescent="0.25">
      <c r="A407" s="155"/>
      <c r="B407" s="258" t="s">
        <v>394</v>
      </c>
      <c r="C407" s="235">
        <f>'Process (2)'!C118</f>
        <v>0.5</v>
      </c>
      <c r="D407" s="235">
        <f>'Process (2)'!D118</f>
        <v>1.6</v>
      </c>
      <c r="E407" s="235">
        <f>'Process (2)'!E118</f>
        <v>1.6</v>
      </c>
      <c r="F407" s="235">
        <f>'Process (2)'!F118</f>
        <v>2</v>
      </c>
      <c r="G407" s="239">
        <f>'Process (2)'!G118</f>
        <v>44.032000000000004</v>
      </c>
      <c r="H407" s="240">
        <f>'Process (2)'!H118</f>
        <v>11.008000000000001</v>
      </c>
      <c r="M407" s="8"/>
      <c r="N407" s="8"/>
      <c r="O407" s="8"/>
    </row>
    <row r="408" spans="1:18" s="11" customFormat="1" ht="19.149999999999999" customHeight="1" x14ac:dyDescent="0.25">
      <c r="A408" s="155"/>
      <c r="B408" s="86" t="s">
        <v>417</v>
      </c>
      <c r="C408" s="235">
        <f>'Process (2)'!C119</f>
        <v>0.5</v>
      </c>
      <c r="D408" s="235">
        <f>'Process (2)'!D119</f>
        <v>137.47654296874998</v>
      </c>
      <c r="E408" s="235">
        <f>'Process (2)'!E119</f>
        <v>1.6</v>
      </c>
      <c r="F408" s="235">
        <f>'Process (2)'!F119</f>
        <v>2</v>
      </c>
      <c r="G408" s="239">
        <f>'Process (2)'!G119</f>
        <v>219.96246874999997</v>
      </c>
      <c r="H408" s="240">
        <f>'Process (2)'!H119</f>
        <v>54.990617187499993</v>
      </c>
      <c r="M408" s="8"/>
      <c r="N408" s="8"/>
      <c r="O408" s="8"/>
    </row>
    <row r="409" spans="1:18" s="11" customFormat="1" ht="19.149999999999999" customHeight="1" x14ac:dyDescent="0.25">
      <c r="A409" s="155"/>
      <c r="B409" s="86" t="s">
        <v>418</v>
      </c>
      <c r="C409" s="235">
        <f>'Process (2)'!C120</f>
        <v>0.5</v>
      </c>
      <c r="D409" s="235">
        <f>'Process (2)'!D120</f>
        <v>14.58251953125</v>
      </c>
      <c r="E409" s="235">
        <f>'Process (2)'!E120</f>
        <v>1.6</v>
      </c>
      <c r="F409" s="235">
        <f>'Process (2)'!F120</f>
        <v>2</v>
      </c>
      <c r="G409" s="239">
        <f>'Process (2)'!G120</f>
        <v>11.666015625</v>
      </c>
      <c r="H409" s="240">
        <f>'Process (2)'!H120</f>
        <v>3.888671875</v>
      </c>
      <c r="M409" s="8"/>
      <c r="N409" s="8"/>
      <c r="O409" s="8"/>
    </row>
    <row r="410" spans="1:18" s="11" customFormat="1" ht="19.149999999999999" customHeight="1" x14ac:dyDescent="0.25">
      <c r="B410" s="250"/>
      <c r="F410" s="241" t="s">
        <v>420</v>
      </c>
      <c r="G410" s="242">
        <f>'Process (2)'!G121</f>
        <v>284.87648437499996</v>
      </c>
      <c r="H410" s="243"/>
      <c r="M410" s="8"/>
      <c r="N410" s="8"/>
      <c r="O410" s="8"/>
    </row>
    <row r="411" spans="1:18" s="11" customFormat="1" ht="19.149999999999999" customHeight="1" x14ac:dyDescent="0.25">
      <c r="A411" s="155"/>
      <c r="G411" s="244" t="s">
        <v>419</v>
      </c>
      <c r="H411" s="245">
        <f>'Process (2)'!H122</f>
        <v>45.567289062499988</v>
      </c>
      <c r="I411" s="256"/>
      <c r="M411" s="8"/>
      <c r="N411" s="8"/>
      <c r="O411" s="8"/>
      <c r="P411" s="8"/>
    </row>
    <row r="412" spans="1:18" customFormat="1" ht="18.75" customHeight="1" x14ac:dyDescent="0.25">
      <c r="A412" s="155"/>
    </row>
    <row r="413" spans="1:18" ht="18.75" customHeight="1" x14ac:dyDescent="0.25">
      <c r="A413" s="208" t="s">
        <v>434</v>
      </c>
      <c r="B413" s="63" t="s">
        <v>137</v>
      </c>
      <c r="C413" s="113"/>
      <c r="D413" s="113"/>
      <c r="E413" s="113"/>
      <c r="F413" s="113"/>
      <c r="G413" s="113"/>
      <c r="H413" s="113"/>
      <c r="I413" s="192"/>
    </row>
    <row r="414" spans="1:18" ht="18.75" customHeight="1" x14ac:dyDescent="0.25">
      <c r="A414" s="155"/>
      <c r="B414" s="2" t="s">
        <v>112</v>
      </c>
      <c r="C414" s="2"/>
      <c r="D414" s="2"/>
      <c r="F414" s="2"/>
      <c r="G414" s="25" t="s">
        <v>431</v>
      </c>
      <c r="H414" s="29">
        <f>'Process (2)'!H36</f>
        <v>135.46238281249998</v>
      </c>
      <c r="I414" s="191" t="s">
        <v>21</v>
      </c>
    </row>
    <row r="415" spans="1:18" ht="18.75" customHeight="1" x14ac:dyDescent="0.25">
      <c r="A415" s="155"/>
      <c r="B415" s="2" t="s">
        <v>113</v>
      </c>
      <c r="C415" s="2"/>
      <c r="D415" s="2"/>
      <c r="F415" s="2"/>
      <c r="G415" s="25" t="s">
        <v>370</v>
      </c>
      <c r="H415" s="30">
        <f>'Process (2)'!H125</f>
        <v>70.297564374999979</v>
      </c>
      <c r="I415" s="191" t="s">
        <v>114</v>
      </c>
    </row>
    <row r="416" spans="1:18" ht="18.75" customHeight="1" x14ac:dyDescent="0.25">
      <c r="A416" s="155"/>
      <c r="B416" s="2" t="s">
        <v>115</v>
      </c>
      <c r="C416" s="2"/>
      <c r="D416" s="2"/>
      <c r="E416" s="2"/>
      <c r="F416" s="2"/>
      <c r="G416" s="25" t="s">
        <v>364</v>
      </c>
      <c r="H416" s="160">
        <f>'Process (2)'!H126</f>
        <v>1600</v>
      </c>
      <c r="I416" s="191" t="s">
        <v>0</v>
      </c>
    </row>
    <row r="417" spans="1:9" ht="18.75" customHeight="1" x14ac:dyDescent="0.25">
      <c r="A417" s="155"/>
      <c r="B417" s="2" t="s">
        <v>116</v>
      </c>
      <c r="C417" s="2"/>
      <c r="D417" s="2"/>
      <c r="E417" s="2"/>
      <c r="F417" s="2"/>
      <c r="G417" s="25" t="s">
        <v>117</v>
      </c>
      <c r="H417" s="160">
        <f>'Process (2)'!H127</f>
        <v>276</v>
      </c>
      <c r="I417" s="191" t="s">
        <v>0</v>
      </c>
    </row>
    <row r="418" spans="1:9" ht="18.75" customHeight="1" x14ac:dyDescent="0.25">
      <c r="A418" s="155"/>
      <c r="B418" s="2" t="s">
        <v>118</v>
      </c>
      <c r="C418" s="2"/>
      <c r="D418" s="2"/>
      <c r="E418" s="2"/>
      <c r="F418" s="2"/>
      <c r="G418" s="25" t="s">
        <v>365</v>
      </c>
      <c r="H418" s="109">
        <f>'Process (2)'!H128</f>
        <v>1</v>
      </c>
      <c r="I418" s="191"/>
    </row>
    <row r="419" spans="1:9" ht="18.75" customHeight="1" x14ac:dyDescent="0.25">
      <c r="A419" s="155"/>
      <c r="C419" s="2"/>
      <c r="D419" s="2"/>
      <c r="E419" s="2"/>
      <c r="F419" s="2"/>
      <c r="H419" s="165"/>
      <c r="I419" s="191"/>
    </row>
    <row r="420" spans="1:9" ht="18.75" customHeight="1" x14ac:dyDescent="0.25">
      <c r="A420" s="155"/>
      <c r="B420" s="2" t="s">
        <v>346</v>
      </c>
      <c r="C420" s="2"/>
      <c r="D420" s="2"/>
      <c r="E420" s="2"/>
      <c r="F420" s="2"/>
      <c r="G420" s="25" t="s">
        <v>145</v>
      </c>
      <c r="H420" s="30">
        <f>'Process (2)'!H130</f>
        <v>1209.3714069714067</v>
      </c>
      <c r="I420" s="191" t="s">
        <v>5</v>
      </c>
    </row>
    <row r="421" spans="1:9" ht="18.75" customHeight="1" x14ac:dyDescent="0.25">
      <c r="A421" s="155"/>
      <c r="B421" s="2"/>
      <c r="C421" s="2"/>
      <c r="D421" s="2"/>
      <c r="E421" s="2"/>
      <c r="F421" s="2"/>
      <c r="G421" s="25" t="s">
        <v>146</v>
      </c>
      <c r="H421" s="30">
        <f>'Process (2)'!H131</f>
        <v>1793.90092034092</v>
      </c>
      <c r="I421" s="191" t="s">
        <v>5</v>
      </c>
    </row>
    <row r="422" spans="1:9" ht="18.75" customHeight="1" x14ac:dyDescent="0.25">
      <c r="A422" s="155"/>
      <c r="B422" s="2"/>
      <c r="C422" s="2"/>
      <c r="D422" s="2"/>
      <c r="E422" s="2"/>
      <c r="F422" s="2"/>
      <c r="G422" s="25" t="s">
        <v>132</v>
      </c>
      <c r="H422" s="30">
        <f>'Process (2)'!H132</f>
        <v>806.24760464760436</v>
      </c>
      <c r="I422" s="191" t="s">
        <v>5</v>
      </c>
    </row>
    <row r="423" spans="1:9" ht="18.75" customHeight="1" x14ac:dyDescent="0.25">
      <c r="A423" s="155"/>
      <c r="B423" s="2" t="s">
        <v>302</v>
      </c>
      <c r="C423" s="2"/>
      <c r="D423" s="2"/>
      <c r="E423" s="2"/>
      <c r="F423" s="162" t="s">
        <v>3</v>
      </c>
      <c r="G423" s="25" t="s">
        <v>133</v>
      </c>
      <c r="H423" s="30">
        <f>'Process (2)'!H133</f>
        <v>806.24760464760436</v>
      </c>
      <c r="I423" s="191" t="s">
        <v>5</v>
      </c>
    </row>
    <row r="424" spans="1:9" ht="18.75" customHeight="1" x14ac:dyDescent="0.25">
      <c r="A424" s="155"/>
      <c r="B424" s="2" t="s">
        <v>119</v>
      </c>
      <c r="C424" s="2"/>
      <c r="D424" s="2"/>
      <c r="E424" s="2"/>
      <c r="F424" s="2"/>
      <c r="G424" s="25" t="s">
        <v>295</v>
      </c>
      <c r="H424" s="163">
        <f>'Process (2)'!H134</f>
        <v>0.75</v>
      </c>
      <c r="I424" s="191"/>
    </row>
    <row r="425" spans="1:9" ht="18.75" customHeight="1" x14ac:dyDescent="0.25">
      <c r="A425" s="155"/>
      <c r="B425" s="2" t="s">
        <v>300</v>
      </c>
      <c r="C425" s="2"/>
      <c r="D425" s="2"/>
      <c r="E425" s="2"/>
      <c r="F425" s="2"/>
      <c r="G425" s="25" t="s">
        <v>296</v>
      </c>
      <c r="H425" s="30">
        <f>'Process (2)'!H135</f>
        <v>604.68570348570324</v>
      </c>
      <c r="I425" s="191" t="s">
        <v>5</v>
      </c>
    </row>
    <row r="426" spans="1:9" ht="18.75" customHeight="1" x14ac:dyDescent="0.25">
      <c r="A426" s="155"/>
      <c r="B426" s="2" t="s">
        <v>303</v>
      </c>
      <c r="C426" s="2"/>
      <c r="F426" s="168"/>
      <c r="I426" s="191"/>
    </row>
    <row r="427" spans="1:9" ht="18.75" customHeight="1" x14ac:dyDescent="0.25">
      <c r="A427" s="155"/>
      <c r="B427" s="2"/>
      <c r="C427" s="2" t="s">
        <v>4</v>
      </c>
      <c r="D427" s="114" t="s">
        <v>297</v>
      </c>
      <c r="E427" s="114" t="s">
        <v>120</v>
      </c>
      <c r="F427" s="114" t="s">
        <v>134</v>
      </c>
      <c r="G427" s="2"/>
      <c r="I427" s="3"/>
    </row>
    <row r="428" spans="1:9" ht="18.75" customHeight="1" x14ac:dyDescent="0.25">
      <c r="A428" s="155"/>
      <c r="B428" s="2"/>
      <c r="D428" s="29">
        <f>'Process (2)'!D138</f>
        <v>604.68570348570324</v>
      </c>
      <c r="E428" s="117" t="str">
        <f>IF(D428&gt;F428,"&gt;","&lt;")</f>
        <v>&gt;</v>
      </c>
      <c r="F428" s="29">
        <f>'Process (2)'!F138</f>
        <v>70.297564374999979</v>
      </c>
      <c r="G428" s="162" t="s">
        <v>3</v>
      </c>
      <c r="H428" s="32" t="str">
        <f>IF(D428&gt;F428,"[ AMAN (OK) ]","[ TDK AMAN (NG) ]")</f>
        <v>[ AMAN (OK) ]</v>
      </c>
      <c r="I428" s="3"/>
    </row>
    <row r="429" spans="1:9" ht="18.75" customHeight="1" x14ac:dyDescent="0.25">
      <c r="A429" s="155"/>
      <c r="B429" s="2"/>
      <c r="C429" s="2"/>
      <c r="D429" s="2"/>
      <c r="E429" s="2"/>
      <c r="F429" s="2"/>
      <c r="I429" s="3"/>
    </row>
    <row r="430" spans="1:9" ht="18.75" customHeight="1" x14ac:dyDescent="0.25">
      <c r="A430" s="208" t="s">
        <v>435</v>
      </c>
      <c r="B430" s="63" t="s">
        <v>153</v>
      </c>
      <c r="C430" s="113"/>
      <c r="D430" s="113"/>
      <c r="E430" s="113"/>
      <c r="F430" s="113"/>
      <c r="G430" s="115"/>
      <c r="H430" s="116"/>
      <c r="I430" s="192"/>
    </row>
    <row r="431" spans="1:9" ht="18.75" customHeight="1" x14ac:dyDescent="0.25">
      <c r="A431" s="155"/>
      <c r="B431" s="2" t="s">
        <v>121</v>
      </c>
      <c r="C431" s="2"/>
      <c r="D431" s="2"/>
      <c r="F431" s="2"/>
      <c r="G431" s="25" t="s">
        <v>421</v>
      </c>
      <c r="H431" s="30">
        <f>'Process (2)'!H141</f>
        <v>62.349607343749987</v>
      </c>
      <c r="I431" s="191" t="s">
        <v>114</v>
      </c>
    </row>
    <row r="432" spans="1:9" ht="18.75" customHeight="1" x14ac:dyDescent="0.25">
      <c r="A432" s="155"/>
      <c r="B432" s="2" t="s">
        <v>122</v>
      </c>
      <c r="C432" s="2"/>
      <c r="D432" s="2"/>
      <c r="E432" s="2"/>
      <c r="F432" s="2"/>
      <c r="G432" s="25" t="s">
        <v>366</v>
      </c>
      <c r="H432" s="160">
        <f>'Process (2)'!H142</f>
        <v>1600</v>
      </c>
      <c r="I432" s="191" t="s">
        <v>0</v>
      </c>
    </row>
    <row r="433" spans="1:9" ht="18.75" customHeight="1" x14ac:dyDescent="0.25">
      <c r="A433" s="155"/>
      <c r="B433" s="2" t="s">
        <v>116</v>
      </c>
      <c r="C433" s="2"/>
      <c r="D433" s="2"/>
      <c r="E433" s="2"/>
      <c r="F433" s="2"/>
      <c r="G433" s="25" t="s">
        <v>117</v>
      </c>
      <c r="H433" s="160">
        <f>'Process (2)'!H143</f>
        <v>276</v>
      </c>
      <c r="I433" s="191" t="s">
        <v>0</v>
      </c>
    </row>
    <row r="434" spans="1:9" ht="18.75" customHeight="1" x14ac:dyDescent="0.25">
      <c r="A434" s="155"/>
      <c r="B434" s="2" t="s">
        <v>118</v>
      </c>
      <c r="C434" s="2"/>
      <c r="D434" s="2"/>
      <c r="E434" s="2"/>
      <c r="F434" s="2"/>
      <c r="G434" s="25" t="s">
        <v>365</v>
      </c>
      <c r="H434" s="109">
        <f>'Process (2)'!H144</f>
        <v>1</v>
      </c>
      <c r="I434" s="191"/>
    </row>
    <row r="435" spans="1:9" ht="18.75" customHeight="1" x14ac:dyDescent="0.25">
      <c r="A435" s="155"/>
      <c r="C435" s="2"/>
      <c r="D435" s="2"/>
      <c r="E435" s="2"/>
      <c r="F435" s="2"/>
      <c r="H435" s="161"/>
      <c r="I435" s="191"/>
    </row>
    <row r="436" spans="1:9" ht="18.75" customHeight="1" x14ac:dyDescent="0.25">
      <c r="A436" s="155"/>
      <c r="B436" s="2" t="s">
        <v>347</v>
      </c>
      <c r="C436" s="2"/>
      <c r="D436" s="2"/>
      <c r="E436" s="2"/>
      <c r="F436" s="2"/>
      <c r="G436" s="25" t="s">
        <v>145</v>
      </c>
      <c r="H436" s="30">
        <f>'Process (2)'!H146</f>
        <v>1209.3714069714067</v>
      </c>
      <c r="I436" s="191" t="s">
        <v>5</v>
      </c>
    </row>
    <row r="437" spans="1:9" ht="18.75" customHeight="1" x14ac:dyDescent="0.25">
      <c r="A437" s="155"/>
      <c r="B437" s="2"/>
      <c r="C437" s="2"/>
      <c r="D437" s="2"/>
      <c r="E437" s="2"/>
      <c r="F437" s="2"/>
      <c r="G437" s="25" t="s">
        <v>146</v>
      </c>
      <c r="H437" s="30">
        <f>'Process (2)'!H147</f>
        <v>1793.90092034092</v>
      </c>
      <c r="I437" s="191" t="s">
        <v>5</v>
      </c>
    </row>
    <row r="438" spans="1:9" ht="18.75" customHeight="1" x14ac:dyDescent="0.25">
      <c r="A438" s="155"/>
      <c r="B438" s="2"/>
      <c r="C438" s="2"/>
      <c r="D438" s="2"/>
      <c r="E438" s="2"/>
      <c r="F438" s="2"/>
      <c r="G438" s="25" t="s">
        <v>132</v>
      </c>
      <c r="H438" s="30">
        <f>'Process (2)'!H148</f>
        <v>806.24760464760436</v>
      </c>
      <c r="I438" s="191" t="s">
        <v>5</v>
      </c>
    </row>
    <row r="439" spans="1:9" ht="18.75" customHeight="1" x14ac:dyDescent="0.25">
      <c r="A439" s="155"/>
      <c r="B439" s="2" t="s">
        <v>302</v>
      </c>
      <c r="C439" s="2"/>
      <c r="D439" s="2"/>
      <c r="E439" s="2"/>
      <c r="F439" s="162" t="s">
        <v>3</v>
      </c>
      <c r="G439" s="25" t="s">
        <v>133</v>
      </c>
      <c r="H439" s="30">
        <f>'Process (2)'!H149</f>
        <v>806.24760464760436</v>
      </c>
      <c r="I439" s="191" t="s">
        <v>5</v>
      </c>
    </row>
    <row r="440" spans="1:9" ht="18.75" customHeight="1" x14ac:dyDescent="0.25">
      <c r="A440" s="155"/>
      <c r="B440" s="2" t="s">
        <v>119</v>
      </c>
      <c r="C440" s="2"/>
      <c r="D440" s="2"/>
      <c r="E440" s="2"/>
      <c r="F440" s="2"/>
      <c r="G440" s="25" t="s">
        <v>295</v>
      </c>
      <c r="H440" s="163">
        <f>'Process (2)'!H150</f>
        <v>0.75</v>
      </c>
      <c r="I440" s="191"/>
    </row>
    <row r="441" spans="1:9" ht="18.75" customHeight="1" x14ac:dyDescent="0.25">
      <c r="A441" s="155"/>
      <c r="B441" s="2" t="s">
        <v>300</v>
      </c>
      <c r="C441" s="2"/>
      <c r="D441" s="2"/>
      <c r="E441" s="2"/>
      <c r="F441" s="2"/>
      <c r="G441" s="25" t="s">
        <v>296</v>
      </c>
      <c r="H441" s="30">
        <f>'Process (2)'!H151</f>
        <v>604.68570348570324</v>
      </c>
      <c r="I441" s="191" t="s">
        <v>5</v>
      </c>
    </row>
    <row r="442" spans="1:9" ht="18.75" customHeight="1" x14ac:dyDescent="0.25">
      <c r="A442" s="155"/>
      <c r="B442" s="2" t="s">
        <v>304</v>
      </c>
      <c r="C442" s="2"/>
      <c r="F442" s="164"/>
      <c r="I442" s="191"/>
    </row>
    <row r="443" spans="1:9" ht="18.75" customHeight="1" x14ac:dyDescent="0.25">
      <c r="A443" s="155"/>
      <c r="B443" s="2"/>
      <c r="C443" s="1" t="s">
        <v>4</v>
      </c>
      <c r="D443" s="114" t="s">
        <v>297</v>
      </c>
      <c r="E443" s="114" t="s">
        <v>120</v>
      </c>
      <c r="F443" s="114" t="s">
        <v>134</v>
      </c>
      <c r="G443" s="2"/>
      <c r="I443" s="3"/>
    </row>
    <row r="444" spans="1:9" ht="18.75" customHeight="1" x14ac:dyDescent="0.25">
      <c r="A444" s="155"/>
      <c r="B444" s="2"/>
      <c r="D444" s="29">
        <f>'Process (2)'!D154</f>
        <v>604.68570348570324</v>
      </c>
      <c r="E444" s="117" t="str">
        <f>IF(D444&gt;F444,"&gt;","&lt;")</f>
        <v>&gt;</v>
      </c>
      <c r="F444" s="29">
        <f>'Process (2)'!F154</f>
        <v>62.349607343749987</v>
      </c>
      <c r="G444" s="162" t="s">
        <v>3</v>
      </c>
      <c r="H444" s="32" t="str">
        <f>IF(D444&gt;F444,"[ AMAN (OK) ]","[ TDK AMAN (NG) ]")</f>
        <v>[ AMAN (OK) ]</v>
      </c>
      <c r="I444" s="3"/>
    </row>
    <row r="445" spans="1:9" ht="18.75" customHeight="1" x14ac:dyDescent="0.25">
      <c r="A445" s="155"/>
      <c r="B445" s="2"/>
      <c r="C445" s="2"/>
      <c r="D445" s="2"/>
      <c r="E445" s="2"/>
      <c r="F445" s="2"/>
      <c r="G445" s="25"/>
      <c r="H445" s="112"/>
      <c r="I445" s="191"/>
    </row>
    <row r="446" spans="1:9" ht="18.75" customHeight="1" x14ac:dyDescent="0.25">
      <c r="A446" s="208" t="s">
        <v>436</v>
      </c>
      <c r="B446" s="63" t="s">
        <v>154</v>
      </c>
      <c r="C446" s="113"/>
      <c r="D446" s="113"/>
      <c r="E446" s="113"/>
      <c r="F446" s="113"/>
      <c r="G446" s="115"/>
      <c r="H446" s="116"/>
      <c r="I446" s="192"/>
    </row>
    <row r="447" spans="1:9" ht="18.75" customHeight="1" x14ac:dyDescent="0.25">
      <c r="A447" s="155"/>
      <c r="B447" s="2"/>
      <c r="C447" s="2"/>
      <c r="D447" s="2"/>
      <c r="E447" s="2"/>
      <c r="F447" s="2"/>
      <c r="G447" s="25"/>
      <c r="H447" s="112"/>
      <c r="I447" s="191"/>
    </row>
    <row r="448" spans="1:9" ht="18.75" customHeight="1" x14ac:dyDescent="0.25">
      <c r="A448" s="155"/>
      <c r="B448" s="2"/>
      <c r="C448" s="2"/>
      <c r="D448" s="2"/>
      <c r="E448" s="2"/>
      <c r="F448" s="2"/>
      <c r="G448" s="25"/>
      <c r="H448" s="112"/>
      <c r="I448" s="191"/>
    </row>
    <row r="449" spans="1:9" ht="18.75" customHeight="1" x14ac:dyDescent="0.25">
      <c r="A449" s="155"/>
      <c r="B449" s="2"/>
      <c r="C449" s="2"/>
      <c r="D449" s="2"/>
      <c r="E449" s="2"/>
      <c r="F449" s="2"/>
      <c r="G449" s="25"/>
      <c r="H449" s="112"/>
      <c r="I449" s="191"/>
    </row>
    <row r="450" spans="1:9" ht="18.75" customHeight="1" x14ac:dyDescent="0.25">
      <c r="A450" s="155"/>
      <c r="B450" s="2"/>
      <c r="C450" s="2"/>
      <c r="D450" s="2"/>
      <c r="E450" s="2"/>
      <c r="F450" s="2"/>
      <c r="G450" s="25"/>
      <c r="H450" s="112"/>
      <c r="I450" s="191"/>
    </row>
    <row r="451" spans="1:9" ht="18.75" customHeight="1" x14ac:dyDescent="0.25">
      <c r="A451" s="155"/>
      <c r="B451" s="2"/>
      <c r="C451" s="2"/>
      <c r="D451" s="2"/>
      <c r="E451" s="2"/>
      <c r="F451" s="2"/>
      <c r="G451" s="25"/>
      <c r="H451" s="112"/>
      <c r="I451" s="191"/>
    </row>
    <row r="452" spans="1:9" ht="18.75" customHeight="1" x14ac:dyDescent="0.25">
      <c r="A452" s="155"/>
      <c r="B452" s="2"/>
      <c r="C452" s="2"/>
      <c r="D452" s="2"/>
      <c r="E452" s="2"/>
      <c r="F452" s="2"/>
      <c r="G452" s="25"/>
      <c r="H452" s="112"/>
      <c r="I452" s="191"/>
    </row>
    <row r="453" spans="1:9" ht="18.75" customHeight="1" x14ac:dyDescent="0.25">
      <c r="A453" s="155"/>
      <c r="B453" s="2"/>
      <c r="C453" s="2"/>
      <c r="D453" s="2"/>
      <c r="E453" s="2"/>
      <c r="F453" s="2"/>
      <c r="G453" s="25"/>
      <c r="H453" s="112"/>
      <c r="I453" s="191"/>
    </row>
    <row r="454" spans="1:9" ht="18.75" customHeight="1" x14ac:dyDescent="0.25">
      <c r="A454" s="155"/>
      <c r="B454" s="2"/>
      <c r="C454" s="2"/>
      <c r="D454" s="2"/>
      <c r="E454" s="2"/>
      <c r="F454" s="2"/>
      <c r="G454" s="25"/>
      <c r="H454" s="112"/>
      <c r="I454" s="191"/>
    </row>
    <row r="455" spans="1:9" ht="18.75" customHeight="1" x14ac:dyDescent="0.25">
      <c r="A455" s="155"/>
      <c r="B455" s="2"/>
      <c r="C455" s="2"/>
      <c r="D455" s="2"/>
      <c r="E455" s="2"/>
      <c r="F455" s="2"/>
      <c r="G455" s="25"/>
      <c r="H455" s="112"/>
      <c r="I455" s="191"/>
    </row>
    <row r="456" spans="1:9" ht="18.75" customHeight="1" x14ac:dyDescent="0.25">
      <c r="A456" s="155"/>
      <c r="B456" s="2"/>
      <c r="C456" s="2"/>
      <c r="D456" s="2"/>
      <c r="E456" s="2"/>
      <c r="F456" s="2"/>
      <c r="G456" s="25"/>
      <c r="H456" s="112"/>
      <c r="I456" s="191"/>
    </row>
    <row r="457" spans="1:9" ht="18.75" customHeight="1" x14ac:dyDescent="0.25">
      <c r="A457" s="155"/>
      <c r="B457" s="2"/>
      <c r="C457" s="2"/>
      <c r="D457" s="2"/>
      <c r="E457" s="2"/>
      <c r="F457" s="2"/>
      <c r="G457" s="25"/>
      <c r="H457" s="112"/>
      <c r="I457" s="191"/>
    </row>
    <row r="458" spans="1:9" ht="18.75" customHeight="1" x14ac:dyDescent="0.25">
      <c r="A458" s="155"/>
      <c r="B458" s="2" t="s">
        <v>110</v>
      </c>
      <c r="G458" s="25" t="s">
        <v>292</v>
      </c>
      <c r="H458" s="108">
        <f>'Process (2)'!H168</f>
        <v>0.124</v>
      </c>
      <c r="I458" s="191" t="s">
        <v>9</v>
      </c>
    </row>
    <row r="459" spans="1:9" ht="18.75" customHeight="1" x14ac:dyDescent="0.25">
      <c r="A459" s="155"/>
      <c r="B459" s="2" t="s">
        <v>301</v>
      </c>
      <c r="C459" s="2"/>
      <c r="D459" s="2"/>
      <c r="E459" s="2"/>
      <c r="F459" s="2"/>
      <c r="G459" s="25" t="s">
        <v>111</v>
      </c>
      <c r="H459" s="109">
        <f>'Process (2)'!H169</f>
        <v>0.27600000000000002</v>
      </c>
      <c r="I459" s="191" t="s">
        <v>9</v>
      </c>
    </row>
    <row r="460" spans="1:9" ht="18.75" customHeight="1" x14ac:dyDescent="0.25">
      <c r="A460" s="155"/>
      <c r="B460" s="2" t="s">
        <v>123</v>
      </c>
      <c r="C460" s="2"/>
      <c r="D460" s="2"/>
      <c r="E460" s="2"/>
      <c r="F460" s="2"/>
      <c r="G460" s="25" t="str">
        <f>'Process (2)'!G170</f>
        <v>Bx = bc + d =</v>
      </c>
      <c r="H460" s="30">
        <f>'Process (2)'!H170</f>
        <v>0.77600000000000002</v>
      </c>
      <c r="I460" s="191" t="s">
        <v>9</v>
      </c>
    </row>
    <row r="461" spans="1:9" ht="18.75" customHeight="1" x14ac:dyDescent="0.25">
      <c r="A461" s="155"/>
      <c r="B461" s="2" t="s">
        <v>124</v>
      </c>
      <c r="C461" s="2"/>
      <c r="D461" s="2"/>
      <c r="E461" s="2"/>
      <c r="F461" s="2"/>
      <c r="G461" s="25" t="str">
        <f>'Process (2)'!G171</f>
        <v>By = wc + d =</v>
      </c>
      <c r="H461" s="30">
        <f>'Process (2)'!H171</f>
        <v>0.876</v>
      </c>
      <c r="I461" s="191" t="s">
        <v>9</v>
      </c>
    </row>
    <row r="462" spans="1:9" ht="18.75" customHeight="1" x14ac:dyDescent="0.25">
      <c r="A462" s="155"/>
      <c r="B462" s="2" t="s">
        <v>125</v>
      </c>
      <c r="C462" s="2"/>
      <c r="D462" s="2"/>
      <c r="E462" s="2"/>
      <c r="F462" s="2"/>
      <c r="G462" s="25"/>
      <c r="H462" s="111"/>
      <c r="I462" s="191"/>
    </row>
    <row r="463" spans="1:9" ht="18.75" customHeight="1" x14ac:dyDescent="0.25">
      <c r="A463" s="155"/>
      <c r="C463" s="2"/>
      <c r="D463" s="2"/>
      <c r="E463" s="2"/>
      <c r="F463" s="2"/>
      <c r="G463" s="25" t="s">
        <v>367</v>
      </c>
      <c r="H463" s="30">
        <f>'Process (2)'!H173</f>
        <v>161.58175</v>
      </c>
      <c r="I463" s="191" t="s">
        <v>114</v>
      </c>
    </row>
    <row r="464" spans="1:9" ht="18.75" customHeight="1" x14ac:dyDescent="0.25">
      <c r="A464" s="155"/>
      <c r="B464" s="2" t="s">
        <v>126</v>
      </c>
      <c r="C464" s="2"/>
      <c r="D464" s="2"/>
      <c r="E464" s="2"/>
      <c r="F464" s="2"/>
      <c r="G464" s="25" t="str">
        <f>'Process (2)'!G174</f>
        <v>Ap = 2 * ( Bx + By ) * d =</v>
      </c>
      <c r="H464" s="30">
        <f>'Process (2)'!H174</f>
        <v>0.91190400000000016</v>
      </c>
      <c r="I464" s="191" t="s">
        <v>40</v>
      </c>
    </row>
    <row r="465" spans="1:9" ht="18.75" customHeight="1" x14ac:dyDescent="0.25">
      <c r="A465" s="155"/>
      <c r="B465" s="2" t="s">
        <v>127</v>
      </c>
      <c r="C465" s="2"/>
      <c r="D465" s="2"/>
      <c r="E465" s="2"/>
      <c r="F465" s="2"/>
      <c r="G465" s="25" t="str">
        <f>'Process (2)'!G175</f>
        <v>bp = 2 * ( Bx + By ) =</v>
      </c>
      <c r="H465" s="30">
        <f>'Process (2)'!H175</f>
        <v>3.3040000000000003</v>
      </c>
      <c r="I465" s="191" t="s">
        <v>128</v>
      </c>
    </row>
    <row r="466" spans="1:9" ht="18.75" customHeight="1" x14ac:dyDescent="0.25">
      <c r="A466" s="155"/>
      <c r="B466" s="2" t="s">
        <v>118</v>
      </c>
      <c r="C466" s="2"/>
      <c r="D466" s="2"/>
      <c r="E466" s="2"/>
      <c r="F466" s="2"/>
      <c r="G466" s="25" t="s">
        <v>365</v>
      </c>
      <c r="H466" s="109">
        <f>'Process (2)'!H176</f>
        <v>1</v>
      </c>
      <c r="I466" s="191"/>
    </row>
    <row r="467" spans="1:9" ht="18.75" customHeight="1" x14ac:dyDescent="0.25">
      <c r="A467" s="155"/>
      <c r="C467" s="2"/>
      <c r="D467" s="2"/>
      <c r="E467" s="2"/>
      <c r="F467" s="2"/>
      <c r="H467" s="165"/>
      <c r="I467" s="191"/>
    </row>
    <row r="468" spans="1:9" ht="18.75" customHeight="1" x14ac:dyDescent="0.25">
      <c r="A468" s="155"/>
      <c r="B468" s="2" t="s">
        <v>348</v>
      </c>
      <c r="C468" s="2"/>
      <c r="D468" s="2"/>
      <c r="E468" s="2"/>
      <c r="F468" s="2"/>
      <c r="G468" s="25" t="s">
        <v>275</v>
      </c>
      <c r="H468" s="30">
        <f>'Process (2)'!H178</f>
        <v>2.7386127875258306</v>
      </c>
      <c r="I468" s="191" t="s">
        <v>67</v>
      </c>
    </row>
    <row r="469" spans="1:9" ht="18.75" customHeight="1" x14ac:dyDescent="0.25">
      <c r="A469" s="155"/>
      <c r="B469" s="2"/>
      <c r="C469" s="2"/>
      <c r="D469" s="2"/>
      <c r="E469" s="2"/>
      <c r="F469" s="2"/>
      <c r="G469" s="25" t="s">
        <v>276</v>
      </c>
      <c r="H469" s="30">
        <f>'Process (2)'!H179</f>
        <v>2.4380063798555214</v>
      </c>
      <c r="I469" s="191" t="s">
        <v>67</v>
      </c>
    </row>
    <row r="470" spans="1:9" ht="18.75" customHeight="1" x14ac:dyDescent="0.25">
      <c r="A470" s="155"/>
      <c r="B470" s="2"/>
      <c r="C470" s="2"/>
      <c r="D470" s="2"/>
      <c r="E470" s="2"/>
      <c r="F470" s="2"/>
      <c r="G470" s="25" t="s">
        <v>277</v>
      </c>
      <c r="H470" s="30">
        <f>'Process (2)'!H180</f>
        <v>1.8257418583505536</v>
      </c>
      <c r="I470" s="191" t="s">
        <v>67</v>
      </c>
    </row>
    <row r="471" spans="1:9" ht="18.75" customHeight="1" x14ac:dyDescent="0.25">
      <c r="A471" s="155"/>
      <c r="B471" s="2" t="s">
        <v>129</v>
      </c>
      <c r="C471" s="2"/>
      <c r="D471" s="2"/>
      <c r="G471" s="166" t="s">
        <v>278</v>
      </c>
      <c r="H471" s="30">
        <f>'Process (2)'!H181</f>
        <v>1.8257418583505536</v>
      </c>
      <c r="I471" s="191" t="s">
        <v>67</v>
      </c>
    </row>
    <row r="472" spans="1:9" ht="18.75" customHeight="1" x14ac:dyDescent="0.25">
      <c r="A472" s="155"/>
      <c r="B472" s="2" t="s">
        <v>130</v>
      </c>
      <c r="C472" s="2"/>
      <c r="D472" s="2"/>
      <c r="G472" s="25" t="s">
        <v>295</v>
      </c>
      <c r="H472" s="163">
        <f>'Process (2)'!H182</f>
        <v>0.75</v>
      </c>
      <c r="I472" s="191"/>
    </row>
    <row r="473" spans="1:9" ht="18.75" customHeight="1" x14ac:dyDescent="0.25">
      <c r="A473" s="155"/>
      <c r="B473" s="2" t="s">
        <v>131</v>
      </c>
      <c r="C473" s="2"/>
      <c r="D473" s="2"/>
      <c r="E473" s="2"/>
      <c r="F473" s="2"/>
      <c r="G473" s="25" t="s">
        <v>298</v>
      </c>
      <c r="H473" s="163">
        <f>'Process (2)'!H183</f>
        <v>1248.6759776979777</v>
      </c>
      <c r="I473" s="191" t="s">
        <v>5</v>
      </c>
    </row>
    <row r="474" spans="1:9" ht="18.75" customHeight="1" x14ac:dyDescent="0.25">
      <c r="A474" s="155"/>
      <c r="B474" s="2"/>
      <c r="C474" s="2"/>
      <c r="D474" s="2"/>
      <c r="E474" s="2"/>
      <c r="F474" s="2"/>
      <c r="G474" s="25"/>
      <c r="H474" s="171"/>
      <c r="I474" s="191"/>
    </row>
    <row r="475" spans="1:9" ht="18.75" customHeight="1" x14ac:dyDescent="0.25">
      <c r="A475" s="155"/>
      <c r="B475" s="2"/>
      <c r="C475" s="2"/>
      <c r="D475" s="2"/>
      <c r="E475" s="2"/>
      <c r="F475" s="2"/>
      <c r="G475" s="25"/>
      <c r="H475" s="171"/>
      <c r="I475" s="191"/>
    </row>
    <row r="476" spans="1:9" ht="18.75" customHeight="1" x14ac:dyDescent="0.25">
      <c r="A476" s="155"/>
      <c r="B476" s="2" t="s">
        <v>305</v>
      </c>
      <c r="C476" s="2"/>
      <c r="D476" s="2"/>
      <c r="E476" s="2"/>
      <c r="F476" s="2"/>
      <c r="G476" s="25"/>
      <c r="H476" s="171"/>
      <c r="I476" s="191"/>
    </row>
    <row r="477" spans="1:9" ht="18.75" customHeight="1" x14ac:dyDescent="0.25">
      <c r="A477" s="155"/>
      <c r="C477" s="2" t="s">
        <v>4</v>
      </c>
      <c r="D477" s="114" t="s">
        <v>299</v>
      </c>
      <c r="E477" s="114" t="s">
        <v>120</v>
      </c>
      <c r="F477" s="114" t="s">
        <v>135</v>
      </c>
      <c r="G477" s="164"/>
      <c r="H477" s="167"/>
      <c r="I477" s="191"/>
    </row>
    <row r="478" spans="1:9" ht="18.75" customHeight="1" x14ac:dyDescent="0.25">
      <c r="A478" s="155"/>
      <c r="C478" s="2"/>
      <c r="D478" s="29">
        <f>'Process (2)'!D186</f>
        <v>1248.6759776979777</v>
      </c>
      <c r="E478" s="114" t="str">
        <f>IF(D478&gt;F478,"&gt;","&lt;")</f>
        <v>&gt;</v>
      </c>
      <c r="F478" s="29">
        <f>'Process (2)'!F186</f>
        <v>161.58175</v>
      </c>
      <c r="G478" s="162" t="s">
        <v>3</v>
      </c>
      <c r="H478" s="168" t="str">
        <f>IF(D478&gt;F478,"[ AMAN (OK) ]","[ TDK AMAN (NG) ]")</f>
        <v>[ AMAN (OK) ]</v>
      </c>
      <c r="I478" s="191"/>
    </row>
    <row r="479" spans="1:9" ht="18.75" customHeight="1" x14ac:dyDescent="0.25">
      <c r="A479" s="155"/>
      <c r="B479" s="2" t="s">
        <v>306</v>
      </c>
      <c r="C479" s="2"/>
      <c r="D479" s="112"/>
      <c r="E479" s="114"/>
      <c r="F479" s="112"/>
      <c r="G479" s="162"/>
      <c r="H479" s="168"/>
      <c r="I479" s="191"/>
    </row>
    <row r="480" spans="1:9" ht="18.75" customHeight="1" x14ac:dyDescent="0.25">
      <c r="A480" s="155"/>
      <c r="C480" s="2" t="s">
        <v>4</v>
      </c>
      <c r="D480" s="114" t="s">
        <v>299</v>
      </c>
      <c r="E480" s="114" t="s">
        <v>120</v>
      </c>
      <c r="F480" s="114" t="s">
        <v>136</v>
      </c>
      <c r="G480" s="168"/>
      <c r="H480" s="114"/>
      <c r="I480" s="191"/>
    </row>
    <row r="481" spans="1:9" ht="18.75" customHeight="1" x14ac:dyDescent="0.25">
      <c r="A481" s="155"/>
      <c r="C481" s="2"/>
      <c r="D481" s="29">
        <f>'Process (2)'!D189</f>
        <v>1248.6759776979777</v>
      </c>
      <c r="E481" s="114" t="str">
        <f>IF(D481&gt;F481,"&gt;","&lt;")</f>
        <v>&gt;</v>
      </c>
      <c r="F481" s="29">
        <f>'Process (2)'!F189</f>
        <v>306.77120000000002</v>
      </c>
      <c r="G481" s="162" t="s">
        <v>3</v>
      </c>
      <c r="H481" s="168" t="str">
        <f>IF(D481&gt;F481,"[ AMAN (OK) ]","[ TDK AMAN (NG) ]")</f>
        <v>[ AMAN (OK) ]</v>
      </c>
      <c r="I481" s="191"/>
    </row>
    <row r="482" spans="1:9" ht="18.75" customHeight="1" x14ac:dyDescent="0.25">
      <c r="A482" s="155"/>
      <c r="B482" s="2"/>
      <c r="C482" s="112"/>
      <c r="D482" s="117"/>
      <c r="E482" s="112"/>
      <c r="F482" s="118"/>
      <c r="H482" s="119"/>
      <c r="I482" s="191"/>
    </row>
    <row r="483" spans="1:9" ht="18.75" customHeight="1" x14ac:dyDescent="0.25">
      <c r="A483" s="415" t="s">
        <v>437</v>
      </c>
      <c r="B483" s="412" t="s">
        <v>283</v>
      </c>
      <c r="C483" s="413"/>
      <c r="D483" s="413"/>
      <c r="E483" s="413"/>
      <c r="F483" s="413"/>
      <c r="G483" s="413"/>
      <c r="H483" s="413"/>
      <c r="I483" s="414"/>
    </row>
    <row r="484" spans="1:9" ht="18.75" customHeight="1" x14ac:dyDescent="0.25">
      <c r="A484" s="208" t="s">
        <v>438</v>
      </c>
      <c r="B484" s="63" t="s">
        <v>155</v>
      </c>
      <c r="C484" s="113"/>
      <c r="D484" s="113"/>
      <c r="E484" s="113"/>
      <c r="F484" s="113"/>
      <c r="G484" s="113"/>
      <c r="H484" s="113"/>
      <c r="I484" s="192"/>
    </row>
    <row r="485" spans="1:9" ht="18.75" customHeight="1" x14ac:dyDescent="0.25">
      <c r="A485" s="155"/>
      <c r="B485" s="2" t="s">
        <v>252</v>
      </c>
      <c r="C485" s="2"/>
      <c r="D485" s="2"/>
      <c r="E485" s="2"/>
      <c r="F485" s="2"/>
      <c r="G485" s="25" t="s">
        <v>425</v>
      </c>
      <c r="H485" s="30">
        <f>'Process (2)'!H194</f>
        <v>54.811468593749993</v>
      </c>
      <c r="I485" s="191" t="s">
        <v>156</v>
      </c>
    </row>
    <row r="486" spans="1:9" ht="18.75" customHeight="1" x14ac:dyDescent="0.25">
      <c r="A486" s="155"/>
      <c r="B486" s="2" t="s">
        <v>157</v>
      </c>
      <c r="C486" s="2"/>
      <c r="G486" s="25" t="s">
        <v>364</v>
      </c>
      <c r="H486" s="16">
        <f>'Process (2)'!H195</f>
        <v>1600</v>
      </c>
      <c r="I486" s="191" t="s">
        <v>0</v>
      </c>
    </row>
    <row r="487" spans="1:9" ht="18.75" customHeight="1" x14ac:dyDescent="0.25">
      <c r="A487" s="155"/>
      <c r="B487" s="2" t="s">
        <v>158</v>
      </c>
      <c r="C487" s="2"/>
      <c r="G487" s="25" t="s">
        <v>159</v>
      </c>
      <c r="H487" s="16">
        <f>'Process (2)'!H196</f>
        <v>400</v>
      </c>
      <c r="I487" s="191" t="s">
        <v>0</v>
      </c>
    </row>
    <row r="488" spans="1:9" ht="18.75" customHeight="1" x14ac:dyDescent="0.25">
      <c r="A488" s="155"/>
      <c r="B488" s="2" t="s">
        <v>160</v>
      </c>
      <c r="C488" s="2"/>
      <c r="G488" s="25" t="s">
        <v>292</v>
      </c>
      <c r="H488" s="16">
        <f>'Process (2)'!H197</f>
        <v>124</v>
      </c>
      <c r="I488" s="191" t="s">
        <v>0</v>
      </c>
    </row>
    <row r="489" spans="1:9" ht="18.75" customHeight="1" x14ac:dyDescent="0.25">
      <c r="A489" s="155"/>
      <c r="B489" s="2" t="s">
        <v>161</v>
      </c>
      <c r="C489" s="2"/>
      <c r="G489" s="25" t="s">
        <v>111</v>
      </c>
      <c r="H489" s="16">
        <f>'Process (2)'!H198</f>
        <v>276</v>
      </c>
      <c r="I489" s="191" t="s">
        <v>0</v>
      </c>
    </row>
    <row r="490" spans="1:9" ht="18.75" customHeight="1" x14ac:dyDescent="0.25">
      <c r="A490" s="155"/>
      <c r="B490" s="2" t="s">
        <v>162</v>
      </c>
      <c r="C490" s="2"/>
      <c r="G490" s="120" t="s">
        <v>163</v>
      </c>
      <c r="H490" s="16">
        <f>'Process (2)'!H199</f>
        <v>30</v>
      </c>
      <c r="I490" s="191" t="s">
        <v>67</v>
      </c>
    </row>
    <row r="491" spans="1:9" ht="18.75" customHeight="1" x14ac:dyDescent="0.25">
      <c r="A491" s="155"/>
      <c r="B491" s="2" t="s">
        <v>164</v>
      </c>
      <c r="C491" s="2"/>
      <c r="G491" s="25" t="s">
        <v>165</v>
      </c>
      <c r="H491" s="16">
        <f>'Process (2)'!H200</f>
        <v>400</v>
      </c>
      <c r="I491" s="191" t="s">
        <v>67</v>
      </c>
    </row>
    <row r="492" spans="1:9" ht="18.75" customHeight="1" x14ac:dyDescent="0.25">
      <c r="A492" s="155"/>
      <c r="B492" s="121" t="s">
        <v>71</v>
      </c>
      <c r="C492" s="2"/>
      <c r="G492" s="25" t="s">
        <v>166</v>
      </c>
      <c r="H492" s="17">
        <f>'Process (2)'!H201</f>
        <v>200000</v>
      </c>
      <c r="I492" s="191" t="s">
        <v>67</v>
      </c>
    </row>
    <row r="493" spans="1:9" ht="18.75" customHeight="1" x14ac:dyDescent="0.25">
      <c r="A493" s="155"/>
      <c r="B493" s="121"/>
      <c r="C493" s="2"/>
      <c r="G493" s="25"/>
      <c r="H493" s="169"/>
      <c r="I493" s="191"/>
    </row>
    <row r="494" spans="1:9" ht="18.75" customHeight="1" x14ac:dyDescent="0.25">
      <c r="A494" s="209"/>
      <c r="B494" s="9" t="s">
        <v>167</v>
      </c>
      <c r="C494" s="9"/>
      <c r="D494" s="9"/>
      <c r="E494" s="9"/>
      <c r="F494" s="9"/>
      <c r="G494" s="44" t="s">
        <v>168</v>
      </c>
      <c r="H494" s="18" t="str">
        <f>'Process (2)'!H203</f>
        <v>-</v>
      </c>
      <c r="I494" s="193"/>
    </row>
    <row r="495" spans="1:9" ht="18.75" customHeight="1" x14ac:dyDescent="0.25">
      <c r="A495" s="209"/>
      <c r="B495" s="9" t="s">
        <v>169</v>
      </c>
      <c r="C495" s="9"/>
      <c r="D495" s="9"/>
      <c r="E495" s="9"/>
      <c r="F495" s="9"/>
      <c r="G495" s="44" t="s">
        <v>279</v>
      </c>
      <c r="H495" s="19">
        <f>'Process (2)'!H204</f>
        <v>0.83571428571428574</v>
      </c>
      <c r="I495" s="193"/>
    </row>
    <row r="496" spans="1:9" ht="18.75" customHeight="1" x14ac:dyDescent="0.25">
      <c r="A496" s="209"/>
      <c r="B496" s="9" t="s">
        <v>170</v>
      </c>
      <c r="C496" s="9"/>
      <c r="D496" s="9"/>
      <c r="E496" s="9"/>
      <c r="F496" s="9"/>
      <c r="G496" s="44" t="s">
        <v>168</v>
      </c>
      <c r="H496" s="19" t="str">
        <f>'Process (2)'!H205</f>
        <v>-</v>
      </c>
      <c r="I496" s="193"/>
    </row>
    <row r="497" spans="1:9" ht="18.75" customHeight="1" x14ac:dyDescent="0.25">
      <c r="A497" s="209"/>
      <c r="B497" s="9" t="s">
        <v>171</v>
      </c>
      <c r="C497" s="9"/>
      <c r="D497" s="9"/>
      <c r="E497" s="42" t="s">
        <v>3</v>
      </c>
      <c r="F497" s="9"/>
      <c r="G497" s="44" t="s">
        <v>168</v>
      </c>
      <c r="H497" s="19">
        <f>'Process (2)'!H206</f>
        <v>0.83571428571428574</v>
      </c>
      <c r="I497" s="193"/>
    </row>
    <row r="498" spans="1:9" ht="18.75" customHeight="1" x14ac:dyDescent="0.25">
      <c r="A498" s="209"/>
      <c r="B498" s="9" t="s">
        <v>172</v>
      </c>
      <c r="C498" s="9"/>
      <c r="D498" s="9"/>
      <c r="E498" s="42"/>
      <c r="F498" s="9"/>
      <c r="G498" s="44"/>
      <c r="H498" s="31"/>
      <c r="I498" s="193"/>
    </row>
    <row r="499" spans="1:9" ht="18.75" customHeight="1" x14ac:dyDescent="0.25">
      <c r="A499" s="209"/>
      <c r="B499" s="9"/>
      <c r="C499" s="9"/>
      <c r="D499" s="9"/>
      <c r="E499" s="9"/>
      <c r="F499" s="9"/>
      <c r="G499" s="44" t="s">
        <v>173</v>
      </c>
      <c r="H499" s="20">
        <f>'Process (2)'!H208</f>
        <v>3.1966071428571427E-2</v>
      </c>
      <c r="I499" s="193"/>
    </row>
    <row r="500" spans="1:9" ht="18.75" customHeight="1" x14ac:dyDescent="0.25">
      <c r="A500" s="209"/>
      <c r="B500" s="9" t="s">
        <v>174</v>
      </c>
      <c r="C500" s="122"/>
      <c r="D500" s="31"/>
      <c r="E500" s="123"/>
      <c r="F500" s="9"/>
      <c r="G500" s="44" t="s">
        <v>175</v>
      </c>
      <c r="H500" s="20">
        <f>'Process (2)'!H209</f>
        <v>2.397455357142857E-2</v>
      </c>
      <c r="I500" s="193"/>
    </row>
    <row r="501" spans="1:9" ht="18.75" customHeight="1" x14ac:dyDescent="0.25">
      <c r="A501" s="209"/>
      <c r="B501" s="9" t="s">
        <v>176</v>
      </c>
      <c r="C501" s="9"/>
      <c r="D501" s="123" t="s">
        <v>177</v>
      </c>
      <c r="E501" s="9"/>
      <c r="F501" s="9"/>
      <c r="G501" s="44" t="s">
        <v>178</v>
      </c>
      <c r="H501" s="20">
        <f>'Process (2)'!H210</f>
        <v>3.4232659844072883E-3</v>
      </c>
      <c r="I501" s="193"/>
    </row>
    <row r="502" spans="1:9" ht="18.75" customHeight="1" x14ac:dyDescent="0.25">
      <c r="A502" s="209"/>
      <c r="B502" s="9"/>
      <c r="C502" s="9"/>
      <c r="D502" s="9" t="s">
        <v>179</v>
      </c>
      <c r="E502" s="9"/>
      <c r="F502" s="9"/>
      <c r="G502" s="44" t="s">
        <v>180</v>
      </c>
      <c r="H502" s="20">
        <f>'Process (2)'!H211</f>
        <v>3.4999999999999996E-3</v>
      </c>
      <c r="I502" s="193"/>
    </row>
    <row r="503" spans="1:9" ht="18.75" customHeight="1" x14ac:dyDescent="0.25">
      <c r="A503" s="209"/>
      <c r="B503" s="9"/>
      <c r="C503" s="9"/>
      <c r="D503" s="9"/>
      <c r="E503" s="9"/>
      <c r="F503" s="9"/>
      <c r="G503" s="44"/>
      <c r="H503" s="21"/>
      <c r="I503" s="193"/>
    </row>
    <row r="504" spans="1:9" ht="18.75" customHeight="1" x14ac:dyDescent="0.25">
      <c r="A504" s="209"/>
      <c r="B504" s="9" t="s">
        <v>181</v>
      </c>
      <c r="C504" s="9"/>
      <c r="D504" s="9"/>
      <c r="E504" s="44"/>
      <c r="F504" s="9"/>
      <c r="G504" s="44" t="s">
        <v>182</v>
      </c>
      <c r="H504" s="22">
        <f>'Process (2)'!H213</f>
        <v>0.85</v>
      </c>
      <c r="I504" s="193"/>
    </row>
    <row r="505" spans="1:9" ht="18.75" customHeight="1" x14ac:dyDescent="0.25">
      <c r="A505" s="209"/>
      <c r="B505" s="9" t="s">
        <v>183</v>
      </c>
      <c r="C505" s="9"/>
      <c r="D505" s="9"/>
      <c r="E505" s="44"/>
      <c r="F505" s="9"/>
      <c r="G505" s="44" t="s">
        <v>184</v>
      </c>
      <c r="H505" s="19">
        <f>'Process (2)'!H214</f>
        <v>54.811468593749993</v>
      </c>
      <c r="I505" s="193" t="s">
        <v>2</v>
      </c>
    </row>
    <row r="506" spans="1:9" ht="18.75" customHeight="1" x14ac:dyDescent="0.25">
      <c r="A506" s="209"/>
      <c r="B506" s="9" t="s">
        <v>185</v>
      </c>
      <c r="C506" s="9"/>
      <c r="D506" s="9"/>
      <c r="E506" s="44"/>
      <c r="F506" s="9"/>
      <c r="G506" s="44" t="s">
        <v>186</v>
      </c>
      <c r="H506" s="19">
        <f>'Process (2)'!H215</f>
        <v>64.484080698529411</v>
      </c>
      <c r="I506" s="193" t="s">
        <v>2</v>
      </c>
    </row>
    <row r="507" spans="1:9" ht="18.75" customHeight="1" x14ac:dyDescent="0.25">
      <c r="A507" s="209"/>
      <c r="B507" s="9" t="s">
        <v>187</v>
      </c>
      <c r="C507" s="9"/>
      <c r="D507" s="9"/>
      <c r="E507" s="9"/>
      <c r="F507" s="9"/>
      <c r="G507" s="124" t="s">
        <v>188</v>
      </c>
      <c r="H507" s="19">
        <f>'Process (2)'!H216</f>
        <v>0.5290714980647564</v>
      </c>
      <c r="I507" s="187"/>
    </row>
    <row r="508" spans="1:9" ht="18.75" customHeight="1" x14ac:dyDescent="0.25">
      <c r="A508" s="209"/>
      <c r="B508" s="9" t="s">
        <v>189</v>
      </c>
      <c r="C508" s="9"/>
      <c r="D508" s="9"/>
      <c r="E508" s="9"/>
      <c r="F508" s="9"/>
      <c r="I508" s="188"/>
    </row>
    <row r="509" spans="1:9" ht="18.75" customHeight="1" x14ac:dyDescent="0.25">
      <c r="A509" s="209"/>
      <c r="B509" s="9"/>
      <c r="C509" s="9"/>
      <c r="D509" s="9"/>
      <c r="E509" s="9"/>
      <c r="F509" s="9"/>
      <c r="G509" s="44" t="s">
        <v>190</v>
      </c>
      <c r="H509" s="19">
        <f>'Process (2)'!H217</f>
        <v>15.686274509803921</v>
      </c>
      <c r="I509" s="188"/>
    </row>
    <row r="510" spans="1:9" ht="18.75" customHeight="1" x14ac:dyDescent="0.25">
      <c r="A510" s="209"/>
      <c r="B510" s="9" t="s">
        <v>191</v>
      </c>
      <c r="C510" s="9"/>
      <c r="D510" s="9"/>
      <c r="E510" s="9"/>
      <c r="F510" s="9"/>
      <c r="G510" s="124" t="s">
        <v>192</v>
      </c>
      <c r="H510" s="20">
        <f>'Process (2)'!H218</f>
        <v>1.3366924447048767E-3</v>
      </c>
      <c r="I510" s="187"/>
    </row>
    <row r="511" spans="1:9" ht="18.75" customHeight="1" x14ac:dyDescent="0.25">
      <c r="A511" s="209"/>
      <c r="B511" s="9" t="s">
        <v>193</v>
      </c>
      <c r="C511" s="9"/>
      <c r="D511" s="9"/>
      <c r="E511" s="9"/>
      <c r="F511" s="44"/>
      <c r="G511" s="127"/>
      <c r="H511" s="123"/>
      <c r="I511" s="205"/>
    </row>
    <row r="512" spans="1:9" ht="18.75" customHeight="1" x14ac:dyDescent="0.25">
      <c r="A512" s="209"/>
      <c r="B512" s="9"/>
      <c r="C512" s="9" t="s">
        <v>4</v>
      </c>
      <c r="D512" s="31" t="s">
        <v>194</v>
      </c>
      <c r="E512" s="31" t="s">
        <v>195</v>
      </c>
      <c r="F512" s="31" t="s">
        <v>196</v>
      </c>
      <c r="G512" s="44"/>
      <c r="H512" s="127"/>
      <c r="I512" s="205"/>
    </row>
    <row r="513" spans="1:9" ht="18.75" customHeight="1" x14ac:dyDescent="0.25">
      <c r="A513" s="209"/>
      <c r="B513" s="9"/>
      <c r="C513" s="9"/>
      <c r="D513" s="127">
        <f>'Process (2)'!D221</f>
        <v>3.4232659844072883E-3</v>
      </c>
      <c r="E513" s="127">
        <f>'Process (2)'!E221</f>
        <v>1.3366924447048767E-3</v>
      </c>
      <c r="F513" s="127">
        <f>'Process (2)'!F221</f>
        <v>2.397455357142857E-2</v>
      </c>
      <c r="G513" s="42" t="s">
        <v>3</v>
      </c>
      <c r="H513" s="129" t="str">
        <f>IF(D513&lt;E513,(IF(E513&lt;F513,"[ OK ]","[ NOT OK ]")),"[ Pakai ρmin ]")</f>
        <v>[ Pakai ρmin ]</v>
      </c>
      <c r="I513" s="205"/>
    </row>
    <row r="514" spans="1:9" ht="18.75" customHeight="1" x14ac:dyDescent="0.25">
      <c r="A514" s="209"/>
      <c r="B514" s="9"/>
      <c r="C514" s="9"/>
      <c r="D514" s="9"/>
      <c r="E514" s="9"/>
      <c r="F514" s="9"/>
      <c r="G514" s="44"/>
      <c r="H514" s="31"/>
      <c r="I514" s="205"/>
    </row>
    <row r="515" spans="1:9" ht="18.75" customHeight="1" x14ac:dyDescent="0.25">
      <c r="A515" s="209"/>
      <c r="B515" s="9" t="s">
        <v>197</v>
      </c>
      <c r="C515" s="9"/>
      <c r="D515" s="9"/>
      <c r="E515" s="9"/>
      <c r="F515" s="9"/>
      <c r="G515" s="44" t="s">
        <v>198</v>
      </c>
      <c r="H515" s="20">
        <f>'Process (2)'!H223</f>
        <v>3.4232659844072883E-3</v>
      </c>
      <c r="I515" s="188"/>
    </row>
    <row r="516" spans="1:9" ht="18.75" customHeight="1" x14ac:dyDescent="0.25">
      <c r="A516" s="209"/>
      <c r="B516" s="9"/>
      <c r="C516" s="127"/>
      <c r="D516" s="127"/>
      <c r="E516" s="127"/>
      <c r="F516" s="42"/>
      <c r="G516" s="129"/>
      <c r="H516" s="123"/>
      <c r="I516" s="205"/>
    </row>
    <row r="517" spans="1:9" ht="18.75" customHeight="1" x14ac:dyDescent="0.25">
      <c r="A517" s="209"/>
      <c r="B517" s="9" t="s">
        <v>199</v>
      </c>
      <c r="C517" s="9"/>
      <c r="D517" s="9"/>
      <c r="E517" s="9"/>
      <c r="F517" s="9"/>
      <c r="G517" s="44" t="s">
        <v>200</v>
      </c>
      <c r="H517" s="157">
        <f>'Process (2)'!H225</f>
        <v>1511.7142587142584</v>
      </c>
      <c r="I517" s="193" t="s">
        <v>201</v>
      </c>
    </row>
    <row r="518" spans="1:9" ht="18.75" customHeight="1" x14ac:dyDescent="0.25">
      <c r="A518" s="209"/>
      <c r="B518" s="9" t="s">
        <v>202</v>
      </c>
      <c r="C518" s="9"/>
      <c r="D518" s="9"/>
      <c r="E518" s="9"/>
      <c r="F518" s="9"/>
      <c r="G518" s="44" t="s">
        <v>203</v>
      </c>
      <c r="H518" s="157">
        <f>'Process (2)'!H226</f>
        <v>212.80416313675971</v>
      </c>
      <c r="I518" s="193" t="s">
        <v>0</v>
      </c>
    </row>
    <row r="519" spans="1:9" ht="18.75" customHeight="1" x14ac:dyDescent="0.25">
      <c r="A519" s="209"/>
      <c r="B519" s="9" t="s">
        <v>204</v>
      </c>
      <c r="C519" s="9"/>
      <c r="D519" s="9"/>
      <c r="E519" s="9"/>
      <c r="F519" s="9"/>
      <c r="G519" s="44" t="s">
        <v>290</v>
      </c>
      <c r="H519" s="157">
        <f>'Process (2)'!H227</f>
        <v>1200</v>
      </c>
      <c r="I519" s="193" t="s">
        <v>0</v>
      </c>
    </row>
    <row r="520" spans="1:9" ht="18.75" customHeight="1" x14ac:dyDescent="0.25">
      <c r="A520" s="209"/>
      <c r="B520" s="9" t="s">
        <v>204</v>
      </c>
      <c r="C520" s="9"/>
      <c r="D520" s="9"/>
      <c r="E520" s="9"/>
      <c r="F520" s="9"/>
      <c r="G520" s="44" t="s">
        <v>205</v>
      </c>
      <c r="H520" s="157">
        <f>'Process (2)'!H228</f>
        <v>450</v>
      </c>
      <c r="I520" s="193" t="s">
        <v>0</v>
      </c>
    </row>
    <row r="521" spans="1:9" ht="18.75" customHeight="1" x14ac:dyDescent="0.25">
      <c r="A521" s="209"/>
      <c r="B521" s="9" t="s">
        <v>206</v>
      </c>
      <c r="C521" s="9"/>
      <c r="D521" s="9"/>
      <c r="E521" s="9"/>
      <c r="F521" s="9"/>
      <c r="G521" s="44" t="s">
        <v>207</v>
      </c>
      <c r="H521" s="157">
        <f>'Process (2)'!H229</f>
        <v>212.80416313675971</v>
      </c>
      <c r="I521" s="193" t="s">
        <v>0</v>
      </c>
    </row>
    <row r="522" spans="1:9" ht="18.75" customHeight="1" x14ac:dyDescent="0.25">
      <c r="A522" s="209"/>
      <c r="B522" s="9" t="s">
        <v>208</v>
      </c>
      <c r="C522" s="9"/>
      <c r="D522" s="9"/>
      <c r="E522" s="9"/>
      <c r="F522" s="42" t="s">
        <v>3</v>
      </c>
      <c r="G522" s="44" t="s">
        <v>207</v>
      </c>
      <c r="H522" s="158">
        <f>'Process (2)'!H230</f>
        <v>200</v>
      </c>
      <c r="I522" s="193" t="s">
        <v>0</v>
      </c>
    </row>
    <row r="523" spans="1:9" ht="18.75" customHeight="1" x14ac:dyDescent="0.25">
      <c r="A523" s="209"/>
      <c r="B523" s="9" t="s">
        <v>209</v>
      </c>
      <c r="C523" s="9"/>
      <c r="D523" s="9"/>
      <c r="G523" s="284"/>
      <c r="H523" s="406" t="str">
        <f>'Process (2)'!H231</f>
        <v>D16  -  200</v>
      </c>
      <c r="I523" s="193"/>
    </row>
    <row r="524" spans="1:9" ht="18.75" customHeight="1" x14ac:dyDescent="0.25">
      <c r="A524" s="209"/>
      <c r="B524" s="9" t="s">
        <v>210</v>
      </c>
      <c r="C524" s="9"/>
      <c r="D524" s="9"/>
      <c r="E524" s="9"/>
      <c r="F524" s="9"/>
      <c r="G524" s="44" t="s">
        <v>211</v>
      </c>
      <c r="H524" s="159">
        <f>'Process (2)'!H232</f>
        <v>1608.4954386379741</v>
      </c>
      <c r="I524" s="193" t="s">
        <v>201</v>
      </c>
    </row>
    <row r="525" spans="1:9" ht="18.75" customHeight="1" x14ac:dyDescent="0.25">
      <c r="A525" s="209"/>
      <c r="B525" s="9"/>
      <c r="C525" s="9"/>
      <c r="D525" s="9"/>
      <c r="E525" s="9"/>
      <c r="F525" s="9"/>
      <c r="G525" s="9"/>
      <c r="H525" s="9"/>
      <c r="I525" s="193"/>
    </row>
    <row r="526" spans="1:9" ht="18.75" customHeight="1" x14ac:dyDescent="0.25">
      <c r="A526" s="209"/>
      <c r="B526" s="9" t="s">
        <v>212</v>
      </c>
      <c r="C526" s="9"/>
      <c r="D526" s="9"/>
      <c r="E526" s="9"/>
      <c r="F526" s="9"/>
      <c r="G526" s="44" t="s">
        <v>213</v>
      </c>
      <c r="H526" s="146">
        <f>'Process (2)'!H234</f>
        <v>643.39817545518963</v>
      </c>
      <c r="I526" s="206" t="s">
        <v>5</v>
      </c>
    </row>
    <row r="527" spans="1:9" ht="18.75" customHeight="1" x14ac:dyDescent="0.25">
      <c r="A527" s="209"/>
      <c r="B527" s="9" t="s">
        <v>214</v>
      </c>
      <c r="C527" s="9"/>
      <c r="D527" s="9"/>
      <c r="E527" s="31"/>
      <c r="F527" s="9"/>
      <c r="G527" s="44" t="s">
        <v>215</v>
      </c>
      <c r="H527" s="211" t="str">
        <f>'Process (2)'!H235</f>
        <v>34,10 * c</v>
      </c>
      <c r="I527" s="193" t="s">
        <v>5</v>
      </c>
    </row>
    <row r="528" spans="1:9" ht="18.75" customHeight="1" x14ac:dyDescent="0.25">
      <c r="A528" s="209"/>
      <c r="B528" s="123"/>
      <c r="C528" s="31"/>
      <c r="D528" s="9"/>
      <c r="E528" s="131"/>
      <c r="F528" s="9"/>
      <c r="G528" s="9"/>
      <c r="H528" s="9"/>
      <c r="I528" s="193"/>
    </row>
    <row r="529" spans="1:9" ht="18.75" customHeight="1" x14ac:dyDescent="0.25">
      <c r="A529" s="209"/>
      <c r="B529" s="123" t="s">
        <v>216</v>
      </c>
      <c r="C529" s="9"/>
      <c r="D529" s="9"/>
      <c r="E529" s="9"/>
      <c r="F529" s="9"/>
      <c r="G529" s="44" t="s">
        <v>217</v>
      </c>
      <c r="H529" s="193" t="s">
        <v>504</v>
      </c>
      <c r="I529" s="207"/>
    </row>
    <row r="530" spans="1:9" ht="18.75" customHeight="1" x14ac:dyDescent="0.25">
      <c r="A530" s="209"/>
      <c r="B530" s="123"/>
      <c r="C530" s="9"/>
      <c r="D530" s="9"/>
      <c r="E530" s="9"/>
      <c r="G530" s="120" t="str">
        <f>'Process (2)'!G238</f>
        <v>34,10 * c =</v>
      </c>
      <c r="H530" s="283">
        <f>'Process (2)'!H238</f>
        <v>643.39817545518963</v>
      </c>
      <c r="I530" s="193"/>
    </row>
    <row r="531" spans="1:9" ht="18.75" customHeight="1" x14ac:dyDescent="0.25">
      <c r="A531" s="209"/>
      <c r="B531" s="123" t="s">
        <v>218</v>
      </c>
      <c r="C531" s="9"/>
      <c r="D531" s="9"/>
      <c r="E531" s="9"/>
      <c r="F531" s="134"/>
      <c r="G531" s="135"/>
      <c r="H531" s="136"/>
      <c r="I531" s="206"/>
    </row>
    <row r="532" spans="1:9" ht="18.75" customHeight="1" x14ac:dyDescent="0.25">
      <c r="A532" s="209"/>
      <c r="B532" s="123" t="s">
        <v>219</v>
      </c>
      <c r="C532" s="44"/>
      <c r="D532" s="9"/>
      <c r="E532" s="31"/>
      <c r="F532" s="123"/>
      <c r="G532" s="44" t="s">
        <v>6</v>
      </c>
      <c r="H532" s="22">
        <f>'Process (2)'!H240</f>
        <v>18.869562712361013</v>
      </c>
      <c r="I532" s="206" t="s">
        <v>0</v>
      </c>
    </row>
    <row r="533" spans="1:9" ht="18.75" customHeight="1" x14ac:dyDescent="0.25">
      <c r="A533" s="209"/>
      <c r="B533" s="9" t="s">
        <v>214</v>
      </c>
      <c r="C533" s="31"/>
      <c r="D533" s="9"/>
      <c r="E533" s="31"/>
      <c r="F533" s="9"/>
      <c r="G533" s="44" t="s">
        <v>220</v>
      </c>
      <c r="H533" s="19">
        <f>'Process (2)'!H241</f>
        <v>643.39817545518963</v>
      </c>
      <c r="I533" s="206" t="s">
        <v>5</v>
      </c>
    </row>
    <row r="534" spans="1:9" ht="18.75" customHeight="1" x14ac:dyDescent="0.25">
      <c r="A534" s="209"/>
      <c r="B534" s="9" t="s">
        <v>212</v>
      </c>
      <c r="C534" s="31"/>
      <c r="D534" s="9"/>
      <c r="E534" s="31"/>
      <c r="F534" s="9"/>
      <c r="G534" s="44" t="s">
        <v>221</v>
      </c>
      <c r="H534" s="19">
        <f>'Process (2)'!H242</f>
        <v>643.39817545518963</v>
      </c>
      <c r="I534" s="206" t="s">
        <v>5</v>
      </c>
    </row>
    <row r="535" spans="1:9" ht="18.75" customHeight="1" x14ac:dyDescent="0.25">
      <c r="A535" s="209"/>
      <c r="B535" s="123"/>
      <c r="C535" s="9"/>
      <c r="D535" s="9"/>
      <c r="E535" s="9"/>
      <c r="F535" s="44"/>
      <c r="G535" s="31"/>
      <c r="H535" s="123"/>
      <c r="I535" s="205"/>
    </row>
    <row r="536" spans="1:9" ht="18.75" customHeight="1" x14ac:dyDescent="0.25">
      <c r="A536" s="209"/>
      <c r="B536" s="123" t="s">
        <v>222</v>
      </c>
      <c r="C536" s="9"/>
      <c r="D536" s="9"/>
      <c r="E536" s="9"/>
      <c r="F536" s="44"/>
      <c r="G536" s="31"/>
      <c r="H536" s="123"/>
      <c r="I536" s="205"/>
    </row>
    <row r="537" spans="1:9" ht="18.75" customHeight="1" x14ac:dyDescent="0.25">
      <c r="A537" s="209"/>
      <c r="B537" s="123"/>
      <c r="C537" s="123" t="s">
        <v>223</v>
      </c>
      <c r="D537" s="9"/>
      <c r="E537" s="9"/>
      <c r="F537" s="9"/>
      <c r="G537" s="44"/>
      <c r="H537" s="31"/>
      <c r="I537" s="193"/>
    </row>
    <row r="538" spans="1:9" ht="18.75" customHeight="1" x14ac:dyDescent="0.25">
      <c r="A538" s="209"/>
      <c r="B538" s="123"/>
      <c r="C538" s="123"/>
      <c r="D538" s="9" t="s">
        <v>224</v>
      </c>
      <c r="E538" s="9"/>
      <c r="F538" s="9" t="s">
        <v>225</v>
      </c>
      <c r="G538" s="44"/>
      <c r="H538" s="31"/>
      <c r="I538" s="193"/>
    </row>
    <row r="539" spans="1:9" ht="18.75" customHeight="1" x14ac:dyDescent="0.25">
      <c r="A539" s="209"/>
      <c r="B539" s="123"/>
      <c r="C539" s="9"/>
      <c r="D539" s="127">
        <f>'Process (2)'!D247</f>
        <v>4.0880190157114582E-2</v>
      </c>
      <c r="E539" s="31" t="str">
        <f>IF(D539&lt;F539,"&lt;","&gt;")</f>
        <v>&gt;</v>
      </c>
      <c r="F539" s="137">
        <f>'Process (2)'!F247</f>
        <v>2E-3</v>
      </c>
      <c r="G539" s="42" t="s">
        <v>3</v>
      </c>
      <c r="H539" s="144" t="str">
        <f>IF(D539&gt;=F539,"[ OK ]","[ NOT OK ]")</f>
        <v>[ OK ]</v>
      </c>
      <c r="I539" s="3"/>
    </row>
    <row r="540" spans="1:9" ht="18.75" customHeight="1" x14ac:dyDescent="0.25">
      <c r="A540" s="209"/>
      <c r="B540" s="123" t="s">
        <v>226</v>
      </c>
      <c r="C540" s="9"/>
      <c r="D540" s="9"/>
      <c r="E540" s="9"/>
      <c r="F540" s="9"/>
      <c r="G540" s="42" t="s">
        <v>3</v>
      </c>
      <c r="H540" s="365" t="str">
        <f>IF(D539&lt;=F539,"Tekanan Terkontrol",IF(D539&lt;0.005,"Transisi",IF(D539&gt;0.005,"Tegangan Terkontrol","EROR")))</f>
        <v>Tegangan Terkontrol</v>
      </c>
      <c r="I540" s="365"/>
    </row>
    <row r="541" spans="1:9" ht="18.75" customHeight="1" x14ac:dyDescent="0.25">
      <c r="A541" s="209"/>
      <c r="B541" s="123"/>
      <c r="C541" s="9"/>
      <c r="D541" s="9"/>
      <c r="E541" s="9"/>
      <c r="F541" s="9"/>
      <c r="G541" s="42"/>
      <c r="H541" s="144"/>
      <c r="I541" s="144"/>
    </row>
    <row r="542" spans="1:9" ht="18.75" customHeight="1" x14ac:dyDescent="0.25">
      <c r="A542" s="209"/>
      <c r="B542" s="123" t="s">
        <v>227</v>
      </c>
      <c r="C542" s="9"/>
      <c r="D542" s="9"/>
      <c r="E542" s="9"/>
      <c r="F542" s="9"/>
      <c r="G542" s="124" t="str">
        <f>IF(D539&lt;=F539,"φ =",IF(D539&lt;0.005,"φ = 0,65 + 0,25 * (εs' - εs-yield)/(0,005 - εs-yield) =",IF(D539&gt;0.005,"φ =","EROR")))</f>
        <v>φ =</v>
      </c>
      <c r="H542" s="22">
        <f>'Process (2)'!H250</f>
        <v>0.9</v>
      </c>
      <c r="I542" s="193"/>
    </row>
    <row r="543" spans="1:9" ht="18.75" customHeight="1" x14ac:dyDescent="0.25">
      <c r="A543" s="209"/>
      <c r="B543" s="123" t="s">
        <v>228</v>
      </c>
      <c r="C543" s="9"/>
      <c r="D543" s="9"/>
      <c r="E543" s="9"/>
      <c r="F543" s="9"/>
      <c r="G543" s="44" t="s">
        <v>229</v>
      </c>
      <c r="H543" s="19">
        <f>'Process (2)'!H251</f>
        <v>172.50484235481045</v>
      </c>
      <c r="I543" s="193" t="s">
        <v>2</v>
      </c>
    </row>
    <row r="544" spans="1:9" ht="18.75" customHeight="1" x14ac:dyDescent="0.25">
      <c r="A544" s="209"/>
      <c r="B544" s="123" t="s">
        <v>307</v>
      </c>
      <c r="C544" s="9"/>
      <c r="D544" s="9"/>
      <c r="E544" s="9"/>
      <c r="F544" s="9"/>
      <c r="G544" s="44"/>
      <c r="H544" s="133"/>
      <c r="I544" s="193"/>
    </row>
    <row r="545" spans="1:9" ht="18.75" customHeight="1" x14ac:dyDescent="0.25">
      <c r="A545" s="209"/>
      <c r="C545" s="9" t="s">
        <v>4</v>
      </c>
      <c r="D545" s="156" t="s">
        <v>230</v>
      </c>
      <c r="E545" s="31" t="s">
        <v>120</v>
      </c>
      <c r="F545" s="156" t="s">
        <v>231</v>
      </c>
      <c r="G545" s="9"/>
      <c r="H545" s="9"/>
      <c r="I545" s="193"/>
    </row>
    <row r="546" spans="1:9" ht="18.75" customHeight="1" x14ac:dyDescent="0.25">
      <c r="A546" s="209"/>
      <c r="B546" s="9"/>
      <c r="C546" s="9"/>
      <c r="D546" s="19">
        <f>'Process (2)'!D254</f>
        <v>155.2543581193294</v>
      </c>
      <c r="E546" s="31" t="str">
        <f>IF(D546&gt;F546,"&gt;","&lt;")</f>
        <v>&gt;</v>
      </c>
      <c r="F546" s="19">
        <f>'Process (2)'!F254</f>
        <v>54.811468593749993</v>
      </c>
      <c r="G546" s="42" t="s">
        <v>3</v>
      </c>
      <c r="H546" s="129" t="str">
        <f>IF(D546&gt;=F546,"AMAN  (OK)","BAHAYA  (NG)")</f>
        <v>AMAN  (OK)</v>
      </c>
      <c r="I546" s="193"/>
    </row>
    <row r="547" spans="1:9" ht="18.75" customHeight="1" x14ac:dyDescent="0.25">
      <c r="A547" s="155"/>
      <c r="B547" s="32"/>
      <c r="C547" s="2"/>
      <c r="H547" s="2"/>
      <c r="I547" s="191"/>
    </row>
    <row r="548" spans="1:9" ht="18.75" customHeight="1" x14ac:dyDescent="0.25">
      <c r="A548" s="208" t="s">
        <v>439</v>
      </c>
      <c r="B548" s="63" t="s">
        <v>286</v>
      </c>
      <c r="C548" s="113"/>
      <c r="D548" s="113"/>
      <c r="E548" s="113"/>
      <c r="F548" s="113"/>
      <c r="G548" s="113"/>
      <c r="H548" s="113"/>
      <c r="I548" s="192"/>
    </row>
    <row r="549" spans="1:9" ht="18.75" customHeight="1" x14ac:dyDescent="0.25">
      <c r="A549" s="155"/>
      <c r="B549" s="2" t="s">
        <v>252</v>
      </c>
      <c r="C549" s="2"/>
      <c r="D549" s="2"/>
      <c r="E549" s="2"/>
      <c r="F549" s="2"/>
      <c r="G549" s="25" t="s">
        <v>426</v>
      </c>
      <c r="H549" s="30">
        <f>'Process (2)'!H257</f>
        <v>45.567289062499988</v>
      </c>
      <c r="I549" s="191" t="s">
        <v>156</v>
      </c>
    </row>
    <row r="550" spans="1:9" ht="18.75" customHeight="1" x14ac:dyDescent="0.25">
      <c r="A550" s="155"/>
      <c r="B550" s="2" t="s">
        <v>157</v>
      </c>
      <c r="C550" s="2"/>
      <c r="G550" s="25" t="s">
        <v>366</v>
      </c>
      <c r="H550" s="16">
        <f>'Process (2)'!H258</f>
        <v>1600</v>
      </c>
      <c r="I550" s="191" t="s">
        <v>0</v>
      </c>
    </row>
    <row r="551" spans="1:9" ht="18.75" customHeight="1" x14ac:dyDescent="0.25">
      <c r="A551" s="155"/>
      <c r="B551" s="2" t="s">
        <v>158</v>
      </c>
      <c r="C551" s="2"/>
      <c r="G551" s="25" t="s">
        <v>159</v>
      </c>
      <c r="H551" s="16">
        <f>'Process (2)'!H259</f>
        <v>400</v>
      </c>
      <c r="I551" s="191" t="s">
        <v>0</v>
      </c>
    </row>
    <row r="552" spans="1:9" ht="18.75" customHeight="1" x14ac:dyDescent="0.25">
      <c r="A552" s="155"/>
      <c r="B552" s="2" t="s">
        <v>160</v>
      </c>
      <c r="C552" s="2"/>
      <c r="G552" s="25" t="s">
        <v>292</v>
      </c>
      <c r="H552" s="16">
        <f>'Process (2)'!H260</f>
        <v>124</v>
      </c>
      <c r="I552" s="191" t="s">
        <v>0</v>
      </c>
    </row>
    <row r="553" spans="1:9" ht="18.75" customHeight="1" x14ac:dyDescent="0.25">
      <c r="A553" s="155"/>
      <c r="B553" s="2" t="s">
        <v>161</v>
      </c>
      <c r="C553" s="2"/>
      <c r="G553" s="25" t="s">
        <v>111</v>
      </c>
      <c r="H553" s="16">
        <f>'Process (2)'!H261</f>
        <v>276</v>
      </c>
      <c r="I553" s="191" t="s">
        <v>0</v>
      </c>
    </row>
    <row r="554" spans="1:9" ht="18.75" customHeight="1" x14ac:dyDescent="0.25">
      <c r="A554" s="155"/>
      <c r="B554" s="2" t="s">
        <v>162</v>
      </c>
      <c r="C554" s="2"/>
      <c r="G554" s="120" t="s">
        <v>163</v>
      </c>
      <c r="H554" s="16">
        <f>'Process (2)'!H262</f>
        <v>30</v>
      </c>
      <c r="I554" s="191" t="s">
        <v>67</v>
      </c>
    </row>
    <row r="555" spans="1:9" ht="18.75" customHeight="1" x14ac:dyDescent="0.25">
      <c r="A555" s="155"/>
      <c r="B555" s="2" t="s">
        <v>164</v>
      </c>
      <c r="C555" s="2"/>
      <c r="G555" s="25" t="s">
        <v>165</v>
      </c>
      <c r="H555" s="16">
        <f>'Process (2)'!H263</f>
        <v>400</v>
      </c>
      <c r="I555" s="191" t="s">
        <v>67</v>
      </c>
    </row>
    <row r="556" spans="1:9" ht="18.75" customHeight="1" x14ac:dyDescent="0.25">
      <c r="A556" s="155"/>
      <c r="B556" s="121" t="s">
        <v>71</v>
      </c>
      <c r="C556" s="2"/>
      <c r="G556" s="25" t="s">
        <v>166</v>
      </c>
      <c r="H556" s="17">
        <f>'Process (2)'!H264</f>
        <v>200000</v>
      </c>
      <c r="I556" s="191" t="s">
        <v>67</v>
      </c>
    </row>
    <row r="557" spans="1:9" ht="18.75" customHeight="1" x14ac:dyDescent="0.25">
      <c r="A557" s="155"/>
      <c r="B557" s="121"/>
      <c r="C557" s="2"/>
      <c r="G557" s="25"/>
      <c r="H557" s="259"/>
      <c r="I557" s="191"/>
    </row>
    <row r="558" spans="1:9" ht="18.75" customHeight="1" x14ac:dyDescent="0.25">
      <c r="A558" s="209"/>
      <c r="B558" s="9" t="s">
        <v>167</v>
      </c>
      <c r="C558" s="9"/>
      <c r="D558" s="9"/>
      <c r="E558" s="9"/>
      <c r="F558" s="9"/>
      <c r="G558" s="44" t="s">
        <v>168</v>
      </c>
      <c r="H558" s="18" t="str">
        <f>'Process (2)'!H266</f>
        <v>-</v>
      </c>
      <c r="I558" s="193"/>
    </row>
    <row r="559" spans="1:9" ht="18.75" customHeight="1" x14ac:dyDescent="0.25">
      <c r="A559" s="209"/>
      <c r="B559" s="9" t="s">
        <v>169</v>
      </c>
      <c r="C559" s="9"/>
      <c r="D559" s="9"/>
      <c r="E559" s="9"/>
      <c r="F559" s="9"/>
      <c r="G559" s="44" t="s">
        <v>279</v>
      </c>
      <c r="H559" s="19">
        <f>'Process (2)'!H267</f>
        <v>0.83571428571428574</v>
      </c>
      <c r="I559" s="193"/>
    </row>
    <row r="560" spans="1:9" ht="18.75" customHeight="1" x14ac:dyDescent="0.25">
      <c r="A560" s="209"/>
      <c r="B560" s="9" t="s">
        <v>170</v>
      </c>
      <c r="C560" s="9"/>
      <c r="D560" s="9"/>
      <c r="E560" s="9"/>
      <c r="F560" s="9"/>
      <c r="G560" s="44" t="s">
        <v>168</v>
      </c>
      <c r="H560" s="19" t="str">
        <f>'Process (2)'!H268</f>
        <v>-</v>
      </c>
      <c r="I560" s="193"/>
    </row>
    <row r="561" spans="1:9" ht="18.75" customHeight="1" x14ac:dyDescent="0.25">
      <c r="A561" s="209"/>
      <c r="B561" s="9" t="s">
        <v>171</v>
      </c>
      <c r="C561" s="9"/>
      <c r="D561" s="9"/>
      <c r="F561" s="42" t="s">
        <v>3</v>
      </c>
      <c r="G561" s="44" t="s">
        <v>168</v>
      </c>
      <c r="H561" s="19">
        <f>'Process (2)'!H269</f>
        <v>0.83571428571428574</v>
      </c>
      <c r="I561" s="193"/>
    </row>
    <row r="562" spans="1:9" ht="18.75" customHeight="1" x14ac:dyDescent="0.25">
      <c r="A562" s="209"/>
      <c r="B562" s="9" t="s">
        <v>172</v>
      </c>
      <c r="C562" s="9"/>
      <c r="D562" s="9"/>
      <c r="E562" s="42"/>
      <c r="F562" s="9"/>
      <c r="G562" s="44"/>
      <c r="H562" s="31"/>
      <c r="I562" s="193"/>
    </row>
    <row r="563" spans="1:9" ht="18.75" customHeight="1" x14ac:dyDescent="0.25">
      <c r="A563" s="209"/>
      <c r="B563" s="9"/>
      <c r="C563" s="9"/>
      <c r="D563" s="9"/>
      <c r="E563" s="9"/>
      <c r="F563" s="9"/>
      <c r="G563" s="44" t="s">
        <v>173</v>
      </c>
      <c r="H563" s="20">
        <f>'Process (2)'!H271</f>
        <v>3.1966071428571427E-2</v>
      </c>
      <c r="I563" s="193"/>
    </row>
    <row r="564" spans="1:9" ht="18.75" customHeight="1" x14ac:dyDescent="0.25">
      <c r="A564" s="209"/>
      <c r="B564" s="9" t="s">
        <v>174</v>
      </c>
      <c r="C564" s="122"/>
      <c r="D564" s="31"/>
      <c r="E564" s="123"/>
      <c r="F564" s="9"/>
      <c r="G564" s="44" t="s">
        <v>175</v>
      </c>
      <c r="H564" s="20">
        <f>'Process (2)'!H272</f>
        <v>2.397455357142857E-2</v>
      </c>
      <c r="I564" s="193"/>
    </row>
    <row r="565" spans="1:9" ht="18.75" customHeight="1" x14ac:dyDescent="0.25">
      <c r="A565" s="209"/>
      <c r="B565" s="9" t="s">
        <v>176</v>
      </c>
      <c r="C565" s="9"/>
      <c r="D565" s="123" t="s">
        <v>177</v>
      </c>
      <c r="E565" s="9"/>
      <c r="F565" s="9"/>
      <c r="G565" s="44" t="s">
        <v>178</v>
      </c>
      <c r="H565" s="20">
        <f>'Process (2)'!H273</f>
        <v>3.4232659844072883E-3</v>
      </c>
      <c r="I565" s="193"/>
    </row>
    <row r="566" spans="1:9" ht="18.75" customHeight="1" x14ac:dyDescent="0.25">
      <c r="A566" s="209"/>
      <c r="B566" s="9"/>
      <c r="C566" s="9"/>
      <c r="D566" s="9" t="s">
        <v>179</v>
      </c>
      <c r="E566" s="9"/>
      <c r="F566" s="9"/>
      <c r="G566" s="44" t="s">
        <v>180</v>
      </c>
      <c r="H566" s="20">
        <f>'Process (2)'!H274</f>
        <v>3.4999999999999996E-3</v>
      </c>
      <c r="I566" s="193"/>
    </row>
    <row r="567" spans="1:9" ht="18.75" customHeight="1" x14ac:dyDescent="0.25">
      <c r="A567" s="209"/>
      <c r="B567" s="9"/>
      <c r="C567" s="9"/>
      <c r="D567" s="9"/>
      <c r="E567" s="9"/>
      <c r="F567" s="9"/>
      <c r="G567" s="44"/>
      <c r="H567" s="21"/>
      <c r="I567" s="193"/>
    </row>
    <row r="568" spans="1:9" ht="18.75" customHeight="1" x14ac:dyDescent="0.25">
      <c r="A568" s="209"/>
      <c r="B568" s="9" t="s">
        <v>181</v>
      </c>
      <c r="C568" s="9"/>
      <c r="D568" s="9"/>
      <c r="E568" s="44"/>
      <c r="F568" s="9"/>
      <c r="G568" s="44" t="s">
        <v>182</v>
      </c>
      <c r="H568" s="22">
        <f>'Process (2)'!H276</f>
        <v>0.85</v>
      </c>
      <c r="I568" s="193"/>
    </row>
    <row r="569" spans="1:9" ht="18.75" customHeight="1" x14ac:dyDescent="0.25">
      <c r="A569" s="209"/>
      <c r="B569" s="9" t="s">
        <v>183</v>
      </c>
      <c r="C569" s="9"/>
      <c r="D569" s="9"/>
      <c r="E569" s="44"/>
      <c r="F569" s="9"/>
      <c r="G569" s="44" t="s">
        <v>232</v>
      </c>
      <c r="H569" s="19">
        <f>'Process (2)'!H277</f>
        <v>45.567289062499988</v>
      </c>
      <c r="I569" s="193" t="s">
        <v>2</v>
      </c>
    </row>
    <row r="570" spans="1:9" ht="18.75" customHeight="1" x14ac:dyDescent="0.25">
      <c r="A570" s="209"/>
      <c r="B570" s="9" t="s">
        <v>185</v>
      </c>
      <c r="C570" s="9"/>
      <c r="D570" s="9"/>
      <c r="E570" s="44"/>
      <c r="F570" s="9"/>
      <c r="G570" s="44" t="s">
        <v>186</v>
      </c>
      <c r="H570" s="19">
        <f>'Process (2)'!H278</f>
        <v>53.608575367647049</v>
      </c>
      <c r="I570" s="193" t="s">
        <v>2</v>
      </c>
    </row>
    <row r="571" spans="1:9" ht="18.75" customHeight="1" x14ac:dyDescent="0.25">
      <c r="A571" s="209"/>
      <c r="B571" s="9" t="s">
        <v>187</v>
      </c>
      <c r="C571" s="9"/>
      <c r="D571" s="9"/>
      <c r="E571" s="9"/>
      <c r="F571" s="9"/>
      <c r="G571" s="124" t="s">
        <v>188</v>
      </c>
      <c r="H571" s="19">
        <f>'Process (2)'!H279</f>
        <v>0.43984141468151922</v>
      </c>
      <c r="I571" s="187"/>
    </row>
    <row r="572" spans="1:9" ht="18.75" customHeight="1" x14ac:dyDescent="0.25">
      <c r="A572" s="209"/>
      <c r="B572" s="9" t="s">
        <v>189</v>
      </c>
      <c r="C572" s="9"/>
      <c r="D572" s="9"/>
      <c r="E572" s="9"/>
      <c r="F572" s="9"/>
      <c r="G572" s="44" t="s">
        <v>190</v>
      </c>
      <c r="H572" s="19">
        <f>'Process (2)'!H280</f>
        <v>15.686274509803921</v>
      </c>
      <c r="I572" s="188"/>
    </row>
    <row r="573" spans="1:9" ht="18.75" customHeight="1" x14ac:dyDescent="0.25">
      <c r="A573" s="209"/>
      <c r="B573" s="9" t="s">
        <v>191</v>
      </c>
      <c r="C573" s="9"/>
      <c r="D573" s="9"/>
      <c r="E573" s="9"/>
      <c r="F573" s="9"/>
      <c r="G573" s="124" t="s">
        <v>192</v>
      </c>
      <c r="H573" s="20">
        <f>'Process (2)'!H281</f>
        <v>1.1092540827436696E-3</v>
      </c>
      <c r="I573" s="187"/>
    </row>
    <row r="574" spans="1:9" ht="18.75" customHeight="1" x14ac:dyDescent="0.25">
      <c r="A574" s="209"/>
      <c r="B574" s="9" t="s">
        <v>193</v>
      </c>
      <c r="C574" s="9"/>
      <c r="D574" s="9"/>
      <c r="E574" s="9"/>
      <c r="F574" s="44"/>
      <c r="G574" s="127"/>
      <c r="H574" s="123"/>
      <c r="I574" s="205"/>
    </row>
    <row r="575" spans="1:9" ht="18.75" customHeight="1" x14ac:dyDescent="0.25">
      <c r="A575" s="209"/>
      <c r="B575" s="9"/>
      <c r="C575" s="9" t="s">
        <v>4</v>
      </c>
      <c r="D575" s="31" t="s">
        <v>194</v>
      </c>
      <c r="E575" s="31" t="s">
        <v>195</v>
      </c>
      <c r="F575" s="31" t="s">
        <v>196</v>
      </c>
      <c r="G575" s="44"/>
      <c r="H575" s="127"/>
      <c r="I575" s="205"/>
    </row>
    <row r="576" spans="1:9" ht="18.75" customHeight="1" x14ac:dyDescent="0.25">
      <c r="A576" s="209"/>
      <c r="B576" s="9"/>
      <c r="C576" s="9"/>
      <c r="D576" s="127">
        <f>'Process (2)'!D284</f>
        <v>3.4232659844072883E-3</v>
      </c>
      <c r="E576" s="127">
        <f>'Process (2)'!E284</f>
        <v>1.1092540827436696E-3</v>
      </c>
      <c r="F576" s="127">
        <f>'Process (2)'!F284</f>
        <v>2.397455357142857E-2</v>
      </c>
      <c r="G576" s="42" t="s">
        <v>3</v>
      </c>
      <c r="H576" s="129" t="str">
        <f>IF(D576&lt;E576,(IF(E576&lt;F576,"[ OK ]","[ NOT OK ]")),"[ Pakai ρmin ]")</f>
        <v>[ Pakai ρmin ]</v>
      </c>
      <c r="I576" s="205"/>
    </row>
    <row r="577" spans="1:9" ht="18.75" customHeight="1" x14ac:dyDescent="0.25">
      <c r="A577" s="209"/>
      <c r="B577" s="9"/>
      <c r="C577" s="9"/>
      <c r="D577" s="9"/>
      <c r="E577" s="9"/>
      <c r="F577" s="9"/>
      <c r="G577" s="44"/>
      <c r="H577" s="31"/>
      <c r="I577" s="205"/>
    </row>
    <row r="578" spans="1:9" ht="18.75" customHeight="1" x14ac:dyDescent="0.25">
      <c r="A578" s="209"/>
      <c r="B578" s="9" t="s">
        <v>197</v>
      </c>
      <c r="C578" s="9"/>
      <c r="D578" s="9"/>
      <c r="E578" s="9"/>
      <c r="F578" s="9"/>
      <c r="G578" s="44" t="s">
        <v>198</v>
      </c>
      <c r="H578" s="20">
        <f>'Process (2)'!H286</f>
        <v>3.4232659844072883E-3</v>
      </c>
      <c r="I578" s="188"/>
    </row>
    <row r="579" spans="1:9" ht="18.75" customHeight="1" x14ac:dyDescent="0.25">
      <c r="A579" s="209"/>
      <c r="B579" s="9"/>
      <c r="C579" s="127"/>
      <c r="D579" s="127"/>
      <c r="E579" s="127"/>
      <c r="F579" s="42"/>
      <c r="G579" s="129"/>
      <c r="H579" s="123"/>
      <c r="I579" s="205"/>
    </row>
    <row r="580" spans="1:9" ht="18.75" customHeight="1" x14ac:dyDescent="0.25">
      <c r="A580" s="209"/>
      <c r="B580" s="9" t="s">
        <v>199</v>
      </c>
      <c r="C580" s="9"/>
      <c r="D580" s="9"/>
      <c r="E580" s="9"/>
      <c r="F580" s="9"/>
      <c r="G580" s="44" t="s">
        <v>200</v>
      </c>
      <c r="H580" s="157">
        <f>'Process (2)'!H288</f>
        <v>1511.7142587142584</v>
      </c>
      <c r="I580" s="193" t="s">
        <v>201</v>
      </c>
    </row>
    <row r="581" spans="1:9" ht="18.75" customHeight="1" x14ac:dyDescent="0.25">
      <c r="A581" s="209"/>
      <c r="B581" s="9" t="s">
        <v>202</v>
      </c>
      <c r="C581" s="9"/>
      <c r="D581" s="9"/>
      <c r="E581" s="9"/>
      <c r="F581" s="9"/>
      <c r="G581" s="44" t="s">
        <v>203</v>
      </c>
      <c r="H581" s="157">
        <f>'Process (2)'!H289</f>
        <v>212.80416313675971</v>
      </c>
      <c r="I581" s="193" t="s">
        <v>0</v>
      </c>
    </row>
    <row r="582" spans="1:9" ht="18.75" customHeight="1" x14ac:dyDescent="0.25">
      <c r="A582" s="209"/>
      <c r="B582" s="9" t="s">
        <v>204</v>
      </c>
      <c r="C582" s="9"/>
      <c r="D582" s="9"/>
      <c r="E582" s="9"/>
      <c r="F582" s="9"/>
      <c r="G582" s="44" t="s">
        <v>290</v>
      </c>
      <c r="H582" s="157">
        <f>'Process (2)'!H290</f>
        <v>1200</v>
      </c>
      <c r="I582" s="193" t="s">
        <v>0</v>
      </c>
    </row>
    <row r="583" spans="1:9" ht="18.75" customHeight="1" x14ac:dyDescent="0.25">
      <c r="A583" s="209"/>
      <c r="B583" s="9" t="s">
        <v>204</v>
      </c>
      <c r="C583" s="9"/>
      <c r="D583" s="9"/>
      <c r="E583" s="9"/>
      <c r="F583" s="9"/>
      <c r="G583" s="44" t="s">
        <v>205</v>
      </c>
      <c r="H583" s="157">
        <f>'Process (2)'!H291</f>
        <v>450</v>
      </c>
      <c r="I583" s="193" t="s">
        <v>0</v>
      </c>
    </row>
    <row r="584" spans="1:9" ht="18.75" customHeight="1" x14ac:dyDescent="0.25">
      <c r="A584" s="209"/>
      <c r="B584" s="9" t="s">
        <v>206</v>
      </c>
      <c r="C584" s="9"/>
      <c r="D584" s="9"/>
      <c r="E584" s="9"/>
      <c r="F584" s="9"/>
      <c r="G584" s="44" t="s">
        <v>207</v>
      </c>
      <c r="H584" s="157">
        <f>'Process (2)'!H292</f>
        <v>212.80416313675971</v>
      </c>
      <c r="I584" s="193" t="s">
        <v>0</v>
      </c>
    </row>
    <row r="585" spans="1:9" ht="18.75" customHeight="1" x14ac:dyDescent="0.25">
      <c r="A585" s="209"/>
      <c r="B585" s="9" t="s">
        <v>208</v>
      </c>
      <c r="C585" s="9"/>
      <c r="D585" s="9"/>
      <c r="E585" s="9"/>
      <c r="F585" s="42" t="s">
        <v>3</v>
      </c>
      <c r="G585" s="44" t="s">
        <v>207</v>
      </c>
      <c r="H585" s="158">
        <f>'Process (2)'!H293</f>
        <v>200</v>
      </c>
      <c r="I585" s="193" t="s">
        <v>0</v>
      </c>
    </row>
    <row r="586" spans="1:9" ht="18.75" customHeight="1" x14ac:dyDescent="0.25">
      <c r="A586" s="209"/>
      <c r="B586" s="9" t="s">
        <v>209</v>
      </c>
      <c r="C586" s="9"/>
      <c r="D586" s="9"/>
      <c r="G586" s="284"/>
      <c r="H586" s="406" t="str">
        <f>'Process (2)'!H294</f>
        <v>D16  -  200</v>
      </c>
      <c r="I586" s="193"/>
    </row>
    <row r="587" spans="1:9" ht="18.75" customHeight="1" x14ac:dyDescent="0.25">
      <c r="A587" s="209"/>
      <c r="B587" s="9" t="s">
        <v>210</v>
      </c>
      <c r="C587" s="9"/>
      <c r="D587" s="9"/>
      <c r="E587" s="9"/>
      <c r="F587" s="9"/>
      <c r="G587" s="44" t="s">
        <v>211</v>
      </c>
      <c r="H587" s="159">
        <f>'Process (2)'!H295</f>
        <v>1608.4954386379741</v>
      </c>
      <c r="I587" s="193" t="s">
        <v>201</v>
      </c>
    </row>
    <row r="588" spans="1:9" ht="18.75" customHeight="1" x14ac:dyDescent="0.25">
      <c r="A588" s="209"/>
      <c r="B588" s="9"/>
      <c r="C588" s="9"/>
      <c r="D588" s="9"/>
      <c r="E588" s="9"/>
      <c r="F588" s="9"/>
      <c r="G588" s="9"/>
      <c r="H588" s="9"/>
      <c r="I588" s="193"/>
    </row>
    <row r="589" spans="1:9" ht="18.75" customHeight="1" x14ac:dyDescent="0.25">
      <c r="A589" s="209"/>
      <c r="B589" s="9" t="s">
        <v>212</v>
      </c>
      <c r="C589" s="9"/>
      <c r="D589" s="9"/>
      <c r="E589" s="9"/>
      <c r="F589" s="9"/>
      <c r="G589" s="44" t="s">
        <v>213</v>
      </c>
      <c r="H589" s="145">
        <f>'Process (2)'!H297</f>
        <v>643.39817545518963</v>
      </c>
      <c r="I589" s="206" t="s">
        <v>5</v>
      </c>
    </row>
    <row r="590" spans="1:9" ht="18.75" customHeight="1" x14ac:dyDescent="0.25">
      <c r="A590" s="209"/>
      <c r="B590" s="9" t="s">
        <v>214</v>
      </c>
      <c r="C590" s="9"/>
      <c r="D590" s="9"/>
      <c r="E590" s="31"/>
      <c r="F590" s="9"/>
      <c r="G590" s="44" t="s">
        <v>215</v>
      </c>
      <c r="H590" s="212" t="str">
        <f>'Process (2)'!H298</f>
        <v>34,10 * c</v>
      </c>
      <c r="I590" s="193" t="s">
        <v>5</v>
      </c>
    </row>
    <row r="591" spans="1:9" ht="18.75" customHeight="1" x14ac:dyDescent="0.25">
      <c r="A591" s="209"/>
      <c r="B591" s="123" t="s">
        <v>216</v>
      </c>
      <c r="C591" s="9"/>
      <c r="D591" s="9"/>
      <c r="E591" s="9"/>
      <c r="F591" s="9"/>
      <c r="G591" s="44" t="s">
        <v>217</v>
      </c>
      <c r="H591" s="193" t="s">
        <v>504</v>
      </c>
      <c r="I591" s="207"/>
    </row>
    <row r="592" spans="1:9" ht="18.75" customHeight="1" x14ac:dyDescent="0.25">
      <c r="A592" s="209"/>
      <c r="B592" s="123"/>
      <c r="C592" s="9"/>
      <c r="D592" s="9"/>
      <c r="E592" s="9"/>
      <c r="G592" s="120" t="str">
        <f>'Process (2)'!G301</f>
        <v>34,10 * c =</v>
      </c>
      <c r="H592" s="206">
        <f>'Process (2)'!H301</f>
        <v>643.39817545518963</v>
      </c>
      <c r="I592" s="193"/>
    </row>
    <row r="593" spans="1:9" ht="18.75" customHeight="1" x14ac:dyDescent="0.25">
      <c r="A593" s="209"/>
      <c r="B593" s="9"/>
      <c r="C593" s="9"/>
      <c r="D593" s="9"/>
      <c r="E593" s="9"/>
      <c r="F593" s="9"/>
      <c r="G593" s="44"/>
      <c r="H593" s="133"/>
      <c r="I593" s="206"/>
    </row>
    <row r="594" spans="1:9" ht="18.75" customHeight="1" x14ac:dyDescent="0.25">
      <c r="A594" s="209"/>
      <c r="B594" s="123" t="s">
        <v>219</v>
      </c>
      <c r="C594" s="44"/>
      <c r="D594" s="9"/>
      <c r="E594" s="31"/>
      <c r="F594" s="123"/>
      <c r="G594" s="44" t="s">
        <v>6</v>
      </c>
      <c r="H594" s="22">
        <f>'Process (2)'!H303</f>
        <v>18.869562712361013</v>
      </c>
      <c r="I594" s="206" t="s">
        <v>0</v>
      </c>
    </row>
    <row r="595" spans="1:9" ht="18.75" customHeight="1" x14ac:dyDescent="0.25">
      <c r="A595" s="209"/>
      <c r="B595" s="9" t="s">
        <v>214</v>
      </c>
      <c r="C595" s="31"/>
      <c r="D595" s="9"/>
      <c r="E595" s="31"/>
      <c r="F595" s="9"/>
      <c r="G595" s="44" t="s">
        <v>220</v>
      </c>
      <c r="H595" s="19">
        <f>'Process (2)'!H304</f>
        <v>643.39817545518963</v>
      </c>
      <c r="I595" s="206" t="s">
        <v>5</v>
      </c>
    </row>
    <row r="596" spans="1:9" ht="18.75" customHeight="1" x14ac:dyDescent="0.25">
      <c r="A596" s="209"/>
      <c r="B596" s="9" t="s">
        <v>212</v>
      </c>
      <c r="C596" s="31"/>
      <c r="D596" s="9"/>
      <c r="E596" s="31"/>
      <c r="F596" s="9"/>
      <c r="G596" s="44" t="s">
        <v>221</v>
      </c>
      <c r="H596" s="19">
        <f>'Process (2)'!H305</f>
        <v>643.39817545518963</v>
      </c>
      <c r="I596" s="206" t="s">
        <v>5</v>
      </c>
    </row>
    <row r="597" spans="1:9" ht="18.75" customHeight="1" x14ac:dyDescent="0.25">
      <c r="A597" s="209"/>
      <c r="B597" s="123"/>
      <c r="C597" s="9"/>
      <c r="D597" s="9"/>
      <c r="E597" s="9"/>
      <c r="F597" s="44"/>
      <c r="G597" s="31"/>
      <c r="H597" s="123"/>
      <c r="I597" s="205"/>
    </row>
    <row r="598" spans="1:9" ht="18.75" customHeight="1" x14ac:dyDescent="0.25">
      <c r="A598" s="209"/>
      <c r="B598" s="123" t="s">
        <v>222</v>
      </c>
      <c r="C598" s="9"/>
      <c r="D598" s="9"/>
      <c r="E598" s="9"/>
      <c r="F598" s="44"/>
      <c r="G598" s="31"/>
      <c r="H598" s="123"/>
      <c r="I598" s="205"/>
    </row>
    <row r="599" spans="1:9" ht="18.75" customHeight="1" x14ac:dyDescent="0.25">
      <c r="A599" s="209"/>
      <c r="B599" s="123"/>
      <c r="C599" s="123" t="s">
        <v>223</v>
      </c>
      <c r="D599" s="9"/>
      <c r="E599" s="9"/>
      <c r="F599" s="9"/>
      <c r="G599" s="44"/>
      <c r="H599" s="31"/>
      <c r="I599" s="193"/>
    </row>
    <row r="600" spans="1:9" ht="18.75" customHeight="1" x14ac:dyDescent="0.25">
      <c r="A600" s="209"/>
      <c r="B600" s="123"/>
      <c r="C600" s="123"/>
      <c r="D600" s="9" t="s">
        <v>224</v>
      </c>
      <c r="E600" s="9"/>
      <c r="F600" s="9" t="s">
        <v>225</v>
      </c>
      <c r="G600" s="44"/>
      <c r="H600" s="31"/>
      <c r="I600" s="193"/>
    </row>
    <row r="601" spans="1:9" ht="18.75" customHeight="1" x14ac:dyDescent="0.25">
      <c r="A601" s="209"/>
      <c r="B601" s="123"/>
      <c r="C601" s="9"/>
      <c r="D601" s="127">
        <f>'Process (2)'!D310</f>
        <v>4.0880190157114582E-2</v>
      </c>
      <c r="E601" s="31" t="str">
        <f>IF(D601&lt;F601,"&lt;","&gt;")</f>
        <v>&gt;</v>
      </c>
      <c r="F601" s="137">
        <f>'Process (2)'!F310</f>
        <v>2E-3</v>
      </c>
      <c r="G601" s="42" t="s">
        <v>3</v>
      </c>
      <c r="H601" s="144" t="str">
        <f>IF(D601&gt;=F601,"[ OK ]","[ NOT OK ]")</f>
        <v>[ OK ]</v>
      </c>
    </row>
    <row r="602" spans="1:9" ht="18.75" customHeight="1" x14ac:dyDescent="0.25">
      <c r="A602" s="209"/>
      <c r="B602" s="123" t="s">
        <v>226</v>
      </c>
      <c r="C602" s="9"/>
      <c r="D602" s="9"/>
      <c r="E602" s="9"/>
      <c r="F602" s="9"/>
      <c r="G602" s="42" t="s">
        <v>3</v>
      </c>
      <c r="H602" s="365" t="str">
        <f>IF(D601&lt;=F601,"Tekanan Terkontrol",IF(D601&lt;0.005,"Transisi",IF(D601&gt;0.005,"Tegangan Terkontrol","EROR")))</f>
        <v>Tegangan Terkontrol</v>
      </c>
      <c r="I602" s="365"/>
    </row>
    <row r="603" spans="1:9" ht="18.75" customHeight="1" x14ac:dyDescent="0.25">
      <c r="A603" s="209"/>
      <c r="B603" s="123"/>
      <c r="C603" s="9"/>
      <c r="D603" s="9"/>
      <c r="E603" s="9"/>
      <c r="F603" s="9"/>
      <c r="G603" s="42"/>
      <c r="H603" s="138"/>
      <c r="I603" s="193"/>
    </row>
    <row r="604" spans="1:9" ht="18.75" customHeight="1" x14ac:dyDescent="0.25">
      <c r="A604" s="209"/>
      <c r="B604" s="123" t="s">
        <v>227</v>
      </c>
      <c r="C604" s="9"/>
      <c r="D604" s="9"/>
      <c r="E604" s="9"/>
      <c r="F604" s="9"/>
      <c r="G604" s="124" t="str">
        <f>IF(D601&lt;=F601,"φ =",IF(D601&lt;0.005,"φ = 0,65 + 0,25 * (εs' - εs-yield)/(0,005 - εs-yield) =",IF(D601&gt;0.005,"φ =","EROR")))</f>
        <v>φ =</v>
      </c>
      <c r="H604" s="22">
        <f>'Process (2)'!H313</f>
        <v>0.9</v>
      </c>
      <c r="I604" s="193"/>
    </row>
    <row r="605" spans="1:9" ht="18.75" customHeight="1" x14ac:dyDescent="0.25">
      <c r="A605" s="209"/>
      <c r="B605" s="123" t="s">
        <v>228</v>
      </c>
      <c r="C605" s="9"/>
      <c r="D605" s="9"/>
      <c r="E605" s="9"/>
      <c r="F605" s="9"/>
      <c r="G605" s="44" t="s">
        <v>229</v>
      </c>
      <c r="H605" s="19">
        <f>'Process (2)'!H314</f>
        <v>172.50484235481045</v>
      </c>
      <c r="I605" s="193" t="s">
        <v>2</v>
      </c>
    </row>
    <row r="606" spans="1:9" ht="18.75" customHeight="1" x14ac:dyDescent="0.25">
      <c r="A606" s="209"/>
      <c r="B606" s="123" t="s">
        <v>307</v>
      </c>
      <c r="C606" s="9"/>
      <c r="D606" s="9"/>
      <c r="E606" s="9"/>
      <c r="F606" s="9"/>
      <c r="G606" s="44"/>
      <c r="H606" s="133"/>
      <c r="I606" s="193"/>
    </row>
    <row r="607" spans="1:9" ht="18.75" customHeight="1" x14ac:dyDescent="0.25">
      <c r="A607" s="209"/>
      <c r="C607" s="9" t="s">
        <v>4</v>
      </c>
      <c r="D607" s="156" t="s">
        <v>230</v>
      </c>
      <c r="E607" s="31" t="s">
        <v>120</v>
      </c>
      <c r="F607" s="156" t="s">
        <v>231</v>
      </c>
      <c r="G607" s="9"/>
      <c r="H607" s="9"/>
      <c r="I607" s="193"/>
    </row>
    <row r="608" spans="1:9" ht="18.75" customHeight="1" x14ac:dyDescent="0.25">
      <c r="A608" s="209"/>
      <c r="B608" s="9"/>
      <c r="C608" s="9"/>
      <c r="D608" s="19">
        <f>'Process (2)'!D317</f>
        <v>155.2543581193294</v>
      </c>
      <c r="E608" s="31" t="str">
        <f>IF(D608&gt;F608,"&gt;","&lt;")</f>
        <v>&gt;</v>
      </c>
      <c r="F608" s="19">
        <f>'Process (2)'!F317</f>
        <v>45.567289062499988</v>
      </c>
      <c r="G608" s="42" t="s">
        <v>3</v>
      </c>
      <c r="H608" s="129" t="str">
        <f>IF(D608&gt;=F608,"AMAN  (OK)","BAHAYA  (NG)")</f>
        <v>AMAN  (OK)</v>
      </c>
      <c r="I608" s="193"/>
    </row>
    <row r="609" spans="1:9" ht="18.75" customHeight="1" x14ac:dyDescent="0.25">
      <c r="A609" s="155"/>
      <c r="B609" s="114"/>
      <c r="C609" s="114"/>
      <c r="G609" s="25"/>
      <c r="H609" s="114"/>
      <c r="I609" s="191"/>
    </row>
    <row r="610" spans="1:9" ht="18.75" customHeight="1" x14ac:dyDescent="0.25">
      <c r="A610" s="208" t="s">
        <v>440</v>
      </c>
      <c r="B610" s="63" t="s">
        <v>288</v>
      </c>
      <c r="C610" s="113"/>
      <c r="D610" s="59"/>
      <c r="E610" s="59"/>
      <c r="F610" s="59"/>
      <c r="G610" s="59"/>
      <c r="H610" s="113"/>
      <c r="I610" s="192"/>
    </row>
    <row r="611" spans="1:9" ht="18.75" customHeight="1" x14ac:dyDescent="0.25">
      <c r="A611" s="155"/>
      <c r="B611" s="2" t="s">
        <v>234</v>
      </c>
      <c r="C611" s="2"/>
      <c r="G611" s="25" t="s">
        <v>235</v>
      </c>
      <c r="H611" s="5">
        <f>'Process (2)'!H320</f>
        <v>2E-3</v>
      </c>
      <c r="I611" s="191"/>
    </row>
    <row r="612" spans="1:9" ht="18.75" customHeight="1" x14ac:dyDescent="0.25">
      <c r="A612" s="155"/>
      <c r="B612" s="2" t="s">
        <v>236</v>
      </c>
      <c r="C612" s="2"/>
      <c r="G612" s="25" t="s">
        <v>237</v>
      </c>
      <c r="H612" s="16">
        <f>'Process (2)'!H321</f>
        <v>883.2</v>
      </c>
      <c r="I612" s="191" t="s">
        <v>201</v>
      </c>
    </row>
    <row r="613" spans="1:9" ht="18.75" customHeight="1" x14ac:dyDescent="0.25">
      <c r="A613" s="155"/>
      <c r="B613" s="2" t="s">
        <v>238</v>
      </c>
      <c r="C613" s="2"/>
      <c r="G613" s="25" t="s">
        <v>239</v>
      </c>
      <c r="H613" s="23">
        <f>'Process (2)'!H322</f>
        <v>883.2</v>
      </c>
      <c r="I613" s="191" t="s">
        <v>201</v>
      </c>
    </row>
    <row r="614" spans="1:9" ht="18.75" customHeight="1" x14ac:dyDescent="0.25">
      <c r="A614" s="155"/>
      <c r="B614" s="2" t="s">
        <v>240</v>
      </c>
      <c r="C614" s="27"/>
      <c r="G614" s="172"/>
      <c r="H614" s="148" t="str">
        <f>'Process (2)'!H323</f>
        <v>D13</v>
      </c>
      <c r="I614" s="191" t="s">
        <v>0</v>
      </c>
    </row>
    <row r="615" spans="1:9" ht="18.75" customHeight="1" x14ac:dyDescent="0.25">
      <c r="A615" s="155"/>
      <c r="B615" s="2" t="s">
        <v>243</v>
      </c>
      <c r="C615" s="27"/>
      <c r="G615" s="44" t="s">
        <v>290</v>
      </c>
      <c r="H615" s="16">
        <f>'Process (2)'!H324</f>
        <v>1200</v>
      </c>
      <c r="I615" s="191" t="s">
        <v>0</v>
      </c>
    </row>
    <row r="616" spans="1:9" ht="18.75" customHeight="1" x14ac:dyDescent="0.25">
      <c r="A616" s="155"/>
      <c r="B616" s="2"/>
      <c r="C616" s="27"/>
      <c r="G616" s="44" t="s">
        <v>291</v>
      </c>
      <c r="H616" s="16">
        <f>'Process (2)'!H325</f>
        <v>450</v>
      </c>
      <c r="I616" s="191"/>
    </row>
    <row r="617" spans="1:9" ht="18.75" customHeight="1" x14ac:dyDescent="0.25">
      <c r="A617" s="155"/>
      <c r="B617" s="2" t="s">
        <v>241</v>
      </c>
      <c r="C617" s="27"/>
      <c r="G617" s="25" t="s">
        <v>242</v>
      </c>
      <c r="H617" s="24">
        <f>'Process (2)'!H326</f>
        <v>240.45704640247965</v>
      </c>
      <c r="I617" s="191" t="s">
        <v>0</v>
      </c>
    </row>
    <row r="618" spans="1:9" ht="18.75" customHeight="1" x14ac:dyDescent="0.25">
      <c r="A618" s="155"/>
      <c r="B618" s="2" t="s">
        <v>244</v>
      </c>
      <c r="C618" s="27"/>
      <c r="F618" s="139"/>
      <c r="G618" s="44" t="s">
        <v>245</v>
      </c>
      <c r="H618" s="16">
        <f>'Process (2)'!H327</f>
        <v>200</v>
      </c>
      <c r="I618" s="191" t="s">
        <v>0</v>
      </c>
    </row>
    <row r="619" spans="1:9" ht="18.75" customHeight="1" x14ac:dyDescent="0.25">
      <c r="A619" s="155"/>
      <c r="B619" s="2" t="s">
        <v>246</v>
      </c>
      <c r="C619" s="2"/>
      <c r="G619" s="25" t="s">
        <v>247</v>
      </c>
      <c r="H619" s="16">
        <f>'Process (2)'!H328</f>
        <v>240.45704640247965</v>
      </c>
      <c r="I619" s="191" t="s">
        <v>0</v>
      </c>
    </row>
    <row r="620" spans="1:9" ht="18.75" customHeight="1" x14ac:dyDescent="0.25">
      <c r="A620" s="155"/>
      <c r="B620" s="2" t="s">
        <v>248</v>
      </c>
      <c r="C620" s="2"/>
      <c r="F620" s="139"/>
      <c r="G620" s="44" t="s">
        <v>249</v>
      </c>
      <c r="H620" s="16">
        <f>'Process (2)'!H329</f>
        <v>200</v>
      </c>
      <c r="I620" s="191" t="s">
        <v>0</v>
      </c>
    </row>
    <row r="621" spans="1:9" ht="18.75" customHeight="1" x14ac:dyDescent="0.25">
      <c r="A621" s="155"/>
      <c r="B621" s="2" t="s">
        <v>250</v>
      </c>
      <c r="C621" s="2"/>
      <c r="G621" s="285"/>
      <c r="H621" s="407" t="str">
        <f>'Process (2)'!H330</f>
        <v>D13  -  200</v>
      </c>
      <c r="I621" s="191"/>
    </row>
    <row r="622" spans="1:9" ht="18.75" customHeight="1" x14ac:dyDescent="0.25">
      <c r="A622" s="155"/>
      <c r="B622" s="2" t="s">
        <v>251</v>
      </c>
      <c r="C622" s="2"/>
      <c r="G622" s="285"/>
      <c r="H622" s="407" t="str">
        <f>'Process (2)'!H331</f>
        <v>D13  -  200</v>
      </c>
      <c r="I622" s="191"/>
    </row>
    <row r="623" spans="1:9" ht="18.75" customHeight="1" x14ac:dyDescent="0.25">
      <c r="A623" s="210"/>
      <c r="I623" s="3"/>
    </row>
    <row r="624" spans="1:9" ht="18.75" customHeight="1" x14ac:dyDescent="0.25">
      <c r="A624" s="155"/>
      <c r="I624" s="3"/>
    </row>
  </sheetData>
  <mergeCells count="77">
    <mergeCell ref="F206:H206"/>
    <mergeCell ref="E208:E209"/>
    <mergeCell ref="B212:I212"/>
    <mergeCell ref="H540:I540"/>
    <mergeCell ref="H602:I602"/>
    <mergeCell ref="B98:C98"/>
    <mergeCell ref="B99:C99"/>
    <mergeCell ref="B100:C100"/>
    <mergeCell ref="B101:C101"/>
    <mergeCell ref="B102:C102"/>
    <mergeCell ref="B103:C103"/>
    <mergeCell ref="B348:B350"/>
    <mergeCell ref="F348:F349"/>
    <mergeCell ref="G348:G349"/>
    <mergeCell ref="H348:H349"/>
    <mergeCell ref="B403:B405"/>
    <mergeCell ref="F403:F404"/>
    <mergeCell ref="G403:G404"/>
    <mergeCell ref="H403:H404"/>
    <mergeCell ref="A96:A97"/>
    <mergeCell ref="D96:D97"/>
    <mergeCell ref="B96:C97"/>
    <mergeCell ref="A1:I1"/>
    <mergeCell ref="A3:C6"/>
    <mergeCell ref="F3:I3"/>
    <mergeCell ref="F4:I4"/>
    <mergeCell ref="F5:I5"/>
    <mergeCell ref="F6:I6"/>
    <mergeCell ref="C68:D68"/>
    <mergeCell ref="G68:H68"/>
    <mergeCell ref="B54:F54"/>
    <mergeCell ref="B118:C119"/>
    <mergeCell ref="D118:D119"/>
    <mergeCell ref="E118:E119"/>
    <mergeCell ref="B120:C120"/>
    <mergeCell ref="B121:C121"/>
    <mergeCell ref="B122:C122"/>
    <mergeCell ref="B123:C123"/>
    <mergeCell ref="B124:C124"/>
    <mergeCell ref="B125:C125"/>
    <mergeCell ref="B127:C128"/>
    <mergeCell ref="G127:H127"/>
    <mergeCell ref="G128:H128"/>
    <mergeCell ref="B129:C129"/>
    <mergeCell ref="F129:F133"/>
    <mergeCell ref="G129:H129"/>
    <mergeCell ref="B130:C130"/>
    <mergeCell ref="G130:H130"/>
    <mergeCell ref="B131:C131"/>
    <mergeCell ref="G131:H131"/>
    <mergeCell ref="B132:C132"/>
    <mergeCell ref="G132:H132"/>
    <mergeCell ref="B133:C133"/>
    <mergeCell ref="G133:H133"/>
    <mergeCell ref="B250:C251"/>
    <mergeCell ref="D250:D251"/>
    <mergeCell ref="E250:E251"/>
    <mergeCell ref="B252:C252"/>
    <mergeCell ref="B253:C253"/>
    <mergeCell ref="B254:C254"/>
    <mergeCell ref="B255:C255"/>
    <mergeCell ref="B256:C256"/>
    <mergeCell ref="B257:C257"/>
    <mergeCell ref="B280:C281"/>
    <mergeCell ref="G280:H280"/>
    <mergeCell ref="G281:H281"/>
    <mergeCell ref="B282:C282"/>
    <mergeCell ref="F282:F286"/>
    <mergeCell ref="G282:H282"/>
    <mergeCell ref="B283:C283"/>
    <mergeCell ref="G283:H283"/>
    <mergeCell ref="B284:C284"/>
    <mergeCell ref="G284:H284"/>
    <mergeCell ref="B285:C285"/>
    <mergeCell ref="G285:H285"/>
    <mergeCell ref="B286:C286"/>
    <mergeCell ref="G286:H286"/>
  </mergeCells>
  <dataValidations count="1">
    <dataValidation type="list" allowBlank="1" showInputMessage="1" showErrorMessage="1" sqref="F5:I5" xr:uid="{9BE8EE57-F1B2-41FB-BC1F-ACCE0E1B0E2F}">
      <formula1>"Penulangan Daerah Lapangan, Penulangan Daerah Tumpuan"</formula1>
    </dataValidation>
  </dataValidations>
  <hyperlinks>
    <hyperlink ref="F6" r:id="rId1" display="indrakrajsuweda@gmail.com" xr:uid="{03FE8D60-0CEC-482E-BFAF-05E6C780E7DF}"/>
  </hyperlinks>
  <pageMargins left="0.7" right="0.7" top="0.75" bottom="0.75" header="0.3" footer="0.3"/>
  <pageSetup paperSize="9" orientation="portrait" horizontalDpi="4294967293" r:id="rId2"/>
  <headerFooter>
    <oddHeader xml:space="preserve">&amp;L&amp;K05-023Versi 1.1.0
&amp;C&amp;K05-023Page &amp;P&amp;R&amp;K05-023Release Date : Januari 2024
</oddHeader>
    <oddFooter xml:space="preserve">&amp;L&amp;K05-023Dapatkan program bantu spreadsheet ini hanya di https://www.inpetra.id/ </oddFooter>
  </headerFooter>
  <ignoredErrors>
    <ignoredError sqref="H10:H14 H33:H39 H78:H79 H82:H83 H614 H70:H71 H247:H248" unlockedFormula="1"/>
    <ignoredError sqref="I222" evalError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About</vt:lpstr>
      <vt:lpstr>Input Data</vt:lpstr>
      <vt:lpstr>Table</vt:lpstr>
      <vt:lpstr>Input Beban</vt:lpstr>
      <vt:lpstr>Process (1)</vt:lpstr>
      <vt:lpstr>Process (2)</vt:lpstr>
      <vt:lpstr>Result</vt:lpstr>
      <vt:lpstr>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indra raj suweda</dc:creator>
  <cp:lastModifiedBy>indra raj suweda</cp:lastModifiedBy>
  <cp:lastPrinted>2021-05-30T01:55:30Z</cp:lastPrinted>
  <dcterms:created xsi:type="dcterms:W3CDTF">2015-06-05T18:17:20Z</dcterms:created>
  <dcterms:modified xsi:type="dcterms:W3CDTF">2024-01-30T08:13:22Z</dcterms:modified>
</cp:coreProperties>
</file>