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d.docs.live.net/d1b751852d1dd4e2/[Portofolio] Jembatan 3 Bentang PC I Girder/Spreadsheet Perhitungan/"/>
    </mc:Choice>
  </mc:AlternateContent>
  <xr:revisionPtr revIDLastSave="2063" documentId="13_ncr:20001_{390E111F-067E-4C93-BE26-34BA5BFEAA99}" xr6:coauthVersionLast="47" xr6:coauthVersionMax="47" xr10:uidLastSave="{65EF29B0-0750-4E1C-90D4-056E6AC669FD}"/>
  <bookViews>
    <workbookView xWindow="-120" yWindow="-120" windowWidth="29040" windowHeight="15720" xr2:uid="{00000000-000D-0000-FFFF-FFFF00000000}"/>
  </bookViews>
  <sheets>
    <sheet name="About" sheetId="12" r:id="rId1"/>
    <sheet name="Input (1)" sheetId="6" r:id="rId2"/>
    <sheet name="Table" sheetId="19" state="hidden" r:id="rId3"/>
    <sheet name="Respon Spektrum" sheetId="20" state="hidden" r:id="rId4"/>
    <sheet name="Input (2)" sheetId="7" r:id="rId5"/>
    <sheet name="Process (1)" sheetId="8" r:id="rId6"/>
    <sheet name="Process (2)" sheetId="11" r:id="rId7"/>
    <sheet name="Process (3)" sheetId="13" r:id="rId8"/>
    <sheet name="Process (4)" sheetId="18" r:id="rId9"/>
    <sheet name="Process (5)" sheetId="17" r:id="rId10"/>
    <sheet name="Process (6)" sheetId="14" r:id="rId11"/>
    <sheet name="Output" sheetId="15" r:id="rId12"/>
    <sheet name="Report" sheetId="16" r:id="rId13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8" i="13" l="1"/>
  <c r="I99" i="13"/>
  <c r="G103" i="13"/>
  <c r="H493" i="16"/>
  <c r="H492" i="16"/>
  <c r="H491" i="16"/>
  <c r="H490" i="16"/>
  <c r="H489" i="16"/>
  <c r="H486" i="16"/>
  <c r="H485" i="16"/>
  <c r="H484" i="16"/>
  <c r="H482" i="16"/>
  <c r="H481" i="16"/>
  <c r="H480" i="16"/>
  <c r="H479" i="16"/>
  <c r="H478" i="16"/>
  <c r="H476" i="16"/>
  <c r="H475" i="16"/>
  <c r="H474" i="16"/>
  <c r="H471" i="16"/>
  <c r="H470" i="16"/>
  <c r="H469" i="16"/>
  <c r="H468" i="16"/>
  <c r="H467" i="16"/>
  <c r="H464" i="16"/>
  <c r="H463" i="16"/>
  <c r="H462" i="16"/>
  <c r="H460" i="16"/>
  <c r="H459" i="16"/>
  <c r="H458" i="16"/>
  <c r="H457" i="16"/>
  <c r="H456" i="16"/>
  <c r="H454" i="16"/>
  <c r="H453" i="16"/>
  <c r="H452" i="16"/>
  <c r="H451" i="16"/>
  <c r="H450" i="16"/>
  <c r="H449" i="16"/>
  <c r="H448" i="16"/>
  <c r="D236" i="16"/>
  <c r="G99" i="16"/>
  <c r="H98" i="16"/>
  <c r="H97" i="16"/>
  <c r="F49" i="6"/>
  <c r="S55" i="19"/>
  <c r="S47" i="19"/>
  <c r="R47" i="19"/>
  <c r="S46" i="19"/>
  <c r="R45" i="19"/>
  <c r="R43" i="19"/>
  <c r="S41" i="19"/>
  <c r="R41" i="19"/>
  <c r="S40" i="19"/>
  <c r="R40" i="19"/>
  <c r="V38" i="19"/>
  <c r="I199" i="8"/>
  <c r="I150" i="8"/>
  <c r="I142" i="8"/>
  <c r="I143" i="8" s="1"/>
  <c r="H7" i="20"/>
  <c r="I4" i="20"/>
  <c r="H22" i="20" s="1"/>
  <c r="H35" i="20" s="1"/>
  <c r="I3" i="20"/>
  <c r="I18" i="20" s="1"/>
  <c r="I31" i="20" s="1"/>
  <c r="I2" i="20"/>
  <c r="E27" i="20" s="1"/>
  <c r="C51" i="20" s="1"/>
  <c r="A52" i="20"/>
  <c r="A53" i="20" s="1"/>
  <c r="A54" i="20" s="1"/>
  <c r="E31" i="20"/>
  <c r="C52" i="20" s="1"/>
  <c r="R42" i="19" l="1"/>
  <c r="R44" i="19"/>
  <c r="R46" i="19"/>
  <c r="R50" i="19"/>
  <c r="R52" i="19"/>
  <c r="S42" i="19"/>
  <c r="S48" i="19"/>
  <c r="S54" i="19"/>
  <c r="S56" i="19"/>
  <c r="K52" i="20"/>
  <c r="K53" i="20"/>
  <c r="I88" i="20"/>
  <c r="I80" i="20"/>
  <c r="A55" i="20"/>
  <c r="I22" i="20"/>
  <c r="I35" i="20" s="1"/>
  <c r="F27" i="20"/>
  <c r="E51" i="20" s="1"/>
  <c r="F31" i="20"/>
  <c r="G14" i="20"/>
  <c r="G27" i="20" s="1"/>
  <c r="G51" i="20" s="1"/>
  <c r="H14" i="20"/>
  <c r="H27" i="20" s="1"/>
  <c r="G18" i="20"/>
  <c r="G31" i="20" s="1"/>
  <c r="E35" i="20"/>
  <c r="I14" i="20"/>
  <c r="I27" i="20" s="1"/>
  <c r="K51" i="20" s="1"/>
  <c r="H18" i="20"/>
  <c r="H31" i="20" s="1"/>
  <c r="F35" i="20"/>
  <c r="C53" i="20"/>
  <c r="G22" i="20"/>
  <c r="G35" i="20" s="1"/>
  <c r="R51" i="19" l="1"/>
  <c r="R55" i="19"/>
  <c r="R48" i="19"/>
  <c r="S58" i="19"/>
  <c r="S50" i="19"/>
  <c r="S49" i="19"/>
  <c r="S43" i="19"/>
  <c r="I87" i="20"/>
  <c r="I52" i="20"/>
  <c r="I53" i="20"/>
  <c r="E41" i="20"/>
  <c r="C80" i="20"/>
  <c r="G80" i="20"/>
  <c r="G41" i="20"/>
  <c r="H41" i="20"/>
  <c r="F41" i="20"/>
  <c r="E80" i="20"/>
  <c r="G53" i="20"/>
  <c r="G52" i="20"/>
  <c r="K80" i="20"/>
  <c r="I41" i="20"/>
  <c r="A56" i="20"/>
  <c r="I51" i="20"/>
  <c r="I86" i="20"/>
  <c r="E53" i="20"/>
  <c r="E52" i="20"/>
  <c r="S44" i="19" l="1"/>
  <c r="S51" i="19"/>
  <c r="R49" i="19"/>
  <c r="D53" i="20"/>
  <c r="F45" i="20"/>
  <c r="D52" i="20" s="1"/>
  <c r="H53" i="20"/>
  <c r="H45" i="20"/>
  <c r="I85" i="20"/>
  <c r="F53" i="20"/>
  <c r="G45" i="20"/>
  <c r="F52" i="20" s="1"/>
  <c r="F56" i="20"/>
  <c r="G56" i="20" s="1"/>
  <c r="D56" i="20"/>
  <c r="E56" i="20" s="1"/>
  <c r="A57" i="20"/>
  <c r="H56" i="20"/>
  <c r="I56" i="20" s="1"/>
  <c r="B53" i="20"/>
  <c r="E45" i="20"/>
  <c r="B52" i="20" s="1"/>
  <c r="I45" i="20"/>
  <c r="J52" i="20" s="1"/>
  <c r="J53" i="20"/>
  <c r="J56" i="20" s="1"/>
  <c r="K56" i="20" s="1"/>
  <c r="R53" i="19" l="1"/>
  <c r="S45" i="19"/>
  <c r="B54" i="20"/>
  <c r="C54" i="20" s="1"/>
  <c r="B55" i="20"/>
  <c r="C55" i="20" s="1"/>
  <c r="A58" i="20"/>
  <c r="J57" i="20"/>
  <c r="K57" i="20" s="1"/>
  <c r="H57" i="20"/>
  <c r="I57" i="20" s="1"/>
  <c r="D57" i="20"/>
  <c r="E57" i="20" s="1"/>
  <c r="F57" i="20"/>
  <c r="G57" i="20" s="1"/>
  <c r="B57" i="20"/>
  <c r="C57" i="20" s="1"/>
  <c r="B56" i="20"/>
  <c r="C56" i="20" s="1"/>
  <c r="F54" i="20"/>
  <c r="G54" i="20" s="1"/>
  <c r="F55" i="20"/>
  <c r="G55" i="20" s="1"/>
  <c r="I84" i="20"/>
  <c r="H52" i="20"/>
  <c r="H54" i="20"/>
  <c r="I54" i="20" s="1"/>
  <c r="H55" i="20"/>
  <c r="I55" i="20" s="1"/>
  <c r="J54" i="20"/>
  <c r="K54" i="20" s="1"/>
  <c r="J55" i="20"/>
  <c r="K55" i="20" s="1"/>
  <c r="D54" i="20"/>
  <c r="E54" i="20" s="1"/>
  <c r="D55" i="20"/>
  <c r="E55" i="20" s="1"/>
  <c r="R54" i="19" l="1"/>
  <c r="S52" i="19"/>
  <c r="B58" i="20"/>
  <c r="C58" i="20" s="1"/>
  <c r="H58" i="20"/>
  <c r="I58" i="20" s="1"/>
  <c r="A59" i="20"/>
  <c r="J58" i="20"/>
  <c r="K58" i="20" s="1"/>
  <c r="F58" i="20"/>
  <c r="G58" i="20" s="1"/>
  <c r="D58" i="20"/>
  <c r="E58" i="20" s="1"/>
  <c r="S53" i="19" l="1"/>
  <c r="R56" i="19"/>
  <c r="F59" i="20"/>
  <c r="G59" i="20" s="1"/>
  <c r="D59" i="20"/>
  <c r="E59" i="20" s="1"/>
  <c r="B59" i="20"/>
  <c r="C59" i="20" s="1"/>
  <c r="A60" i="20"/>
  <c r="J59" i="20"/>
  <c r="K59" i="20" s="1"/>
  <c r="H59" i="20"/>
  <c r="I59" i="20" s="1"/>
  <c r="R57" i="19" l="1"/>
  <c r="R58" i="19"/>
  <c r="S57" i="19"/>
  <c r="A61" i="20"/>
  <c r="J60" i="20"/>
  <c r="K60" i="20" s="1"/>
  <c r="H60" i="20"/>
  <c r="I60" i="20" s="1"/>
  <c r="F60" i="20"/>
  <c r="G60" i="20" s="1"/>
  <c r="D60" i="20"/>
  <c r="E60" i="20" s="1"/>
  <c r="B60" i="20"/>
  <c r="C60" i="20" s="1"/>
  <c r="S59" i="19" l="1"/>
  <c r="S37" i="19"/>
  <c r="R59" i="19"/>
  <c r="A62" i="20"/>
  <c r="J61" i="20"/>
  <c r="K61" i="20" s="1"/>
  <c r="H61" i="20"/>
  <c r="I61" i="20" s="1"/>
  <c r="F61" i="20"/>
  <c r="G61" i="20" s="1"/>
  <c r="D61" i="20"/>
  <c r="E61" i="20" s="1"/>
  <c r="B61" i="20"/>
  <c r="C61" i="20" s="1"/>
  <c r="R37" i="19" l="1"/>
  <c r="U37" i="19"/>
  <c r="U59" i="19" s="1"/>
  <c r="A63" i="20"/>
  <c r="D62" i="20"/>
  <c r="E62" i="20" s="1"/>
  <c r="B62" i="20"/>
  <c r="C62" i="20" s="1"/>
  <c r="J62" i="20"/>
  <c r="K62" i="20" s="1"/>
  <c r="H62" i="20"/>
  <c r="I62" i="20" s="1"/>
  <c r="F62" i="20"/>
  <c r="G62" i="20" s="1"/>
  <c r="U46" i="19" l="1"/>
  <c r="U40" i="19"/>
  <c r="T40" i="19"/>
  <c r="T39" i="19"/>
  <c r="U39" i="19"/>
  <c r="U41" i="19"/>
  <c r="T47" i="19"/>
  <c r="U47" i="19"/>
  <c r="T43" i="19"/>
  <c r="T45" i="19"/>
  <c r="T41" i="19"/>
  <c r="U55" i="19"/>
  <c r="T50" i="19"/>
  <c r="U56" i="19"/>
  <c r="U42" i="19"/>
  <c r="T42" i="19"/>
  <c r="U48" i="19"/>
  <c r="T46" i="19"/>
  <c r="U54" i="19"/>
  <c r="T52" i="19"/>
  <c r="T44" i="19"/>
  <c r="U50" i="19"/>
  <c r="T48" i="19"/>
  <c r="U43" i="19"/>
  <c r="T55" i="19"/>
  <c r="U49" i="19"/>
  <c r="T51" i="19"/>
  <c r="U58" i="19"/>
  <c r="U44" i="19"/>
  <c r="U51" i="19"/>
  <c r="T49" i="19"/>
  <c r="U45" i="19"/>
  <c r="T53" i="19"/>
  <c r="U52" i="19"/>
  <c r="T54" i="19"/>
  <c r="T56" i="19"/>
  <c r="U53" i="19"/>
  <c r="U57" i="19"/>
  <c r="T58" i="19"/>
  <c r="T57" i="19"/>
  <c r="T59" i="19"/>
  <c r="J63" i="20"/>
  <c r="K63" i="20" s="1"/>
  <c r="H63" i="20"/>
  <c r="I63" i="20" s="1"/>
  <c r="F63" i="20"/>
  <c r="G63" i="20" s="1"/>
  <c r="B63" i="20"/>
  <c r="C63" i="20" s="1"/>
  <c r="D63" i="20"/>
  <c r="E63" i="20" s="1"/>
  <c r="A64" i="20"/>
  <c r="F64" i="20" l="1"/>
  <c r="G64" i="20" s="1"/>
  <c r="A65" i="20"/>
  <c r="J64" i="20"/>
  <c r="K64" i="20" s="1"/>
  <c r="H64" i="20"/>
  <c r="I64" i="20" s="1"/>
  <c r="D64" i="20"/>
  <c r="E64" i="20" s="1"/>
  <c r="B64" i="20"/>
  <c r="C64" i="20" s="1"/>
  <c r="D65" i="20" l="1"/>
  <c r="E65" i="20" s="1"/>
  <c r="B65" i="20"/>
  <c r="C65" i="20" s="1"/>
  <c r="A66" i="20"/>
  <c r="J65" i="20"/>
  <c r="K65" i="20" s="1"/>
  <c r="H65" i="20"/>
  <c r="I65" i="20" s="1"/>
  <c r="F65" i="20"/>
  <c r="G65" i="20" s="1"/>
  <c r="J66" i="20" l="1"/>
  <c r="K66" i="20" s="1"/>
  <c r="H66" i="20"/>
  <c r="I66" i="20" s="1"/>
  <c r="F66" i="20"/>
  <c r="G66" i="20" s="1"/>
  <c r="D66" i="20"/>
  <c r="E66" i="20" s="1"/>
  <c r="B66" i="20"/>
  <c r="C66" i="20" s="1"/>
  <c r="A67" i="20"/>
  <c r="A68" i="20" l="1"/>
  <c r="J67" i="20"/>
  <c r="K67" i="20" s="1"/>
  <c r="H67" i="20"/>
  <c r="I67" i="20" s="1"/>
  <c r="F67" i="20"/>
  <c r="G67" i="20" s="1"/>
  <c r="D67" i="20"/>
  <c r="E67" i="20" s="1"/>
  <c r="B67" i="20"/>
  <c r="C67" i="20" s="1"/>
  <c r="D68" i="20" l="1"/>
  <c r="E68" i="20" s="1"/>
  <c r="B68" i="20"/>
  <c r="C68" i="20" s="1"/>
  <c r="J68" i="20"/>
  <c r="K68" i="20" s="1"/>
  <c r="A69" i="20"/>
  <c r="H68" i="20"/>
  <c r="I68" i="20" s="1"/>
  <c r="F68" i="20"/>
  <c r="G68" i="20" s="1"/>
  <c r="H69" i="20" l="1"/>
  <c r="I69" i="20" s="1"/>
  <c r="F69" i="20"/>
  <c r="G69" i="20" s="1"/>
  <c r="D69" i="20"/>
  <c r="E69" i="20" s="1"/>
  <c r="B69" i="20"/>
  <c r="C69" i="20" s="1"/>
  <c r="A70" i="20"/>
  <c r="J69" i="20"/>
  <c r="K69" i="20" s="1"/>
  <c r="A71" i="20" l="1"/>
  <c r="J70" i="20"/>
  <c r="K70" i="20" s="1"/>
  <c r="H70" i="20"/>
  <c r="I70" i="20" s="1"/>
  <c r="F70" i="20"/>
  <c r="G70" i="20" s="1"/>
  <c r="D70" i="20"/>
  <c r="E70" i="20" s="1"/>
  <c r="B70" i="20"/>
  <c r="C70" i="20" s="1"/>
  <c r="B71" i="20" l="1"/>
  <c r="C71" i="20" s="1"/>
  <c r="A72" i="20"/>
  <c r="J71" i="20"/>
  <c r="K71" i="20" s="1"/>
  <c r="H71" i="20"/>
  <c r="I71" i="20" s="1"/>
  <c r="F71" i="20"/>
  <c r="G71" i="20" s="1"/>
  <c r="D71" i="20"/>
  <c r="E71" i="20" s="1"/>
  <c r="F72" i="20" l="1"/>
  <c r="G72" i="20" s="1"/>
  <c r="D72" i="20"/>
  <c r="E72" i="20" s="1"/>
  <c r="B72" i="20"/>
  <c r="C72" i="20" s="1"/>
  <c r="A73" i="20"/>
  <c r="J72" i="20"/>
  <c r="K72" i="20" s="1"/>
  <c r="H72" i="20"/>
  <c r="I72" i="20" s="1"/>
  <c r="A74" i="20" l="1"/>
  <c r="J73" i="20"/>
  <c r="K73" i="20" s="1"/>
  <c r="H73" i="20"/>
  <c r="I73" i="20" s="1"/>
  <c r="F73" i="20"/>
  <c r="G73" i="20" s="1"/>
  <c r="D73" i="20"/>
  <c r="E73" i="20" s="1"/>
  <c r="B73" i="20"/>
  <c r="C73" i="20" s="1"/>
  <c r="B74" i="20" l="1"/>
  <c r="C74" i="20" s="1"/>
  <c r="H74" i="20"/>
  <c r="I74" i="20" s="1"/>
  <c r="A75" i="20"/>
  <c r="J74" i="20"/>
  <c r="K74" i="20" s="1"/>
  <c r="F74" i="20"/>
  <c r="G74" i="20" s="1"/>
  <c r="D74" i="20"/>
  <c r="E74" i="20" s="1"/>
  <c r="F75" i="20" l="1"/>
  <c r="G75" i="20" s="1"/>
  <c r="D75" i="20"/>
  <c r="E75" i="20" s="1"/>
  <c r="B75" i="20"/>
  <c r="C75" i="20" s="1"/>
  <c r="A76" i="20"/>
  <c r="J75" i="20"/>
  <c r="K75" i="20" s="1"/>
  <c r="H75" i="20"/>
  <c r="I75" i="20" s="1"/>
  <c r="A77" i="20" l="1"/>
  <c r="J76" i="20"/>
  <c r="K76" i="20" s="1"/>
  <c r="B76" i="20"/>
  <c r="C76" i="20" s="1"/>
  <c r="H76" i="20"/>
  <c r="I76" i="20" s="1"/>
  <c r="F76" i="20"/>
  <c r="G76" i="20" s="1"/>
  <c r="D76" i="20"/>
  <c r="E76" i="20" s="1"/>
  <c r="B77" i="20"/>
  <c r="C77" i="20" s="1"/>
  <c r="A78" i="20" l="1"/>
  <c r="H77" i="20"/>
  <c r="I77" i="20" s="1"/>
  <c r="J77" i="20"/>
  <c r="K77" i="20" s="1"/>
  <c r="F77" i="20"/>
  <c r="G77" i="20" s="1"/>
  <c r="D77" i="20"/>
  <c r="E77" i="20" s="1"/>
  <c r="F78" i="20" l="1"/>
  <c r="G78" i="20" s="1"/>
  <c r="D78" i="20"/>
  <c r="E78" i="20" s="1"/>
  <c r="B78" i="20"/>
  <c r="C78" i="20" s="1"/>
  <c r="A79" i="20"/>
  <c r="J78" i="20"/>
  <c r="K78" i="20" s="1"/>
  <c r="H78" i="20"/>
  <c r="I78" i="20" s="1"/>
  <c r="J79" i="20" l="1"/>
  <c r="K79" i="20" s="1"/>
  <c r="H79" i="20"/>
  <c r="I79" i="20" s="1"/>
  <c r="F79" i="20"/>
  <c r="G79" i="20" s="1"/>
  <c r="D79" i="20"/>
  <c r="E79" i="20" s="1"/>
  <c r="B79" i="20"/>
  <c r="C79" i="20" s="1"/>
  <c r="A80" i="20"/>
  <c r="I119" i="8" l="1"/>
  <c r="I128" i="8" s="1"/>
  <c r="I120" i="8"/>
  <c r="I121" i="8" s="1"/>
  <c r="I116" i="8"/>
  <c r="I117" i="8" s="1"/>
  <c r="C195" i="19"/>
  <c r="C213" i="19" s="1"/>
  <c r="B196" i="19"/>
  <c r="B213" i="19"/>
  <c r="Q33" i="19"/>
  <c r="Q21" i="19"/>
  <c r="M105" i="6"/>
  <c r="R27" i="19" s="1"/>
  <c r="R28" i="19" s="1"/>
  <c r="F48" i="6"/>
  <c r="C196" i="19" l="1"/>
  <c r="C197" i="19" s="1"/>
  <c r="R26" i="19"/>
  <c r="R33" i="19" s="1"/>
  <c r="R34" i="19" s="1"/>
  <c r="B197" i="19"/>
  <c r="F2131" i="16"/>
  <c r="F2130" i="16"/>
  <c r="F2129" i="16"/>
  <c r="H2093" i="16"/>
  <c r="H2088" i="16"/>
  <c r="H2059" i="16"/>
  <c r="D2052" i="16"/>
  <c r="H2044" i="16"/>
  <c r="H2042" i="16"/>
  <c r="H2034" i="16"/>
  <c r="H2028" i="16"/>
  <c r="H2016" i="16"/>
  <c r="H1983" i="16"/>
  <c r="H1973" i="16"/>
  <c r="H1944" i="16"/>
  <c r="H1943" i="16"/>
  <c r="G1941" i="16"/>
  <c r="G1940" i="16"/>
  <c r="G1939" i="16"/>
  <c r="H1861" i="16"/>
  <c r="E1792" i="16"/>
  <c r="D1792" i="16"/>
  <c r="H1788" i="16"/>
  <c r="H1781" i="16"/>
  <c r="F1771" i="16"/>
  <c r="H1766" i="16"/>
  <c r="H1765" i="16"/>
  <c r="H1755" i="16"/>
  <c r="H1716" i="16"/>
  <c r="D1709" i="16"/>
  <c r="H1701" i="16"/>
  <c r="H1699" i="16"/>
  <c r="H1691" i="16"/>
  <c r="H1675" i="16"/>
  <c r="H1636" i="16"/>
  <c r="D1629" i="16"/>
  <c r="H1621" i="16"/>
  <c r="H1619" i="16"/>
  <c r="H1611" i="16"/>
  <c r="H1595" i="16"/>
  <c r="H1556" i="16"/>
  <c r="D1549" i="16"/>
  <c r="H1540" i="16"/>
  <c r="H1538" i="16"/>
  <c r="H1530" i="16"/>
  <c r="H1514" i="16"/>
  <c r="H1476" i="16"/>
  <c r="D1470" i="16"/>
  <c r="H1462" i="16"/>
  <c r="H1460" i="16"/>
  <c r="H1452" i="16"/>
  <c r="H1436" i="16"/>
  <c r="H1397" i="16"/>
  <c r="D1390" i="16"/>
  <c r="H1382" i="16"/>
  <c r="H1380" i="16"/>
  <c r="H1372" i="16"/>
  <c r="E1223" i="16"/>
  <c r="E1222" i="16"/>
  <c r="E1221" i="16"/>
  <c r="E1220" i="16"/>
  <c r="E1219" i="16"/>
  <c r="E1218" i="16"/>
  <c r="E1217" i="16"/>
  <c r="E1216" i="16"/>
  <c r="F1155" i="16"/>
  <c r="E1155" i="16"/>
  <c r="H1082" i="16"/>
  <c r="F1082" i="16"/>
  <c r="E1082" i="16"/>
  <c r="F1045" i="16"/>
  <c r="E1045" i="16"/>
  <c r="F1044" i="16"/>
  <c r="E1044" i="16"/>
  <c r="H972" i="16"/>
  <c r="F972" i="16"/>
  <c r="E972" i="16"/>
  <c r="F971" i="16"/>
  <c r="E971" i="16"/>
  <c r="H913" i="16"/>
  <c r="F893" i="16"/>
  <c r="E893" i="16"/>
  <c r="F892" i="16"/>
  <c r="E892" i="16"/>
  <c r="F891" i="16"/>
  <c r="E891" i="16"/>
  <c r="F890" i="16"/>
  <c r="E890" i="16"/>
  <c r="F889" i="16"/>
  <c r="E889" i="16"/>
  <c r="F888" i="16"/>
  <c r="E888" i="16"/>
  <c r="F887" i="16"/>
  <c r="E887" i="16"/>
  <c r="H882" i="16"/>
  <c r="H796" i="16"/>
  <c r="F796" i="16"/>
  <c r="E796" i="16"/>
  <c r="F795" i="16"/>
  <c r="E795" i="16"/>
  <c r="F794" i="16"/>
  <c r="E794" i="16"/>
  <c r="F793" i="16"/>
  <c r="E793" i="16"/>
  <c r="F792" i="16"/>
  <c r="E792" i="16"/>
  <c r="F791" i="16"/>
  <c r="E791" i="16"/>
  <c r="F790" i="16"/>
  <c r="E790" i="16"/>
  <c r="H1317" i="16"/>
  <c r="F666" i="16"/>
  <c r="B666" i="16"/>
  <c r="F665" i="16"/>
  <c r="B665" i="16"/>
  <c r="F553" i="16"/>
  <c r="E553" i="16"/>
  <c r="F552" i="16"/>
  <c r="E552" i="16"/>
  <c r="F551" i="16"/>
  <c r="E551" i="16"/>
  <c r="F550" i="16"/>
  <c r="E550" i="16"/>
  <c r="F549" i="16"/>
  <c r="E549" i="16"/>
  <c r="F548" i="16"/>
  <c r="E548" i="16"/>
  <c r="F547" i="16"/>
  <c r="E547" i="16"/>
  <c r="F546" i="16"/>
  <c r="E546" i="16"/>
  <c r="F545" i="16"/>
  <c r="E545" i="16"/>
  <c r="F544" i="16"/>
  <c r="E544" i="16"/>
  <c r="F543" i="16"/>
  <c r="E543" i="16"/>
  <c r="F542" i="16"/>
  <c r="E542" i="16"/>
  <c r="F541" i="16"/>
  <c r="E541" i="16"/>
  <c r="F540" i="16"/>
  <c r="E540" i="16"/>
  <c r="F539" i="16"/>
  <c r="E539" i="16"/>
  <c r="F538" i="16"/>
  <c r="E538" i="16"/>
  <c r="F537" i="16"/>
  <c r="E537" i="16"/>
  <c r="F536" i="16"/>
  <c r="E536" i="16"/>
  <c r="H531" i="16"/>
  <c r="H395" i="16"/>
  <c r="E368" i="16"/>
  <c r="E367" i="16"/>
  <c r="E366" i="16"/>
  <c r="E365" i="16"/>
  <c r="E364" i="16"/>
  <c r="E363" i="16"/>
  <c r="E362" i="16"/>
  <c r="E361" i="16"/>
  <c r="E360" i="16"/>
  <c r="E359" i="16"/>
  <c r="E358" i="16"/>
  <c r="E357" i="16"/>
  <c r="E356" i="16"/>
  <c r="E355" i="16"/>
  <c r="E354" i="16"/>
  <c r="E353" i="16"/>
  <c r="E352" i="16"/>
  <c r="E351" i="16"/>
  <c r="E374" i="16"/>
  <c r="E372" i="16"/>
  <c r="E371" i="16"/>
  <c r="E370" i="16"/>
  <c r="I179" i="16"/>
  <c r="I178" i="16"/>
  <c r="G177" i="16"/>
  <c r="G175" i="16"/>
  <c r="G174" i="16"/>
  <c r="G173" i="16"/>
  <c r="G172" i="16"/>
  <c r="H150" i="16"/>
  <c r="H149" i="16"/>
  <c r="H148" i="16"/>
  <c r="H147" i="16"/>
  <c r="H146" i="16"/>
  <c r="H145" i="16"/>
  <c r="H130" i="16"/>
  <c r="H129" i="16"/>
  <c r="H128" i="16"/>
  <c r="H127" i="16"/>
  <c r="H126" i="16"/>
  <c r="H125" i="16"/>
  <c r="H124" i="16"/>
  <c r="H123" i="16"/>
  <c r="H122" i="16"/>
  <c r="H121" i="16"/>
  <c r="H103" i="16"/>
  <c r="H102" i="16"/>
  <c r="H96" i="16"/>
  <c r="H95" i="16"/>
  <c r="H92" i="16"/>
  <c r="H91" i="16"/>
  <c r="H90" i="16"/>
  <c r="H87" i="16"/>
  <c r="F54" i="16"/>
  <c r="F53" i="16"/>
  <c r="F52" i="16"/>
  <c r="F59" i="16"/>
  <c r="F58" i="16"/>
  <c r="F57" i="16"/>
  <c r="F56" i="16"/>
  <c r="F63" i="16"/>
  <c r="F66" i="16"/>
  <c r="C66" i="16"/>
  <c r="C62" i="16"/>
  <c r="C61" i="16"/>
  <c r="C60" i="16"/>
  <c r="C57" i="16"/>
  <c r="C56" i="16"/>
  <c r="C55" i="16"/>
  <c r="C54" i="16"/>
  <c r="C53" i="16"/>
  <c r="C52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2" i="16"/>
  <c r="H11" i="16"/>
  <c r="H10" i="16"/>
  <c r="H9" i="16"/>
  <c r="H38" i="15"/>
  <c r="H216" i="16" s="1"/>
  <c r="F21" i="15"/>
  <c r="F201" i="16" s="1"/>
  <c r="F20" i="15"/>
  <c r="F200" i="16" s="1"/>
  <c r="F19" i="15"/>
  <c r="F199" i="16" s="1"/>
  <c r="F26" i="15"/>
  <c r="F206" i="16" s="1"/>
  <c r="F25" i="15"/>
  <c r="F205" i="16" s="1"/>
  <c r="F24" i="15"/>
  <c r="F204" i="16" s="1"/>
  <c r="F23" i="15"/>
  <c r="F203" i="16" s="1"/>
  <c r="F30" i="15"/>
  <c r="F210" i="16" s="1"/>
  <c r="F34" i="15"/>
  <c r="F213" i="16" s="1"/>
  <c r="C35" i="15"/>
  <c r="C213" i="16" s="1"/>
  <c r="C29" i="15"/>
  <c r="C209" i="16" s="1"/>
  <c r="C28" i="15"/>
  <c r="C208" i="16" s="1"/>
  <c r="C27" i="15"/>
  <c r="C207" i="16" s="1"/>
  <c r="C24" i="15"/>
  <c r="C204" i="16" s="1"/>
  <c r="C23" i="15"/>
  <c r="C203" i="16" s="1"/>
  <c r="C22" i="15"/>
  <c r="C202" i="16" s="1"/>
  <c r="C21" i="15"/>
  <c r="C201" i="16" s="1"/>
  <c r="C20" i="15"/>
  <c r="C200" i="16" s="1"/>
  <c r="C19" i="15"/>
  <c r="C199" i="16" s="1"/>
  <c r="R29" i="19" l="1"/>
  <c r="W54" i="19" s="1"/>
  <c r="B198" i="19"/>
  <c r="C198" i="19"/>
  <c r="H1792" i="16"/>
  <c r="W41" i="19" l="1"/>
  <c r="W47" i="19"/>
  <c r="W55" i="19"/>
  <c r="W40" i="19"/>
  <c r="W56" i="19"/>
  <c r="W39" i="19"/>
  <c r="W48" i="19"/>
  <c r="W42" i="19"/>
  <c r="W46" i="19"/>
  <c r="W43" i="19"/>
  <c r="W49" i="19"/>
  <c r="W58" i="19"/>
  <c r="W50" i="19"/>
  <c r="W51" i="19"/>
  <c r="W44" i="19"/>
  <c r="W45" i="19"/>
  <c r="W52" i="19"/>
  <c r="W53" i="19"/>
  <c r="W57" i="19"/>
  <c r="W59" i="19"/>
  <c r="R30" i="19"/>
  <c r="C199" i="19"/>
  <c r="B199" i="19"/>
  <c r="H462" i="18"/>
  <c r="H453" i="18"/>
  <c r="H1823" i="16" s="1"/>
  <c r="H448" i="18"/>
  <c r="H1817" i="16" s="1"/>
  <c r="H415" i="18"/>
  <c r="H1783" i="16" s="1"/>
  <c r="H409" i="18"/>
  <c r="H1776" i="16" s="1"/>
  <c r="H408" i="18"/>
  <c r="H1775" i="16" s="1"/>
  <c r="H407" i="18"/>
  <c r="H398" i="18"/>
  <c r="H416" i="18"/>
  <c r="D424" i="18"/>
  <c r="F404" i="18"/>
  <c r="B200" i="19" l="1"/>
  <c r="C200" i="19"/>
  <c r="H410" i="18"/>
  <c r="H1774" i="16"/>
  <c r="D404" i="18"/>
  <c r="D1771" i="16" s="1"/>
  <c r="H1763" i="16"/>
  <c r="G79" i="15"/>
  <c r="G262" i="16" s="1"/>
  <c r="H1832" i="16"/>
  <c r="H431" i="18"/>
  <c r="H1799" i="16" s="1"/>
  <c r="H1784" i="16"/>
  <c r="H487" i="18"/>
  <c r="G78" i="15"/>
  <c r="G261" i="16" s="1"/>
  <c r="H449" i="18"/>
  <c r="H399" i="18"/>
  <c r="H1764" i="16" s="1"/>
  <c r="C201" i="19" l="1"/>
  <c r="B201" i="19"/>
  <c r="H404" i="18"/>
  <c r="E404" i="18"/>
  <c r="H1771" i="16"/>
  <c r="E1771" i="16"/>
  <c r="H450" i="18"/>
  <c r="H1818" i="16"/>
  <c r="H488" i="18"/>
  <c r="H1865" i="16" s="1"/>
  <c r="H1864" i="16"/>
  <c r="H412" i="18"/>
  <c r="H1777" i="16"/>
  <c r="H434" i="18"/>
  <c r="H1802" i="16" s="1"/>
  <c r="H433" i="18"/>
  <c r="H1801" i="16" s="1"/>
  <c r="H446" i="18"/>
  <c r="H1815" i="16" s="1"/>
  <c r="H435" i="18"/>
  <c r="H1803" i="16" s="1"/>
  <c r="B202" i="19" l="1"/>
  <c r="B216" i="19"/>
  <c r="B214" i="19"/>
  <c r="C214" i="19"/>
  <c r="C215" i="19"/>
  <c r="C216" i="19"/>
  <c r="C202" i="19"/>
  <c r="H451" i="18"/>
  <c r="H1821" i="16" s="1"/>
  <c r="H1819" i="16"/>
  <c r="H1779" i="16"/>
  <c r="H413" i="18"/>
  <c r="H436" i="18"/>
  <c r="C203" i="19" l="1"/>
  <c r="B215" i="19"/>
  <c r="B203" i="19"/>
  <c r="F439" i="18"/>
  <c r="H1804" i="16"/>
  <c r="F424" i="18"/>
  <c r="F1792" i="16" s="1"/>
  <c r="H1780" i="16"/>
  <c r="B204" i="19" l="1"/>
  <c r="C204" i="19"/>
  <c r="F1808" i="16"/>
  <c r="I500" i="13"/>
  <c r="I396" i="13"/>
  <c r="I395" i="13"/>
  <c r="H1210" i="16" s="1"/>
  <c r="G354" i="18"/>
  <c r="H323" i="18"/>
  <c r="H322" i="18"/>
  <c r="D344" i="18"/>
  <c r="H326" i="18"/>
  <c r="H325" i="18"/>
  <c r="G275" i="18"/>
  <c r="H244" i="18"/>
  <c r="H243" i="18"/>
  <c r="D265" i="18"/>
  <c r="H247" i="18"/>
  <c r="H246" i="18"/>
  <c r="H165" i="18"/>
  <c r="G196" i="18"/>
  <c r="H164" i="18"/>
  <c r="D186" i="18"/>
  <c r="H168" i="18"/>
  <c r="H167" i="18"/>
  <c r="H163" i="18"/>
  <c r="H1524" i="16" s="1"/>
  <c r="H86" i="18"/>
  <c r="G117" i="18"/>
  <c r="H85" i="18"/>
  <c r="D107" i="18"/>
  <c r="H89" i="18"/>
  <c r="H88" i="18"/>
  <c r="H84" i="18"/>
  <c r="H1446" i="16" s="1"/>
  <c r="G38" i="18"/>
  <c r="H10" i="18"/>
  <c r="H1371" i="16" s="1"/>
  <c r="H9" i="18"/>
  <c r="H1370" i="16" s="1"/>
  <c r="H7" i="18"/>
  <c r="H5" i="18"/>
  <c r="C205" i="19" l="1"/>
  <c r="B205" i="19"/>
  <c r="H271" i="18"/>
  <c r="H1635" i="16" s="1"/>
  <c r="H1606" i="16"/>
  <c r="F370" i="18"/>
  <c r="F1735" i="16" s="1"/>
  <c r="H1690" i="16"/>
  <c r="H93" i="18"/>
  <c r="H1455" i="16" s="1"/>
  <c r="H1450" i="16"/>
  <c r="H382" i="18"/>
  <c r="H1747" i="16" s="1"/>
  <c r="H1687" i="16"/>
  <c r="G1719" i="16"/>
  <c r="G77" i="15"/>
  <c r="G260" i="16" s="1"/>
  <c r="G1400" i="16"/>
  <c r="G73" i="15"/>
  <c r="G256" i="16" s="1"/>
  <c r="F133" i="18"/>
  <c r="F1495" i="16" s="1"/>
  <c r="H1451" i="16"/>
  <c r="H330" i="18"/>
  <c r="H1694" i="16" s="1"/>
  <c r="H1689" i="16"/>
  <c r="H350" i="18"/>
  <c r="H1715" i="16" s="1"/>
  <c r="H1686" i="16"/>
  <c r="H172" i="18"/>
  <c r="H1533" i="16" s="1"/>
  <c r="H1528" i="16"/>
  <c r="H144" i="18"/>
  <c r="H1506" i="16" s="1"/>
  <c r="H1366" i="16"/>
  <c r="H192" i="18"/>
  <c r="H1555" i="16" s="1"/>
  <c r="H1525" i="16"/>
  <c r="H242" i="18"/>
  <c r="H1211" i="16"/>
  <c r="F291" i="18"/>
  <c r="F1655" i="16" s="1"/>
  <c r="H1610" i="16"/>
  <c r="H113" i="18"/>
  <c r="H1475" i="16" s="1"/>
  <c r="H1447" i="16"/>
  <c r="F212" i="18"/>
  <c r="F1575" i="16" s="1"/>
  <c r="H1529" i="16"/>
  <c r="H66" i="18"/>
  <c r="H1428" i="16" s="1"/>
  <c r="H1368" i="16"/>
  <c r="G1559" i="16"/>
  <c r="G75" i="15"/>
  <c r="G258" i="16" s="1"/>
  <c r="G1639" i="16"/>
  <c r="G76" i="15"/>
  <c r="G259" i="16" s="1"/>
  <c r="G1479" i="16"/>
  <c r="G74" i="15"/>
  <c r="G257" i="16" s="1"/>
  <c r="H224" i="18"/>
  <c r="H1587" i="16" s="1"/>
  <c r="H1526" i="16"/>
  <c r="H303" i="18"/>
  <c r="H1667" i="16" s="1"/>
  <c r="H1607" i="16"/>
  <c r="H145" i="18"/>
  <c r="H1507" i="16" s="1"/>
  <c r="H1448" i="16"/>
  <c r="H251" i="18"/>
  <c r="H1614" i="16" s="1"/>
  <c r="H1609" i="16"/>
  <c r="H329" i="18"/>
  <c r="H1693" i="16" s="1"/>
  <c r="H340" i="18"/>
  <c r="H1705" i="16" s="1"/>
  <c r="K396" i="13"/>
  <c r="K395" i="13"/>
  <c r="H321" i="18"/>
  <c r="H324" i="18"/>
  <c r="H1688" i="16" s="1"/>
  <c r="H328" i="18"/>
  <c r="H261" i="18"/>
  <c r="H1625" i="16" s="1"/>
  <c r="H245" i="18"/>
  <c r="H249" i="18"/>
  <c r="H1612" i="16" s="1"/>
  <c r="H250" i="18"/>
  <c r="H1613" i="16" s="1"/>
  <c r="H182" i="18"/>
  <c r="H1544" i="16" s="1"/>
  <c r="H65" i="18"/>
  <c r="H1427" i="16" s="1"/>
  <c r="H223" i="18"/>
  <c r="H166" i="18"/>
  <c r="H1527" i="16" s="1"/>
  <c r="H171" i="18"/>
  <c r="H1532" i="16" s="1"/>
  <c r="H170" i="18"/>
  <c r="H103" i="18"/>
  <c r="H1466" i="16" s="1"/>
  <c r="H87" i="18"/>
  <c r="H1449" i="16" s="1"/>
  <c r="H91" i="18"/>
  <c r="H1453" i="16" s="1"/>
  <c r="H92" i="18"/>
  <c r="H1454" i="16" s="1"/>
  <c r="H147" i="18" l="1"/>
  <c r="H1509" i="16" s="1"/>
  <c r="B206" i="19"/>
  <c r="C206" i="19"/>
  <c r="H302" i="18"/>
  <c r="H1605" i="16"/>
  <c r="H381" i="18"/>
  <c r="H1685" i="16"/>
  <c r="H173" i="18"/>
  <c r="H1534" i="16" s="1"/>
  <c r="H1531" i="16"/>
  <c r="H304" i="18"/>
  <c r="H1668" i="16" s="1"/>
  <c r="H1608" i="16"/>
  <c r="H331" i="18"/>
  <c r="H1695" i="16" s="1"/>
  <c r="H1692" i="16"/>
  <c r="H226" i="18"/>
  <c r="H1589" i="16" s="1"/>
  <c r="H1586" i="16"/>
  <c r="H252" i="18"/>
  <c r="H1615" i="16" s="1"/>
  <c r="H383" i="18"/>
  <c r="H225" i="18"/>
  <c r="H1588" i="16" s="1"/>
  <c r="H94" i="18"/>
  <c r="H1456" i="16" s="1"/>
  <c r="H146" i="18"/>
  <c r="H1508" i="16" s="1"/>
  <c r="C207" i="19" l="1"/>
  <c r="H358" i="18"/>
  <c r="H1723" i="16" s="1"/>
  <c r="B207" i="19"/>
  <c r="H333" i="18"/>
  <c r="H334" i="18" s="1"/>
  <c r="H1748" i="16"/>
  <c r="H200" i="18"/>
  <c r="H1563" i="16" s="1"/>
  <c r="H384" i="18"/>
  <c r="H1749" i="16" s="1"/>
  <c r="H1746" i="16"/>
  <c r="H175" i="18"/>
  <c r="H279" i="18"/>
  <c r="H1643" i="16" s="1"/>
  <c r="H254" i="18"/>
  <c r="H1666" i="16"/>
  <c r="H305" i="18"/>
  <c r="H1669" i="16" s="1"/>
  <c r="H387" i="18"/>
  <c r="H1752" i="16" s="1"/>
  <c r="H388" i="18"/>
  <c r="H1753" i="16" s="1"/>
  <c r="H308" i="18"/>
  <c r="H1672" i="16" s="1"/>
  <c r="H309" i="18"/>
  <c r="H1673" i="16" s="1"/>
  <c r="H229" i="18"/>
  <c r="H1592" i="16" s="1"/>
  <c r="H230" i="18"/>
  <c r="H1593" i="16" s="1"/>
  <c r="H228" i="18"/>
  <c r="H1591" i="16" s="1"/>
  <c r="H96" i="18"/>
  <c r="H121" i="18"/>
  <c r="H1483" i="16" s="1"/>
  <c r="H150" i="18"/>
  <c r="H1511" i="16" s="1"/>
  <c r="H151" i="18"/>
  <c r="H1512" i="16" s="1"/>
  <c r="H149" i="18"/>
  <c r="H1510" i="16" s="1"/>
  <c r="B208" i="19" l="1"/>
  <c r="G361" i="18"/>
  <c r="G1726" i="16" s="1"/>
  <c r="C208" i="19"/>
  <c r="H1697" i="16"/>
  <c r="H255" i="18"/>
  <c r="H1617" i="16"/>
  <c r="G203" i="18"/>
  <c r="G1566" i="16" s="1"/>
  <c r="F344" i="18"/>
  <c r="F1709" i="16" s="1"/>
  <c r="H1698" i="16"/>
  <c r="H97" i="18"/>
  <c r="H1458" i="16"/>
  <c r="H176" i="18"/>
  <c r="H1536" i="16"/>
  <c r="G282" i="18"/>
  <c r="G1646" i="16" s="1"/>
  <c r="H307" i="18"/>
  <c r="H1671" i="16" s="1"/>
  <c r="H386" i="18"/>
  <c r="H1751" i="16" s="1"/>
  <c r="H231" i="18"/>
  <c r="H152" i="18"/>
  <c r="G124" i="18"/>
  <c r="G1486" i="16" s="1"/>
  <c r="H310" i="18" l="1"/>
  <c r="H312" i="18" s="1"/>
  <c r="B209" i="19"/>
  <c r="H389" i="18"/>
  <c r="H391" i="18" s="1"/>
  <c r="H233" i="18"/>
  <c r="H1594" i="16"/>
  <c r="F107" i="18"/>
  <c r="F1470" i="16" s="1"/>
  <c r="H1459" i="16"/>
  <c r="F186" i="18"/>
  <c r="F1549" i="16" s="1"/>
  <c r="H1537" i="16"/>
  <c r="H154" i="18"/>
  <c r="H1513" i="16"/>
  <c r="F265" i="18"/>
  <c r="F1629" i="16" s="1"/>
  <c r="H1618" i="16"/>
  <c r="H6" i="18"/>
  <c r="H1367" i="16" s="1"/>
  <c r="D28" i="18"/>
  <c r="F54" i="18"/>
  <c r="F1416" i="16" s="1"/>
  <c r="H13" i="18"/>
  <c r="H1374" i="16" s="1"/>
  <c r="D512" i="13"/>
  <c r="D1329" i="16" s="1"/>
  <c r="D508" i="13"/>
  <c r="C508" i="13"/>
  <c r="C1325" i="16" s="1"/>
  <c r="D507" i="13"/>
  <c r="D506" i="13"/>
  <c r="C506" i="13"/>
  <c r="C1323" i="16" s="1"/>
  <c r="C505" i="13"/>
  <c r="C1322" i="16" s="1"/>
  <c r="D505" i="13"/>
  <c r="I443" i="13"/>
  <c r="I427" i="13"/>
  <c r="H1243" i="16" s="1"/>
  <c r="I45" i="13"/>
  <c r="C26" i="13"/>
  <c r="D25" i="13"/>
  <c r="D24" i="13"/>
  <c r="D23" i="13"/>
  <c r="C23" i="13"/>
  <c r="C22" i="13"/>
  <c r="C21" i="13"/>
  <c r="D20" i="13"/>
  <c r="C20" i="13"/>
  <c r="C24" i="13"/>
  <c r="H47" i="14"/>
  <c r="H2154" i="16" s="1"/>
  <c r="H46" i="14"/>
  <c r="H2153" i="16" s="1"/>
  <c r="H45" i="14"/>
  <c r="H2152" i="16" s="1"/>
  <c r="D164" i="17"/>
  <c r="H202" i="17"/>
  <c r="G174" i="17"/>
  <c r="H146" i="17"/>
  <c r="H2033" i="16" s="1"/>
  <c r="H145" i="17"/>
  <c r="H2032" i="16" s="1"/>
  <c r="H142" i="17"/>
  <c r="D60" i="17"/>
  <c r="D1940" i="16" s="1"/>
  <c r="D59" i="17"/>
  <c r="D1939" i="16" s="1"/>
  <c r="C54" i="17"/>
  <c r="C1934" i="16" s="1"/>
  <c r="C50" i="17"/>
  <c r="C1930" i="16" s="1"/>
  <c r="E59" i="17"/>
  <c r="H127" i="17"/>
  <c r="H2014" i="16" s="1"/>
  <c r="H102" i="17"/>
  <c r="H101" i="17"/>
  <c r="H1981" i="16" s="1"/>
  <c r="H84" i="17"/>
  <c r="H1964" i="16" s="1"/>
  <c r="H16" i="17"/>
  <c r="H17" i="17"/>
  <c r="H1896" i="16" s="1"/>
  <c r="H1754" i="16" l="1"/>
  <c r="H1674" i="16"/>
  <c r="B210" i="19"/>
  <c r="C118" i="17"/>
  <c r="C2005" i="16" s="1"/>
  <c r="H1982" i="16"/>
  <c r="C103" i="13"/>
  <c r="C790" i="16"/>
  <c r="D401" i="13"/>
  <c r="D1217" i="16" s="1"/>
  <c r="D1323" i="16"/>
  <c r="C25" i="13"/>
  <c r="C793" i="16"/>
  <c r="D402" i="13"/>
  <c r="D1218" i="16" s="1"/>
  <c r="D1324" i="16"/>
  <c r="D394" i="18"/>
  <c r="H1756" i="16"/>
  <c r="D103" i="13"/>
  <c r="D228" i="13" s="1"/>
  <c r="D1044" i="16" s="1"/>
  <c r="D790" i="16"/>
  <c r="D400" i="13"/>
  <c r="D1216" i="16" s="1"/>
  <c r="D1322" i="16"/>
  <c r="C109" i="13"/>
  <c r="C893" i="16" s="1"/>
  <c r="C796" i="16"/>
  <c r="C107" i="13"/>
  <c r="C891" i="16" s="1"/>
  <c r="C794" i="16"/>
  <c r="D157" i="18"/>
  <c r="H1515" i="16"/>
  <c r="G207" i="17"/>
  <c r="G2095" i="16" s="1"/>
  <c r="H2090" i="16"/>
  <c r="D108" i="13"/>
  <c r="D892" i="16" s="1"/>
  <c r="D795" i="16"/>
  <c r="H78" i="17"/>
  <c r="H1958" i="16" s="1"/>
  <c r="E1939" i="16"/>
  <c r="C104" i="13"/>
  <c r="C791" i="16"/>
  <c r="D107" i="13"/>
  <c r="D794" i="16"/>
  <c r="H85" i="17"/>
  <c r="H1965" i="16" s="1"/>
  <c r="H1895" i="16"/>
  <c r="H34" i="18"/>
  <c r="H1396" i="16" s="1"/>
  <c r="D236" i="18"/>
  <c r="H1596" i="16"/>
  <c r="H204" i="17"/>
  <c r="H2092" i="16" s="1"/>
  <c r="H2029" i="16"/>
  <c r="G2062" i="16"/>
  <c r="G80" i="15"/>
  <c r="G263" i="16" s="1"/>
  <c r="D403" i="13"/>
  <c r="D1219" i="16" s="1"/>
  <c r="D1325" i="16"/>
  <c r="I445" i="13"/>
  <c r="H1262" i="16" s="1"/>
  <c r="H1260" i="16"/>
  <c r="C105" i="13"/>
  <c r="C889" i="16" s="1"/>
  <c r="C792" i="16"/>
  <c r="D106" i="13"/>
  <c r="D890" i="16" s="1"/>
  <c r="D793" i="16"/>
  <c r="I51" i="13"/>
  <c r="H828" i="16" s="1"/>
  <c r="H822" i="16"/>
  <c r="D315" i="18"/>
  <c r="H1676" i="16"/>
  <c r="I435" i="13"/>
  <c r="H512" i="13"/>
  <c r="F1329" i="16" s="1"/>
  <c r="D407" i="13"/>
  <c r="D1223" i="16" s="1"/>
  <c r="J505" i="13"/>
  <c r="H1322" i="16" s="1"/>
  <c r="C400" i="13"/>
  <c r="C507" i="13"/>
  <c r="C401" i="13"/>
  <c r="J508" i="13"/>
  <c r="H1325" i="16" s="1"/>
  <c r="C403" i="13"/>
  <c r="H68" i="18"/>
  <c r="H1430" i="16" s="1"/>
  <c r="H8" i="18"/>
  <c r="H14" i="18"/>
  <c r="H1375" i="16" s="1"/>
  <c r="H24" i="18"/>
  <c r="H1386" i="16" s="1"/>
  <c r="H12" i="18"/>
  <c r="H1373" i="16" s="1"/>
  <c r="J506" i="13"/>
  <c r="C509" i="13"/>
  <c r="I479" i="13"/>
  <c r="I437" i="13"/>
  <c r="C153" i="13"/>
  <c r="D153" i="13"/>
  <c r="C154" i="13"/>
  <c r="C972" i="16" s="1"/>
  <c r="C106" i="13"/>
  <c r="C890" i="16" s="1"/>
  <c r="H21" i="13"/>
  <c r="H791" i="16" s="1"/>
  <c r="I49" i="13"/>
  <c r="H826" i="16" s="1"/>
  <c r="H22" i="13"/>
  <c r="H792" i="16" s="1"/>
  <c r="H23" i="13"/>
  <c r="H793" i="16" s="1"/>
  <c r="H20" i="13"/>
  <c r="H790" i="16" s="1"/>
  <c r="H24" i="13"/>
  <c r="H794" i="16" s="1"/>
  <c r="H25" i="13"/>
  <c r="H795" i="16" s="1"/>
  <c r="G208" i="17"/>
  <c r="G2096" i="16" s="1"/>
  <c r="H120" i="17"/>
  <c r="H18" i="17"/>
  <c r="H1897" i="16" s="1"/>
  <c r="H160" i="17"/>
  <c r="H2048" i="16" s="1"/>
  <c r="C117" i="17"/>
  <c r="E60" i="17"/>
  <c r="E1940" i="16" s="1"/>
  <c r="H149" i="17"/>
  <c r="H2036" i="16" s="1"/>
  <c r="H148" i="17"/>
  <c r="H2035" i="16" s="1"/>
  <c r="H150" i="17"/>
  <c r="H2037" i="16" s="1"/>
  <c r="F190" i="17"/>
  <c r="F2078" i="16" s="1"/>
  <c r="I54" i="13" l="1"/>
  <c r="H831" i="16" s="1"/>
  <c r="B211" i="19"/>
  <c r="F403" i="13"/>
  <c r="F1219" i="16" s="1"/>
  <c r="C1219" i="16"/>
  <c r="D1759" i="16"/>
  <c r="D97" i="15"/>
  <c r="H67" i="18"/>
  <c r="H1429" i="16" s="1"/>
  <c r="H1369" i="16"/>
  <c r="C229" i="13"/>
  <c r="C1045" i="16" s="1"/>
  <c r="C888" i="16"/>
  <c r="C265" i="13"/>
  <c r="C1082" i="16" s="1"/>
  <c r="C971" i="16"/>
  <c r="I473" i="13"/>
  <c r="H1291" i="16" s="1"/>
  <c r="H1254" i="16"/>
  <c r="C108" i="13"/>
  <c r="C892" i="16" s="1"/>
  <c r="C795" i="16"/>
  <c r="F401" i="13"/>
  <c r="F1217" i="16" s="1"/>
  <c r="C1217" i="16"/>
  <c r="I481" i="13"/>
  <c r="H1299" i="16" s="1"/>
  <c r="H1297" i="16"/>
  <c r="D1518" i="16"/>
  <c r="D88" i="15"/>
  <c r="D265" i="13"/>
  <c r="D1082" i="16" s="1"/>
  <c r="D971" i="16"/>
  <c r="H118" i="17"/>
  <c r="H2005" i="16" s="1"/>
  <c r="C2004" i="16"/>
  <c r="F400" i="13"/>
  <c r="F1216" i="16" s="1"/>
  <c r="C1216" i="16"/>
  <c r="I471" i="13"/>
  <c r="H1289" i="16" s="1"/>
  <c r="H1252" i="16"/>
  <c r="C404" i="13"/>
  <c r="C1220" i="16" s="1"/>
  <c r="C1326" i="16"/>
  <c r="J507" i="13"/>
  <c r="H1324" i="16" s="1"/>
  <c r="H1323" i="16"/>
  <c r="D1679" i="16"/>
  <c r="D94" i="15"/>
  <c r="D1599" i="16"/>
  <c r="D91" i="15"/>
  <c r="H107" i="13"/>
  <c r="H891" i="16" s="1"/>
  <c r="D891" i="16"/>
  <c r="C228" i="13"/>
  <c r="C1044" i="16" s="1"/>
  <c r="C887" i="16"/>
  <c r="H103" i="13"/>
  <c r="H887" i="16" s="1"/>
  <c r="D887" i="16"/>
  <c r="C402" i="13"/>
  <c r="C1324" i="16"/>
  <c r="H143" i="17"/>
  <c r="H2030" i="16" s="1"/>
  <c r="H2007" i="16"/>
  <c r="H15" i="18"/>
  <c r="C510" i="13"/>
  <c r="C1327" i="16" s="1"/>
  <c r="J509" i="13"/>
  <c r="H1326" i="16" s="1"/>
  <c r="H151" i="17"/>
  <c r="H170" i="17"/>
  <c r="H2058" i="16" s="1"/>
  <c r="B217" i="19" l="1"/>
  <c r="H70" i="18"/>
  <c r="H1432" i="16" s="1"/>
  <c r="H72" i="18"/>
  <c r="H1434" i="16" s="1"/>
  <c r="I285" i="13"/>
  <c r="H1101" i="16" s="1"/>
  <c r="H119" i="17"/>
  <c r="H121" i="17" s="1"/>
  <c r="H122" i="17"/>
  <c r="H2009" i="16" s="1"/>
  <c r="D340" i="13"/>
  <c r="H340" i="13" s="1"/>
  <c r="H1155" i="16" s="1"/>
  <c r="F402" i="13"/>
  <c r="F1218" i="16" s="1"/>
  <c r="C1218" i="16"/>
  <c r="D271" i="16"/>
  <c r="D281" i="16"/>
  <c r="C340" i="13"/>
  <c r="C1155" i="16" s="1"/>
  <c r="H144" i="17"/>
  <c r="H42" i="18"/>
  <c r="H1404" i="16" s="1"/>
  <c r="H1376" i="16"/>
  <c r="D277" i="16"/>
  <c r="H153" i="17"/>
  <c r="H2038" i="16"/>
  <c r="D274" i="16"/>
  <c r="H71" i="18"/>
  <c r="H1433" i="16" s="1"/>
  <c r="C511" i="13"/>
  <c r="C405" i="13"/>
  <c r="C1221" i="16" s="1"/>
  <c r="H17" i="18"/>
  <c r="C512" i="13"/>
  <c r="C1329" i="16" s="1"/>
  <c r="J511" i="13"/>
  <c r="H1328" i="16" s="1"/>
  <c r="J510" i="13"/>
  <c r="H1327" i="16" s="1"/>
  <c r="I291" i="13"/>
  <c r="H1107" i="16" s="1"/>
  <c r="H178" i="17"/>
  <c r="D1155" i="16" l="1"/>
  <c r="D194" i="19"/>
  <c r="D213" i="19"/>
  <c r="D196" i="19"/>
  <c r="D195" i="19"/>
  <c r="D212" i="19"/>
  <c r="D197" i="19"/>
  <c r="D198" i="19"/>
  <c r="D199" i="19"/>
  <c r="D200" i="19"/>
  <c r="D201" i="19"/>
  <c r="D214" i="19"/>
  <c r="D216" i="19"/>
  <c r="D202" i="19"/>
  <c r="D203" i="19"/>
  <c r="D215" i="19"/>
  <c r="D204" i="19"/>
  <c r="D205" i="19"/>
  <c r="D206" i="19"/>
  <c r="D207" i="19"/>
  <c r="D208" i="19"/>
  <c r="D209" i="19"/>
  <c r="D210" i="19"/>
  <c r="I289" i="13"/>
  <c r="H1105" i="16" s="1"/>
  <c r="D211" i="19"/>
  <c r="H2006" i="16"/>
  <c r="H2008" i="16"/>
  <c r="H126" i="17"/>
  <c r="H2013" i="16" s="1"/>
  <c r="H123" i="17"/>
  <c r="H2010" i="16" s="1"/>
  <c r="H18" i="18"/>
  <c r="H1378" i="16"/>
  <c r="C406" i="13"/>
  <c r="C1222" i="16" s="1"/>
  <c r="C1328" i="16"/>
  <c r="G181" i="17"/>
  <c r="G2069" i="16" s="1"/>
  <c r="H2066" i="16"/>
  <c r="H154" i="17"/>
  <c r="H2040" i="16"/>
  <c r="H73" i="18"/>
  <c r="H201" i="17"/>
  <c r="H2031" i="16"/>
  <c r="J512" i="13"/>
  <c r="H1329" i="16" s="1"/>
  <c r="C407" i="13"/>
  <c r="G45" i="18"/>
  <c r="G1407" i="16" s="1"/>
  <c r="I294" i="13"/>
  <c r="H1110" i="16" s="1"/>
  <c r="G61" i="17"/>
  <c r="D217" i="19" l="1"/>
  <c r="F212" i="19" s="1"/>
  <c r="F164" i="17"/>
  <c r="F2052" i="16" s="1"/>
  <c r="H2041" i="16"/>
  <c r="F407" i="13"/>
  <c r="F1223" i="16" s="1"/>
  <c r="C1223" i="16"/>
  <c r="H2089" i="16"/>
  <c r="H203" i="17"/>
  <c r="H75" i="18"/>
  <c r="H1435" i="16"/>
  <c r="F28" i="18"/>
  <c r="F1390" i="16" s="1"/>
  <c r="H1379" i="16"/>
  <c r="H111" i="14"/>
  <c r="H2228" i="16" s="1"/>
  <c r="H110" i="14"/>
  <c r="H2227" i="16" s="1"/>
  <c r="H109" i="14"/>
  <c r="H2226" i="16" s="1"/>
  <c r="H79" i="14"/>
  <c r="H2190" i="16" s="1"/>
  <c r="F215" i="19" l="1"/>
  <c r="F208" i="19"/>
  <c r="F210" i="19"/>
  <c r="F214" i="19"/>
  <c r="F201" i="19"/>
  <c r="F203" i="19"/>
  <c r="F195" i="19"/>
  <c r="F198" i="19"/>
  <c r="F196" i="19"/>
  <c r="F194" i="19"/>
  <c r="F216" i="19"/>
  <c r="F199" i="19"/>
  <c r="F213" i="19"/>
  <c r="F205" i="19"/>
  <c r="F200" i="19"/>
  <c r="F207" i="19"/>
  <c r="F209" i="19"/>
  <c r="F211" i="19"/>
  <c r="F202" i="19"/>
  <c r="F206" i="19"/>
  <c r="F204" i="19"/>
  <c r="F197" i="19"/>
  <c r="D78" i="18"/>
  <c r="H1437" i="16"/>
  <c r="H206" i="17"/>
  <c r="H2091" i="16"/>
  <c r="H80" i="14"/>
  <c r="H2191" i="16" s="1"/>
  <c r="H207" i="17" l="1"/>
  <c r="H2094" i="16"/>
  <c r="D1440" i="16"/>
  <c r="D85" i="15"/>
  <c r="I84" i="11"/>
  <c r="H678" i="16" s="1"/>
  <c r="I89" i="11"/>
  <c r="H683" i="16" s="1"/>
  <c r="D56" i="11"/>
  <c r="I124" i="11"/>
  <c r="H721" i="16" s="1"/>
  <c r="I43" i="8"/>
  <c r="H394" i="16" s="1"/>
  <c r="I42" i="8"/>
  <c r="H393" i="16" s="1"/>
  <c r="I7" i="11"/>
  <c r="H613" i="16" s="1"/>
  <c r="I5" i="11"/>
  <c r="H611" i="16" s="1"/>
  <c r="I6" i="11"/>
  <c r="H612" i="16" s="1"/>
  <c r="D58" i="11" l="1"/>
  <c r="D57" i="11"/>
  <c r="D665" i="16"/>
  <c r="D268" i="16"/>
  <c r="H208" i="17"/>
  <c r="H2096" i="16" s="1"/>
  <c r="H2095" i="16"/>
  <c r="H883" i="16"/>
  <c r="I3" i="11"/>
  <c r="H609" i="16" s="1"/>
  <c r="D667" i="16" l="1"/>
  <c r="D59" i="11"/>
  <c r="D666" i="16"/>
  <c r="I125" i="11"/>
  <c r="H722" i="16" s="1"/>
  <c r="G63" i="11"/>
  <c r="G672" i="16" s="1"/>
  <c r="F63" i="11"/>
  <c r="F672" i="16" s="1"/>
  <c r="C63" i="11"/>
  <c r="C672" i="16" s="1"/>
  <c r="B63" i="11"/>
  <c r="B672" i="16" s="1"/>
  <c r="G62" i="11"/>
  <c r="G671" i="16" s="1"/>
  <c r="F62" i="11"/>
  <c r="F671" i="16" s="1"/>
  <c r="C62" i="11"/>
  <c r="C671" i="16" s="1"/>
  <c r="B62" i="11"/>
  <c r="B671" i="16" s="1"/>
  <c r="G61" i="11"/>
  <c r="G670" i="16" s="1"/>
  <c r="F61" i="11"/>
  <c r="F670" i="16" s="1"/>
  <c r="C61" i="11"/>
  <c r="C670" i="16" s="1"/>
  <c r="B61" i="11"/>
  <c r="B670" i="16" s="1"/>
  <c r="G60" i="11"/>
  <c r="G669" i="16" s="1"/>
  <c r="F60" i="11"/>
  <c r="F669" i="16" s="1"/>
  <c r="C60" i="11"/>
  <c r="C669" i="16" s="1"/>
  <c r="B60" i="11"/>
  <c r="B669" i="16" s="1"/>
  <c r="G59" i="11"/>
  <c r="G668" i="16" s="1"/>
  <c r="F59" i="11"/>
  <c r="F668" i="16" s="1"/>
  <c r="C59" i="11"/>
  <c r="C668" i="16" s="1"/>
  <c r="B59" i="11"/>
  <c r="B668" i="16" s="1"/>
  <c r="G58" i="11"/>
  <c r="G667" i="16" s="1"/>
  <c r="F58" i="11"/>
  <c r="F667" i="16" s="1"/>
  <c r="C58" i="11"/>
  <c r="C667" i="16" s="1"/>
  <c r="B58" i="11"/>
  <c r="B667" i="16" s="1"/>
  <c r="G57" i="11"/>
  <c r="G666" i="16" s="1"/>
  <c r="C57" i="11"/>
  <c r="C666" i="16" s="1"/>
  <c r="H56" i="11"/>
  <c r="G56" i="11"/>
  <c r="G665" i="16" s="1"/>
  <c r="C56" i="11"/>
  <c r="C665" i="16" s="1"/>
  <c r="I10" i="11"/>
  <c r="I4" i="11"/>
  <c r="H610" i="16" s="1"/>
  <c r="I2" i="11"/>
  <c r="H58" i="11" l="1"/>
  <c r="D27" i="17" s="1"/>
  <c r="D1906" i="16" s="1"/>
  <c r="H665" i="16"/>
  <c r="D668" i="16"/>
  <c r="I94" i="11"/>
  <c r="H688" i="16" s="1"/>
  <c r="H608" i="16"/>
  <c r="C673" i="16"/>
  <c r="I126" i="11"/>
  <c r="H723" i="16" s="1"/>
  <c r="H616" i="16"/>
  <c r="G673" i="16"/>
  <c r="H63" i="11"/>
  <c r="C68" i="17"/>
  <c r="C1948" i="16" s="1"/>
  <c r="D25" i="17"/>
  <c r="D1904" i="16" s="1"/>
  <c r="D63" i="11"/>
  <c r="H57" i="11"/>
  <c r="E63" i="11"/>
  <c r="E672" i="16" s="1"/>
  <c r="I96" i="11"/>
  <c r="P214" i="8"/>
  <c r="G602" i="16" s="1"/>
  <c r="Q214" i="8"/>
  <c r="H602" i="16" s="1"/>
  <c r="P212" i="8"/>
  <c r="G600" i="16" s="1"/>
  <c r="Q212" i="8"/>
  <c r="H600" i="16" s="1"/>
  <c r="P211" i="8"/>
  <c r="G599" i="16" s="1"/>
  <c r="Q211" i="8"/>
  <c r="H599" i="16" s="1"/>
  <c r="O191" i="8"/>
  <c r="F30" i="7"/>
  <c r="P194" i="8" s="1"/>
  <c r="G583" i="16" s="1"/>
  <c r="F29" i="7"/>
  <c r="P193" i="8" s="1"/>
  <c r="D28" i="7"/>
  <c r="N192" i="8" s="1"/>
  <c r="D26" i="7"/>
  <c r="N190" i="8" s="1"/>
  <c r="D25" i="7"/>
  <c r="N189" i="8" s="1"/>
  <c r="D24" i="7"/>
  <c r="N188" i="8" s="1"/>
  <c r="D23" i="7"/>
  <c r="N187" i="8" s="1"/>
  <c r="E581" i="16" l="1"/>
  <c r="O107" i="13"/>
  <c r="F926" i="16" s="1"/>
  <c r="E578" i="16"/>
  <c r="O104" i="13"/>
  <c r="F923" i="16" s="1"/>
  <c r="F580" i="16"/>
  <c r="P106" i="13"/>
  <c r="G925" i="16" s="1"/>
  <c r="E577" i="16"/>
  <c r="O103" i="13"/>
  <c r="F922" i="16" s="1"/>
  <c r="E576" i="16"/>
  <c r="O102" i="13"/>
  <c r="E579" i="16"/>
  <c r="O105" i="13"/>
  <c r="F924" i="16" s="1"/>
  <c r="P208" i="8"/>
  <c r="G582" i="16"/>
  <c r="C70" i="17"/>
  <c r="C1950" i="16" s="1"/>
  <c r="H667" i="16"/>
  <c r="I63" i="11"/>
  <c r="I672" i="16" s="1"/>
  <c r="H59" i="11"/>
  <c r="H666" i="16"/>
  <c r="H672" i="16"/>
  <c r="D672" i="16"/>
  <c r="I97" i="11"/>
  <c r="H691" i="16" s="1"/>
  <c r="H690" i="16"/>
  <c r="H60" i="11"/>
  <c r="D26" i="17"/>
  <c r="D1905" i="16" s="1"/>
  <c r="C69" i="17"/>
  <c r="C1949" i="16" s="1"/>
  <c r="D28" i="17"/>
  <c r="D1907" i="16" s="1"/>
  <c r="C71" i="17"/>
  <c r="C1951" i="16" s="1"/>
  <c r="F25" i="17"/>
  <c r="G1904" i="16" s="1"/>
  <c r="G25" i="17"/>
  <c r="H1904" i="16" s="1"/>
  <c r="E25" i="17"/>
  <c r="E1904" i="16" s="1"/>
  <c r="F68" i="17"/>
  <c r="F1948" i="16" s="1"/>
  <c r="H68" i="17"/>
  <c r="H1948" i="16" s="1"/>
  <c r="C75" i="17"/>
  <c r="C1955" i="16" s="1"/>
  <c r="D32" i="17"/>
  <c r="D1911" i="16" s="1"/>
  <c r="H62" i="11"/>
  <c r="H61" i="11"/>
  <c r="D60" i="11"/>
  <c r="D62" i="11"/>
  <c r="D61" i="11"/>
  <c r="P215" i="8"/>
  <c r="G603" i="16" s="1"/>
  <c r="P213" i="8"/>
  <c r="G601" i="16" s="1"/>
  <c r="I48" i="11"/>
  <c r="G137" i="11"/>
  <c r="I11" i="11"/>
  <c r="H617" i="16" s="1"/>
  <c r="I49" i="11"/>
  <c r="H658" i="16" s="1"/>
  <c r="I56" i="11"/>
  <c r="I665" i="16" s="1"/>
  <c r="I59" i="11"/>
  <c r="I668" i="16" s="1"/>
  <c r="E58" i="11"/>
  <c r="E667" i="16" s="1"/>
  <c r="G64" i="11"/>
  <c r="C64" i="11"/>
  <c r="I58" i="11"/>
  <c r="I667" i="16" s="1"/>
  <c r="I57" i="11"/>
  <c r="I666" i="16" s="1"/>
  <c r="E59" i="11"/>
  <c r="E668" i="16" s="1"/>
  <c r="E57" i="11"/>
  <c r="E666" i="16" s="1"/>
  <c r="G86" i="11"/>
  <c r="I127" i="11"/>
  <c r="H725" i="16" s="1"/>
  <c r="I86" i="11"/>
  <c r="E56" i="11"/>
  <c r="E665" i="16" s="1"/>
  <c r="F70" i="17" l="1"/>
  <c r="F1950" i="16" s="1"/>
  <c r="H571" i="16"/>
  <c r="G596" i="16"/>
  <c r="H115" i="14"/>
  <c r="H2232" i="16" s="1"/>
  <c r="F921" i="16"/>
  <c r="I374" i="13"/>
  <c r="I131" i="13"/>
  <c r="H915" i="16" s="1"/>
  <c r="H668" i="16"/>
  <c r="I60" i="11"/>
  <c r="I669" i="16" s="1"/>
  <c r="H669" i="16"/>
  <c r="H670" i="16"/>
  <c r="H671" i="16"/>
  <c r="D669" i="16"/>
  <c r="I91" i="11"/>
  <c r="H685" i="16" s="1"/>
  <c r="H680" i="16"/>
  <c r="G140" i="11"/>
  <c r="H657" i="16"/>
  <c r="G91" i="11"/>
  <c r="F685" i="16" s="1"/>
  <c r="F680" i="16"/>
  <c r="F738" i="16"/>
  <c r="F46" i="15"/>
  <c r="F226" i="16" s="1"/>
  <c r="G147" i="11"/>
  <c r="E61" i="11"/>
  <c r="E670" i="16" s="1"/>
  <c r="D670" i="16"/>
  <c r="E62" i="11"/>
  <c r="E671" i="16" s="1"/>
  <c r="D671" i="16"/>
  <c r="F71" i="17"/>
  <c r="F1951" i="16" s="1"/>
  <c r="I61" i="11"/>
  <c r="I670" i="16" s="1"/>
  <c r="C73" i="17"/>
  <c r="C1953" i="16" s="1"/>
  <c r="D30" i="17"/>
  <c r="D1909" i="16" s="1"/>
  <c r="F69" i="17"/>
  <c r="F1949" i="16" s="1"/>
  <c r="F75" i="17"/>
  <c r="F1955" i="16" s="1"/>
  <c r="I62" i="11"/>
  <c r="I671" i="16" s="1"/>
  <c r="C74" i="17"/>
  <c r="C1954" i="16" s="1"/>
  <c r="D31" i="17"/>
  <c r="D1910" i="16" s="1"/>
  <c r="C72" i="17"/>
  <c r="C1952" i="16" s="1"/>
  <c r="D29" i="17"/>
  <c r="D1908" i="16" s="1"/>
  <c r="I87" i="11"/>
  <c r="H681" i="16" s="1"/>
  <c r="I65" i="11"/>
  <c r="I101" i="11"/>
  <c r="H698" i="16" s="1"/>
  <c r="I128" i="11"/>
  <c r="I110" i="11"/>
  <c r="H707" i="16" s="1"/>
  <c r="L55" i="11"/>
  <c r="I108" i="11"/>
  <c r="H705" i="16" s="1"/>
  <c r="I109" i="11"/>
  <c r="H706" i="16" s="1"/>
  <c r="I66" i="11"/>
  <c r="I111" i="11"/>
  <c r="H708" i="16" s="1"/>
  <c r="E60" i="11"/>
  <c r="H1190" i="16" l="1"/>
  <c r="H430" i="18"/>
  <c r="H418" i="18"/>
  <c r="H675" i="16"/>
  <c r="H49" i="6"/>
  <c r="L104" i="6" s="1"/>
  <c r="I673" i="16"/>
  <c r="E64" i="11"/>
  <c r="E669" i="16"/>
  <c r="E673" i="16" s="1"/>
  <c r="H726" i="16"/>
  <c r="I129" i="11"/>
  <c r="H727" i="16" s="1"/>
  <c r="L58" i="6"/>
  <c r="M58" i="6" s="1"/>
  <c r="H676" i="16"/>
  <c r="F741" i="16"/>
  <c r="F49" i="15"/>
  <c r="F229" i="16" s="1"/>
  <c r="G150" i="11"/>
  <c r="G160" i="11" s="1"/>
  <c r="F748" i="16"/>
  <c r="F56" i="15"/>
  <c r="F236" i="16" s="1"/>
  <c r="G157" i="11"/>
  <c r="I92" i="11"/>
  <c r="H686" i="16" s="1"/>
  <c r="I64" i="11"/>
  <c r="F73" i="17"/>
  <c r="F1953" i="16" s="1"/>
  <c r="F72" i="17"/>
  <c r="F1952" i="16" s="1"/>
  <c r="F74" i="17"/>
  <c r="F1954" i="16" s="1"/>
  <c r="C51" i="17"/>
  <c r="C1931" i="16" s="1"/>
  <c r="H19" i="17"/>
  <c r="H1898" i="16" s="1"/>
  <c r="N55" i="11"/>
  <c r="P55" i="11" s="1"/>
  <c r="F50" i="17"/>
  <c r="F1930" i="16" s="1"/>
  <c r="I100" i="11"/>
  <c r="H697" i="16" s="1"/>
  <c r="H1786" i="16" l="1"/>
  <c r="H419" i="18"/>
  <c r="H1787" i="16" s="1"/>
  <c r="H1798" i="16"/>
  <c r="H432" i="18"/>
  <c r="F751" i="16"/>
  <c r="F59" i="15"/>
  <c r="F239" i="16" s="1"/>
  <c r="L105" i="6"/>
  <c r="I130" i="11"/>
  <c r="F758" i="16"/>
  <c r="F66" i="15"/>
  <c r="F246" i="16" s="1"/>
  <c r="I43" i="6"/>
  <c r="H86" i="17"/>
  <c r="H1966" i="16" s="1"/>
  <c r="H20" i="17"/>
  <c r="H1899" i="16" s="1"/>
  <c r="H21" i="17"/>
  <c r="H1900" i="16" s="1"/>
  <c r="I44" i="6"/>
  <c r="C53" i="17"/>
  <c r="F52" i="17"/>
  <c r="F51" i="17"/>
  <c r="C59" i="17"/>
  <c r="C1939" i="16" s="1"/>
  <c r="V175" i="8"/>
  <c r="V177" i="8"/>
  <c r="V179" i="8"/>
  <c r="I84" i="8"/>
  <c r="H435" i="16" s="1"/>
  <c r="I83" i="8"/>
  <c r="H434" i="16" s="1"/>
  <c r="D439" i="18" l="1"/>
  <c r="H1800" i="16"/>
  <c r="E31" i="17"/>
  <c r="E1910" i="16" s="1"/>
  <c r="E32" i="17"/>
  <c r="E1911" i="16" s="1"/>
  <c r="E29" i="17"/>
  <c r="E1908" i="16" s="1"/>
  <c r="E30" i="17"/>
  <c r="E1909" i="16" s="1"/>
  <c r="E27" i="17"/>
  <c r="E1906" i="16" s="1"/>
  <c r="E28" i="17"/>
  <c r="E1907" i="16" s="1"/>
  <c r="V176" i="8"/>
  <c r="H550" i="16" s="1"/>
  <c r="H551" i="16"/>
  <c r="E26" i="17"/>
  <c r="E1905" i="16" s="1"/>
  <c r="C1933" i="16"/>
  <c r="F761" i="16"/>
  <c r="F69" i="15"/>
  <c r="F249" i="16" s="1"/>
  <c r="G134" i="11"/>
  <c r="H728" i="16"/>
  <c r="V178" i="8"/>
  <c r="H552" i="16" s="1"/>
  <c r="H553" i="16"/>
  <c r="H60" i="17"/>
  <c r="H1940" i="16" s="1"/>
  <c r="F1932" i="16"/>
  <c r="V174" i="8"/>
  <c r="H548" i="16" s="1"/>
  <c r="H549" i="16"/>
  <c r="H59" i="17"/>
  <c r="H1939" i="16" s="1"/>
  <c r="F1931" i="16"/>
  <c r="H90" i="17"/>
  <c r="H1970" i="16" s="1"/>
  <c r="H91" i="17"/>
  <c r="H1971" i="16" s="1"/>
  <c r="C60" i="17"/>
  <c r="F59" i="17"/>
  <c r="F1939" i="16" s="1"/>
  <c r="I180" i="8"/>
  <c r="I85" i="8"/>
  <c r="F100" i="15" l="1"/>
  <c r="F284" i="16" s="1"/>
  <c r="D1808" i="16"/>
  <c r="H441" i="18"/>
  <c r="E439" i="18"/>
  <c r="H439" i="18"/>
  <c r="I86" i="8"/>
  <c r="H437" i="16" s="1"/>
  <c r="H436" i="16"/>
  <c r="F60" i="17"/>
  <c r="F1940" i="16" s="1"/>
  <c r="C1940" i="16"/>
  <c r="H530" i="16"/>
  <c r="H62" i="17"/>
  <c r="H1942" i="16" s="1"/>
  <c r="F735" i="16"/>
  <c r="F43" i="15"/>
  <c r="F223" i="16" s="1"/>
  <c r="G144" i="11"/>
  <c r="I97" i="13"/>
  <c r="H881" i="16" s="1"/>
  <c r="H1810" i="16" l="1"/>
  <c r="H445" i="18"/>
  <c r="H1814" i="16" s="1"/>
  <c r="E1808" i="16"/>
  <c r="H1808" i="16"/>
  <c r="I87" i="8"/>
  <c r="H438" i="16" s="1"/>
  <c r="F745" i="16"/>
  <c r="F53" i="15"/>
  <c r="F233" i="16" s="1"/>
  <c r="G154" i="11"/>
  <c r="I45" i="8"/>
  <c r="H396" i="16" s="1"/>
  <c r="F755" i="16" l="1"/>
  <c r="F63" i="15"/>
  <c r="F243" i="16" s="1"/>
  <c r="I46" i="8"/>
  <c r="I89" i="8"/>
  <c r="H440" i="16" s="1"/>
  <c r="S27" i="8"/>
  <c r="E373" i="16" s="1"/>
  <c r="S29" i="8"/>
  <c r="E375" i="16" s="1"/>
  <c r="Q22" i="8"/>
  <c r="C368" i="16" s="1"/>
  <c r="R21" i="8"/>
  <c r="D367" i="16" s="1"/>
  <c r="Q21" i="8"/>
  <c r="C367" i="16" s="1"/>
  <c r="R20" i="8"/>
  <c r="Q20" i="8"/>
  <c r="R19" i="8"/>
  <c r="Q19" i="8"/>
  <c r="C365" i="16" s="1"/>
  <c r="R18" i="8"/>
  <c r="D364" i="16" s="1"/>
  <c r="Q18" i="8"/>
  <c r="C364" i="16" s="1"/>
  <c r="R17" i="8"/>
  <c r="R16" i="8"/>
  <c r="D362" i="16" s="1"/>
  <c r="Q15" i="8"/>
  <c r="C361" i="16" s="1"/>
  <c r="R14" i="8"/>
  <c r="Q14" i="8"/>
  <c r="C360" i="16" s="1"/>
  <c r="R13" i="8"/>
  <c r="Q13" i="8"/>
  <c r="R12" i="8"/>
  <c r="D358" i="16" s="1"/>
  <c r="Q12" i="8"/>
  <c r="R11" i="8"/>
  <c r="D357" i="16" s="1"/>
  <c r="R10" i="8"/>
  <c r="Q10" i="8"/>
  <c r="Q9" i="8"/>
  <c r="C355" i="16" s="1"/>
  <c r="R8" i="8"/>
  <c r="D354" i="16" s="1"/>
  <c r="Q8" i="8"/>
  <c r="C354" i="16" s="1"/>
  <c r="R7" i="8"/>
  <c r="Q6" i="8"/>
  <c r="C352" i="16" s="1"/>
  <c r="R5" i="8"/>
  <c r="D351" i="16" s="1"/>
  <c r="Q5" i="8"/>
  <c r="I18" i="8"/>
  <c r="I17" i="8"/>
  <c r="H345" i="16" s="1"/>
  <c r="I16" i="8"/>
  <c r="I15" i="8"/>
  <c r="R167" i="8" l="1"/>
  <c r="D541" i="16" s="1"/>
  <c r="D356" i="16"/>
  <c r="R176" i="8"/>
  <c r="D550" i="16" s="1"/>
  <c r="D365" i="16"/>
  <c r="R177" i="8"/>
  <c r="D551" i="16" s="1"/>
  <c r="D366" i="16"/>
  <c r="Q169" i="8"/>
  <c r="C358" i="16"/>
  <c r="Q170" i="8"/>
  <c r="C359" i="16"/>
  <c r="Q177" i="8"/>
  <c r="C366" i="16"/>
  <c r="R170" i="8"/>
  <c r="D544" i="16" s="1"/>
  <c r="D359" i="16"/>
  <c r="Q167" i="8"/>
  <c r="C356" i="16"/>
  <c r="I44" i="13"/>
  <c r="H397" i="16"/>
  <c r="R174" i="8"/>
  <c r="D548" i="16" s="1"/>
  <c r="D363" i="16"/>
  <c r="R164" i="8"/>
  <c r="D538" i="16" s="1"/>
  <c r="D353" i="16"/>
  <c r="I15" i="13"/>
  <c r="H785" i="16" s="1"/>
  <c r="H343" i="16"/>
  <c r="I41" i="8"/>
  <c r="H392" i="16" s="1"/>
  <c r="H344" i="16"/>
  <c r="I16" i="13"/>
  <c r="H786" i="16" s="1"/>
  <c r="H346" i="16"/>
  <c r="R171" i="8"/>
  <c r="D545" i="16" s="1"/>
  <c r="D360" i="16"/>
  <c r="Q162" i="8"/>
  <c r="U162" i="8" s="1"/>
  <c r="C351" i="16"/>
  <c r="I90" i="8"/>
  <c r="I73" i="13"/>
  <c r="Z20" i="8"/>
  <c r="Z14" i="8"/>
  <c r="Q171" i="8"/>
  <c r="R6" i="8"/>
  <c r="R162" i="8"/>
  <c r="D536" i="16" s="1"/>
  <c r="Z19" i="8"/>
  <c r="Q176" i="8"/>
  <c r="U176" i="8" s="1"/>
  <c r="R29" i="8"/>
  <c r="D375" i="16" s="1"/>
  <c r="R175" i="8"/>
  <c r="D549" i="16" s="1"/>
  <c r="Z15" i="8"/>
  <c r="Q172" i="8"/>
  <c r="R26" i="8"/>
  <c r="D372" i="16" s="1"/>
  <c r="R168" i="8"/>
  <c r="D542" i="16" s="1"/>
  <c r="R28" i="8"/>
  <c r="D374" i="16" s="1"/>
  <c r="R173" i="8"/>
  <c r="Z21" i="8"/>
  <c r="Q178" i="8"/>
  <c r="Z9" i="8"/>
  <c r="Q166" i="8"/>
  <c r="Q11" i="8"/>
  <c r="Q165" i="8"/>
  <c r="R27" i="8"/>
  <c r="D373" i="16" s="1"/>
  <c r="R169" i="8"/>
  <c r="R22" i="8"/>
  <c r="R178" i="8"/>
  <c r="D552" i="16" s="1"/>
  <c r="Z6" i="8"/>
  <c r="Q163" i="8"/>
  <c r="R25" i="8"/>
  <c r="D371" i="16" s="1"/>
  <c r="R165" i="8"/>
  <c r="D539" i="16" s="1"/>
  <c r="Q29" i="8"/>
  <c r="C375" i="16" s="1"/>
  <c r="Q175" i="8"/>
  <c r="Z22" i="8"/>
  <c r="Q179" i="8"/>
  <c r="U10" i="8"/>
  <c r="G356" i="16" s="1"/>
  <c r="U20" i="8"/>
  <c r="G366" i="16" s="1"/>
  <c r="Z18" i="8"/>
  <c r="Z29" i="8" s="1"/>
  <c r="U12" i="8"/>
  <c r="G358" i="16" s="1"/>
  <c r="U13" i="8"/>
  <c r="G359" i="16" s="1"/>
  <c r="Z13" i="8"/>
  <c r="U18" i="8"/>
  <c r="G364" i="16" s="1"/>
  <c r="Z10" i="8"/>
  <c r="U5" i="8"/>
  <c r="G351" i="16" s="1"/>
  <c r="U14" i="8"/>
  <c r="G360" i="16" s="1"/>
  <c r="U19" i="8"/>
  <c r="G365" i="16" s="1"/>
  <c r="Z5" i="8"/>
  <c r="U21" i="8"/>
  <c r="G367" i="16" s="1"/>
  <c r="U8" i="8"/>
  <c r="G354" i="16" s="1"/>
  <c r="R24" i="8"/>
  <c r="D370" i="16" s="1"/>
  <c r="Z12" i="8"/>
  <c r="Z8" i="8"/>
  <c r="Q27" i="8"/>
  <c r="C373" i="16" s="1"/>
  <c r="C551" i="16" l="1"/>
  <c r="U177" i="8"/>
  <c r="C544" i="16"/>
  <c r="U170" i="8"/>
  <c r="C541" i="16"/>
  <c r="U167" i="8"/>
  <c r="C537" i="16"/>
  <c r="C543" i="16"/>
  <c r="U169" i="8"/>
  <c r="C539" i="16"/>
  <c r="U165" i="8"/>
  <c r="C540" i="16"/>
  <c r="C553" i="16"/>
  <c r="U179" i="8"/>
  <c r="C552" i="16"/>
  <c r="U178" i="8"/>
  <c r="U171" i="8"/>
  <c r="C546" i="16"/>
  <c r="C549" i="16"/>
  <c r="U175" i="8"/>
  <c r="M104" i="6"/>
  <c r="Q28" i="19"/>
  <c r="Q29" i="19" s="1"/>
  <c r="V54" i="19" s="1"/>
  <c r="Q26" i="19"/>
  <c r="G106" i="13"/>
  <c r="G890" i="16" s="1"/>
  <c r="G108" i="13"/>
  <c r="G892" i="16" s="1"/>
  <c r="G107" i="13"/>
  <c r="I107" i="13" s="1"/>
  <c r="I891" i="16" s="1"/>
  <c r="G153" i="13"/>
  <c r="G971" i="16" s="1"/>
  <c r="G887" i="16"/>
  <c r="G23" i="13"/>
  <c r="I23" i="13" s="1"/>
  <c r="I793" i="16" s="1"/>
  <c r="C26" i="15"/>
  <c r="C206" i="16" s="1"/>
  <c r="C59" i="16"/>
  <c r="C536" i="16"/>
  <c r="G536" i="16"/>
  <c r="G545" i="16"/>
  <c r="C545" i="16"/>
  <c r="G20" i="13"/>
  <c r="G790" i="16" s="1"/>
  <c r="G24" i="13"/>
  <c r="W177" i="8"/>
  <c r="I551" i="16" s="1"/>
  <c r="G25" i="13"/>
  <c r="Q168" i="8"/>
  <c r="C357" i="16"/>
  <c r="G340" i="13"/>
  <c r="G1155" i="16" s="1"/>
  <c r="G550" i="16"/>
  <c r="C550" i="16"/>
  <c r="V173" i="8"/>
  <c r="H547" i="16" s="1"/>
  <c r="D547" i="16"/>
  <c r="G265" i="13"/>
  <c r="G1082" i="16" s="1"/>
  <c r="G544" i="16"/>
  <c r="I201" i="13"/>
  <c r="H857" i="16"/>
  <c r="G508" i="13"/>
  <c r="E1325" i="16" s="1"/>
  <c r="G541" i="16"/>
  <c r="I74" i="13"/>
  <c r="H441" i="16"/>
  <c r="G512" i="13"/>
  <c r="E1329" i="16" s="1"/>
  <c r="F61" i="16"/>
  <c r="F28" i="15"/>
  <c r="F208" i="16" s="1"/>
  <c r="I43" i="13"/>
  <c r="H820" i="16" s="1"/>
  <c r="G505" i="13"/>
  <c r="E1322" i="16" s="1"/>
  <c r="R163" i="8"/>
  <c r="D537" i="16" s="1"/>
  <c r="D352" i="16"/>
  <c r="I50" i="8"/>
  <c r="I51" i="8" s="1"/>
  <c r="H402" i="16" s="1"/>
  <c r="G507" i="13"/>
  <c r="E1324" i="16" s="1"/>
  <c r="R179" i="8"/>
  <c r="D553" i="16" s="1"/>
  <c r="D368" i="16"/>
  <c r="V169" i="8"/>
  <c r="H543" i="16" s="1"/>
  <c r="D543" i="16"/>
  <c r="F62" i="16"/>
  <c r="F29" i="15"/>
  <c r="F209" i="16" s="1"/>
  <c r="G1044" i="16"/>
  <c r="G506" i="13"/>
  <c r="E1323" i="16" s="1"/>
  <c r="I172" i="13"/>
  <c r="H821" i="16"/>
  <c r="H505" i="13"/>
  <c r="F1322" i="16" s="1"/>
  <c r="K512" i="13"/>
  <c r="I1329" i="16" s="1"/>
  <c r="D21" i="13"/>
  <c r="D791" i="16" s="1"/>
  <c r="C50" i="6"/>
  <c r="I118" i="8" s="1"/>
  <c r="D26" i="13"/>
  <c r="D796" i="16" s="1"/>
  <c r="I173" i="13"/>
  <c r="H990" i="16" s="1"/>
  <c r="I129" i="13"/>
  <c r="H912" i="16" s="1"/>
  <c r="H87" i="17"/>
  <c r="H1967" i="16" s="1"/>
  <c r="H15" i="14"/>
  <c r="H48" i="14"/>
  <c r="H2155" i="16" s="1"/>
  <c r="I49" i="6"/>
  <c r="Z4" i="8"/>
  <c r="AA19" i="8" s="1"/>
  <c r="V19" i="8" s="1"/>
  <c r="H365" i="16" s="1"/>
  <c r="Z11" i="8"/>
  <c r="Q7" i="8"/>
  <c r="C353" i="16" s="1"/>
  <c r="R9" i="8"/>
  <c r="D355" i="16" s="1"/>
  <c r="I49" i="8"/>
  <c r="H400" i="16" s="1"/>
  <c r="U27" i="8"/>
  <c r="G373" i="16" s="1"/>
  <c r="U6" i="8"/>
  <c r="G352" i="16" s="1"/>
  <c r="G539" i="16"/>
  <c r="U29" i="8"/>
  <c r="G375" i="16" s="1"/>
  <c r="V167" i="8"/>
  <c r="V168" i="8"/>
  <c r="H542" i="16" s="1"/>
  <c r="U22" i="8"/>
  <c r="G368" i="16" s="1"/>
  <c r="Q16" i="8"/>
  <c r="U11" i="8"/>
  <c r="G357" i="16" s="1"/>
  <c r="V165" i="8"/>
  <c r="H539" i="16" s="1"/>
  <c r="Z27" i="8"/>
  <c r="F51" i="6"/>
  <c r="V52" i="19" l="1"/>
  <c r="V48" i="19"/>
  <c r="V55" i="19"/>
  <c r="V39" i="19"/>
  <c r="V49" i="19"/>
  <c r="V41" i="19"/>
  <c r="V50" i="19"/>
  <c r="V44" i="19"/>
  <c r="V51" i="19"/>
  <c r="V40" i="19"/>
  <c r="V53" i="19"/>
  <c r="V45" i="19"/>
  <c r="V42" i="19"/>
  <c r="V43" i="19"/>
  <c r="V46" i="19"/>
  <c r="V47" i="19"/>
  <c r="V56" i="19"/>
  <c r="V58" i="19"/>
  <c r="V57" i="19"/>
  <c r="V59" i="19"/>
  <c r="U163" i="8"/>
  <c r="G537" i="16" s="1"/>
  <c r="C542" i="16"/>
  <c r="U168" i="8"/>
  <c r="G542" i="16" s="1"/>
  <c r="I124" i="8"/>
  <c r="I125" i="8" s="1"/>
  <c r="I127" i="8" s="1"/>
  <c r="I130" i="8" s="1"/>
  <c r="I131" i="8" s="1"/>
  <c r="I132" i="8" s="1"/>
  <c r="I135" i="8" s="1"/>
  <c r="I8" i="20" s="1"/>
  <c r="I146" i="8"/>
  <c r="I147" i="8" s="1"/>
  <c r="I149" i="8" s="1"/>
  <c r="I152" i="8" s="1"/>
  <c r="I153" i="8" s="1"/>
  <c r="I154" i="8" s="1"/>
  <c r="I57" i="6"/>
  <c r="H86" i="16" s="1"/>
  <c r="C209" i="19"/>
  <c r="Q27" i="19"/>
  <c r="Q30" i="19" s="1"/>
  <c r="Q31" i="19" s="1"/>
  <c r="Q32" i="19" s="1"/>
  <c r="K508" i="13"/>
  <c r="I1325" i="16" s="1"/>
  <c r="G891" i="16"/>
  <c r="G793" i="16"/>
  <c r="I103" i="13"/>
  <c r="I887" i="16" s="1"/>
  <c r="K505" i="13"/>
  <c r="I1322" i="16" s="1"/>
  <c r="K507" i="13"/>
  <c r="I1324" i="16" s="1"/>
  <c r="I505" i="13"/>
  <c r="G1322" i="16" s="1"/>
  <c r="W176" i="8"/>
  <c r="I550" i="16" s="1"/>
  <c r="I52" i="13"/>
  <c r="H829" i="16" s="1"/>
  <c r="I76" i="13"/>
  <c r="H861" i="16" s="1"/>
  <c r="I171" i="13"/>
  <c r="I283" i="13" s="1"/>
  <c r="H1099" i="16" s="1"/>
  <c r="W179" i="8"/>
  <c r="I553" i="16" s="1"/>
  <c r="I340" i="13"/>
  <c r="I342" i="13" s="1"/>
  <c r="G342" i="13"/>
  <c r="I344" i="13" s="1"/>
  <c r="H1159" i="16" s="1"/>
  <c r="I284" i="13"/>
  <c r="H989" i="16"/>
  <c r="I25" i="13"/>
  <c r="I795" i="16" s="1"/>
  <c r="G795" i="16"/>
  <c r="D509" i="13"/>
  <c r="D1326" i="16" s="1"/>
  <c r="C34" i="15"/>
  <c r="C212" i="16" s="1"/>
  <c r="C65" i="16"/>
  <c r="I313" i="13"/>
  <c r="H1017" i="16"/>
  <c r="C63" i="16"/>
  <c r="C30" i="15"/>
  <c r="C210" i="16" s="1"/>
  <c r="K506" i="13"/>
  <c r="I1323" i="16" s="1"/>
  <c r="I24" i="13"/>
  <c r="I794" i="16" s="1"/>
  <c r="G794" i="16"/>
  <c r="I46" i="13"/>
  <c r="H401" i="16"/>
  <c r="F64" i="16"/>
  <c r="F31" i="15"/>
  <c r="F211" i="16" s="1"/>
  <c r="Q173" i="8"/>
  <c r="U173" i="8" s="1"/>
  <c r="C362" i="16"/>
  <c r="G551" i="16"/>
  <c r="I202" i="13"/>
  <c r="H858" i="16"/>
  <c r="I75" i="13"/>
  <c r="I512" i="13"/>
  <c r="G1329" i="16" s="1"/>
  <c r="I20" i="13"/>
  <c r="I790" i="16" s="1"/>
  <c r="W167" i="8"/>
  <c r="I541" i="16" s="1"/>
  <c r="H541" i="16"/>
  <c r="H16" i="14"/>
  <c r="H2117" i="16" s="1"/>
  <c r="H2116" i="16"/>
  <c r="G267" i="13"/>
  <c r="G1084" i="16" s="1"/>
  <c r="I265" i="13"/>
  <c r="W175" i="8"/>
  <c r="I549" i="16" s="1"/>
  <c r="G549" i="16"/>
  <c r="W178" i="8"/>
  <c r="I552" i="16" s="1"/>
  <c r="G552" i="16"/>
  <c r="W169" i="8"/>
  <c r="I543" i="16" s="1"/>
  <c r="G543" i="16"/>
  <c r="D510" i="13"/>
  <c r="D1327" i="16" s="1"/>
  <c r="H112" i="14"/>
  <c r="H2229" i="16" s="1"/>
  <c r="H108" i="13"/>
  <c r="H106" i="13"/>
  <c r="H125" i="17"/>
  <c r="H89" i="17"/>
  <c r="D109" i="13"/>
  <c r="D893" i="16" s="1"/>
  <c r="G26" i="13"/>
  <c r="D22" i="13"/>
  <c r="D792" i="16" s="1"/>
  <c r="D154" i="13"/>
  <c r="D972" i="16" s="1"/>
  <c r="G21" i="13"/>
  <c r="G791" i="16" s="1"/>
  <c r="D104" i="13"/>
  <c r="D888" i="16" s="1"/>
  <c r="I52" i="8"/>
  <c r="H403" i="16" s="1"/>
  <c r="I179" i="13"/>
  <c r="H996" i="16" s="1"/>
  <c r="I177" i="13"/>
  <c r="H994" i="16" s="1"/>
  <c r="AA5" i="8"/>
  <c r="V5" i="8" s="1"/>
  <c r="H351" i="16" s="1"/>
  <c r="AA10" i="8"/>
  <c r="V10" i="8" s="1"/>
  <c r="H356" i="16" s="1"/>
  <c r="AA29" i="8"/>
  <c r="V29" i="8" s="1"/>
  <c r="H375" i="16" s="1"/>
  <c r="AA20" i="8"/>
  <c r="T20" i="8" s="1"/>
  <c r="F366" i="16" s="1"/>
  <c r="AA22" i="8"/>
  <c r="T22" i="8" s="1"/>
  <c r="F368" i="16" s="1"/>
  <c r="AA21" i="8"/>
  <c r="T21" i="8" s="1"/>
  <c r="F367" i="16" s="1"/>
  <c r="AA15" i="8"/>
  <c r="T15" i="8" s="1"/>
  <c r="F361" i="16" s="1"/>
  <c r="AA9" i="8"/>
  <c r="T9" i="8" s="1"/>
  <c r="F355" i="16" s="1"/>
  <c r="AA12" i="8"/>
  <c r="V12" i="8" s="1"/>
  <c r="H358" i="16" s="1"/>
  <c r="AA27" i="8"/>
  <c r="V27" i="8" s="1"/>
  <c r="H373" i="16" s="1"/>
  <c r="AA11" i="8"/>
  <c r="V11" i="8" s="1"/>
  <c r="H357" i="16" s="1"/>
  <c r="AA18" i="8"/>
  <c r="V18" i="8" s="1"/>
  <c r="H364" i="16" s="1"/>
  <c r="AA6" i="8"/>
  <c r="V6" i="8" s="1"/>
  <c r="H352" i="16" s="1"/>
  <c r="AA8" i="8"/>
  <c r="V8" i="8" s="1"/>
  <c r="H354" i="16" s="1"/>
  <c r="AA13" i="8"/>
  <c r="V13" i="8" s="1"/>
  <c r="H359" i="16" s="1"/>
  <c r="AA14" i="8"/>
  <c r="T14" i="8" s="1"/>
  <c r="F360" i="16" s="1"/>
  <c r="T19" i="8"/>
  <c r="W165" i="8"/>
  <c r="I539" i="16" s="1"/>
  <c r="I57" i="8"/>
  <c r="I53" i="8"/>
  <c r="H404" i="16" s="1"/>
  <c r="I91" i="8"/>
  <c r="H442" i="16" s="1"/>
  <c r="R166" i="8"/>
  <c r="U9" i="8"/>
  <c r="G355" i="16" s="1"/>
  <c r="I196" i="8"/>
  <c r="R15" i="8"/>
  <c r="D361" i="16" s="1"/>
  <c r="V171" i="8"/>
  <c r="H545" i="16" s="1"/>
  <c r="Z7" i="8"/>
  <c r="AA7" i="8" s="1"/>
  <c r="Q164" i="8"/>
  <c r="U164" i="8" s="1"/>
  <c r="U7" i="8"/>
  <c r="G353" i="16" s="1"/>
  <c r="Z16" i="8"/>
  <c r="AA16" i="8" s="1"/>
  <c r="T16" i="8" s="1"/>
  <c r="F362" i="16" s="1"/>
  <c r="Q17" i="8"/>
  <c r="U16" i="8"/>
  <c r="G362" i="16" s="1"/>
  <c r="D540" i="16" l="1"/>
  <c r="U166" i="8"/>
  <c r="L89" i="20"/>
  <c r="L90" i="20" s="1"/>
  <c r="I89" i="20"/>
  <c r="M90" i="20" s="1"/>
  <c r="Q35" i="19"/>
  <c r="W38" i="19" s="1"/>
  <c r="X49" i="19" s="1"/>
  <c r="H37" i="15"/>
  <c r="H215" i="16" s="1"/>
  <c r="C210" i="19"/>
  <c r="W168" i="8"/>
  <c r="I542" i="16" s="1"/>
  <c r="I78" i="13"/>
  <c r="I80" i="13" s="1"/>
  <c r="H865" i="16" s="1"/>
  <c r="I204" i="13"/>
  <c r="I206" i="13" s="1"/>
  <c r="H988" i="16"/>
  <c r="I53" i="13"/>
  <c r="I55" i="13" s="1"/>
  <c r="H832" i="16" s="1"/>
  <c r="I1155" i="16"/>
  <c r="G553" i="16"/>
  <c r="D351" i="13"/>
  <c r="F1166" i="16" s="1"/>
  <c r="G509" i="13"/>
  <c r="E1326" i="16" s="1"/>
  <c r="D404" i="13"/>
  <c r="F404" i="13" s="1"/>
  <c r="F1220" i="16" s="1"/>
  <c r="I425" i="13"/>
  <c r="H1241" i="16" s="1"/>
  <c r="G1157" i="16"/>
  <c r="D350" i="13"/>
  <c r="F1165" i="16" s="1"/>
  <c r="I77" i="13"/>
  <c r="H860" i="16"/>
  <c r="I314" i="13"/>
  <c r="I315" i="13" s="1"/>
  <c r="H1018" i="16"/>
  <c r="I267" i="13"/>
  <c r="I1084" i="16" s="1"/>
  <c r="I1082" i="16"/>
  <c r="I464" i="13"/>
  <c r="H1279" i="16" s="1"/>
  <c r="H1128" i="16"/>
  <c r="C547" i="16"/>
  <c r="H92" i="17"/>
  <c r="H1969" i="16"/>
  <c r="H128" i="17"/>
  <c r="H2012" i="16"/>
  <c r="I26" i="13"/>
  <c r="I796" i="16" s="1"/>
  <c r="G796" i="16"/>
  <c r="H823" i="16"/>
  <c r="I47" i="13"/>
  <c r="I174" i="13"/>
  <c r="Q193" i="8"/>
  <c r="H568" i="16"/>
  <c r="I106" i="13"/>
  <c r="I890" i="16" s="1"/>
  <c r="H890" i="16"/>
  <c r="I426" i="13"/>
  <c r="H1242" i="16" s="1"/>
  <c r="H1100" i="16"/>
  <c r="I92" i="8"/>
  <c r="H443" i="16" s="1"/>
  <c r="H408" i="16"/>
  <c r="U17" i="8"/>
  <c r="G363" i="16" s="1"/>
  <c r="C363" i="16"/>
  <c r="I108" i="13"/>
  <c r="I892" i="16" s="1"/>
  <c r="H892" i="16"/>
  <c r="W19" i="8"/>
  <c r="I365" i="16" s="1"/>
  <c r="F365" i="16"/>
  <c r="I345" i="13"/>
  <c r="H1160" i="16" s="1"/>
  <c r="I1157" i="16"/>
  <c r="I292" i="13"/>
  <c r="G538" i="16"/>
  <c r="C538" i="16"/>
  <c r="I203" i="13"/>
  <c r="G510" i="13"/>
  <c r="E1327" i="16" s="1"/>
  <c r="D405" i="13"/>
  <c r="I54" i="8"/>
  <c r="H405" i="16" s="1"/>
  <c r="T5" i="8"/>
  <c r="F351" i="16" s="1"/>
  <c r="H510" i="13"/>
  <c r="F1327" i="16" s="1"/>
  <c r="D511" i="13"/>
  <c r="D1328" i="16" s="1"/>
  <c r="H508" i="13"/>
  <c r="H507" i="13"/>
  <c r="H506" i="13"/>
  <c r="H509" i="13"/>
  <c r="I21" i="13"/>
  <c r="I791" i="16" s="1"/>
  <c r="D105" i="13"/>
  <c r="D889" i="16" s="1"/>
  <c r="G22" i="13"/>
  <c r="H109" i="13"/>
  <c r="H893" i="16" s="1"/>
  <c r="G109" i="13"/>
  <c r="H104" i="13"/>
  <c r="H888" i="16" s="1"/>
  <c r="D229" i="13"/>
  <c r="D1045" i="16" s="1"/>
  <c r="G104" i="13"/>
  <c r="G888" i="16" s="1"/>
  <c r="G154" i="13"/>
  <c r="G972" i="16" s="1"/>
  <c r="H153" i="13"/>
  <c r="T10" i="8"/>
  <c r="V21" i="8"/>
  <c r="I182" i="13"/>
  <c r="H999" i="16" s="1"/>
  <c r="I180" i="13"/>
  <c r="V20" i="8"/>
  <c r="V9" i="8"/>
  <c r="T18" i="8"/>
  <c r="V22" i="8"/>
  <c r="T29" i="8"/>
  <c r="T11" i="8"/>
  <c r="T13" i="8"/>
  <c r="T8" i="8"/>
  <c r="V14" i="8"/>
  <c r="T12" i="8"/>
  <c r="T6" i="8"/>
  <c r="T27" i="8"/>
  <c r="V15" i="8"/>
  <c r="H361" i="16" s="1"/>
  <c r="V170" i="8"/>
  <c r="W171" i="8"/>
  <c r="I545" i="16" s="1"/>
  <c r="V7" i="8"/>
  <c r="H353" i="16" s="1"/>
  <c r="T7" i="8"/>
  <c r="F353" i="16" s="1"/>
  <c r="R172" i="8"/>
  <c r="U15" i="8"/>
  <c r="G361" i="16" s="1"/>
  <c r="I60" i="8"/>
  <c r="H411" i="16" s="1"/>
  <c r="I58" i="8"/>
  <c r="G540" i="16"/>
  <c r="Q194" i="8"/>
  <c r="H583" i="16" s="1"/>
  <c r="R191" i="8"/>
  <c r="V16" i="8"/>
  <c r="Q25" i="8"/>
  <c r="Q26" i="8"/>
  <c r="Z17" i="8"/>
  <c r="AA17" i="8" s="1"/>
  <c r="T17" i="8" s="1"/>
  <c r="F363" i="16" s="1"/>
  <c r="Q24" i="8"/>
  <c r="Q174" i="8"/>
  <c r="U174" i="8" s="1"/>
  <c r="Q28" i="8"/>
  <c r="C374" i="16" s="1"/>
  <c r="X55" i="19" l="1"/>
  <c r="X57" i="19"/>
  <c r="X39" i="19"/>
  <c r="X59" i="19"/>
  <c r="Y54" i="19"/>
  <c r="Y50" i="19"/>
  <c r="Y42" i="19"/>
  <c r="Y51" i="19"/>
  <c r="Y39" i="19"/>
  <c r="Y44" i="19"/>
  <c r="Y59" i="19"/>
  <c r="Y53" i="19"/>
  <c r="Y46" i="19"/>
  <c r="Y49" i="19"/>
  <c r="Y57" i="19"/>
  <c r="Y58" i="19"/>
  <c r="Y56" i="19"/>
  <c r="Y43" i="19"/>
  <c r="Y48" i="19"/>
  <c r="Y47" i="19"/>
  <c r="Y41" i="19"/>
  <c r="Y45" i="19"/>
  <c r="Y40" i="19"/>
  <c r="Y55" i="19"/>
  <c r="Y52" i="19"/>
  <c r="X54" i="19"/>
  <c r="X41" i="19"/>
  <c r="X50" i="19"/>
  <c r="X44" i="19"/>
  <c r="X47" i="19"/>
  <c r="X51" i="19"/>
  <c r="D546" i="16"/>
  <c r="U172" i="8"/>
  <c r="X52" i="19"/>
  <c r="X40" i="19"/>
  <c r="X56" i="19"/>
  <c r="X53" i="19"/>
  <c r="X43" i="19"/>
  <c r="X45" i="19"/>
  <c r="X48" i="19"/>
  <c r="X42" i="19"/>
  <c r="X58" i="19"/>
  <c r="X46" i="19"/>
  <c r="I136" i="8"/>
  <c r="I137" i="8" s="1"/>
  <c r="I139" i="8" s="1"/>
  <c r="O195" i="8" s="1"/>
  <c r="I157" i="8"/>
  <c r="I9" i="20" s="1"/>
  <c r="D1220" i="16"/>
  <c r="C211" i="19"/>
  <c r="H863" i="16"/>
  <c r="H830" i="16"/>
  <c r="H1021" i="16"/>
  <c r="I428" i="13"/>
  <c r="I429" i="13" s="1"/>
  <c r="H1245" i="16" s="1"/>
  <c r="D352" i="13"/>
  <c r="D353" i="13" s="1"/>
  <c r="K509" i="13"/>
  <c r="I1326" i="16" s="1"/>
  <c r="O200" i="8"/>
  <c r="F589" i="16" s="1"/>
  <c r="I509" i="13"/>
  <c r="G1326" i="16" s="1"/>
  <c r="F1326" i="16"/>
  <c r="G548" i="16"/>
  <c r="C548" i="16"/>
  <c r="I181" i="13"/>
  <c r="I183" i="13" s="1"/>
  <c r="H997" i="16"/>
  <c r="I293" i="13"/>
  <c r="H1108" i="16"/>
  <c r="W173" i="8"/>
  <c r="I547" i="16" s="1"/>
  <c r="G547" i="16"/>
  <c r="W18" i="8"/>
  <c r="I364" i="16" s="1"/>
  <c r="F364" i="16"/>
  <c r="W9" i="8"/>
  <c r="I355" i="16" s="1"/>
  <c r="H355" i="16"/>
  <c r="I208" i="13"/>
  <c r="H1025" i="16" s="1"/>
  <c r="H1023" i="16"/>
  <c r="W16" i="8"/>
  <c r="I362" i="16" s="1"/>
  <c r="H362" i="16"/>
  <c r="H94" i="17"/>
  <c r="H1972" i="16"/>
  <c r="Z26" i="8"/>
  <c r="AA26" i="8" s="1"/>
  <c r="T26" i="8" s="1"/>
  <c r="F372" i="16" s="1"/>
  <c r="C372" i="16"/>
  <c r="Q208" i="8"/>
  <c r="H596" i="16" s="1"/>
  <c r="H582" i="16"/>
  <c r="I506" i="13"/>
  <c r="G1323" i="16" s="1"/>
  <c r="F1323" i="16"/>
  <c r="H991" i="16"/>
  <c r="I175" i="13"/>
  <c r="I286" i="13"/>
  <c r="W20" i="8"/>
  <c r="I366" i="16" s="1"/>
  <c r="H366" i="16"/>
  <c r="W21" i="8"/>
  <c r="I367" i="16" s="1"/>
  <c r="H367" i="16"/>
  <c r="F405" i="13"/>
  <c r="F1221" i="16" s="1"/>
  <c r="D1221" i="16"/>
  <c r="I48" i="13"/>
  <c r="H824" i="16"/>
  <c r="I109" i="13"/>
  <c r="I893" i="16" s="1"/>
  <c r="G893" i="16"/>
  <c r="W170" i="8"/>
  <c r="I544" i="16" s="1"/>
  <c r="H544" i="16"/>
  <c r="W27" i="8"/>
  <c r="I373" i="16" s="1"/>
  <c r="F373" i="16"/>
  <c r="Z25" i="8"/>
  <c r="AA25" i="8" s="1"/>
  <c r="T25" i="8" s="1"/>
  <c r="F371" i="16" s="1"/>
  <c r="C371" i="16"/>
  <c r="W6" i="8"/>
  <c r="I352" i="16" s="1"/>
  <c r="F352" i="16"/>
  <c r="Q106" i="13"/>
  <c r="H925" i="16" s="1"/>
  <c r="I580" i="16"/>
  <c r="I507" i="13"/>
  <c r="G1324" i="16" s="1"/>
  <c r="F1324" i="16"/>
  <c r="I22" i="13"/>
  <c r="I792" i="16" s="1"/>
  <c r="G792" i="16"/>
  <c r="W14" i="8"/>
  <c r="I360" i="16" s="1"/>
  <c r="H360" i="16"/>
  <c r="I59" i="8"/>
  <c r="H410" i="16" s="1"/>
  <c r="H409" i="16"/>
  <c r="W11" i="8"/>
  <c r="I357" i="16" s="1"/>
  <c r="F357" i="16"/>
  <c r="I465" i="13"/>
  <c r="H1129" i="16"/>
  <c r="I316" i="13"/>
  <c r="Z24" i="8"/>
  <c r="AA24" i="8" s="1"/>
  <c r="T24" i="8" s="1"/>
  <c r="F370" i="16" s="1"/>
  <c r="C370" i="16"/>
  <c r="I508" i="13"/>
  <c r="G1325" i="16" s="1"/>
  <c r="F1325" i="16"/>
  <c r="W8" i="8"/>
  <c r="I354" i="16" s="1"/>
  <c r="F354" i="16"/>
  <c r="W13" i="8"/>
  <c r="I359" i="16" s="1"/>
  <c r="F359" i="16"/>
  <c r="W29" i="8"/>
  <c r="I375" i="16" s="1"/>
  <c r="F375" i="16"/>
  <c r="I153" i="13"/>
  <c r="I971" i="16" s="1"/>
  <c r="H971" i="16"/>
  <c r="I317" i="13"/>
  <c r="H1131" i="16"/>
  <c r="W12" i="8"/>
  <c r="I358" i="16" s="1"/>
  <c r="F358" i="16"/>
  <c r="W10" i="8"/>
  <c r="I356" i="16" s="1"/>
  <c r="F356" i="16"/>
  <c r="W22" i="8"/>
  <c r="I368" i="16" s="1"/>
  <c r="H368" i="16"/>
  <c r="I431" i="13"/>
  <c r="H1247" i="16" s="1"/>
  <c r="I205" i="13"/>
  <c r="H1020" i="16"/>
  <c r="H130" i="17"/>
  <c r="H2015" i="16"/>
  <c r="H862" i="16"/>
  <c r="I81" i="13"/>
  <c r="I79" i="13"/>
  <c r="G511" i="13"/>
  <c r="E1328" i="16" s="1"/>
  <c r="D406" i="13"/>
  <c r="I510" i="13"/>
  <c r="G1327" i="16" s="1"/>
  <c r="K510" i="13"/>
  <c r="I1327" i="16" s="1"/>
  <c r="H511" i="13"/>
  <c r="F1328" i="16" s="1"/>
  <c r="W5" i="8"/>
  <c r="I351" i="16" s="1"/>
  <c r="I154" i="13"/>
  <c r="G155" i="13"/>
  <c r="G973" i="16" s="1"/>
  <c r="I104" i="13"/>
  <c r="I888" i="16" s="1"/>
  <c r="H229" i="13"/>
  <c r="H1045" i="16" s="1"/>
  <c r="H228" i="13"/>
  <c r="G229" i="13"/>
  <c r="G1045" i="16" s="1"/>
  <c r="I197" i="8"/>
  <c r="H105" i="13"/>
  <c r="H889" i="16" s="1"/>
  <c r="G105" i="13"/>
  <c r="G889" i="16" s="1"/>
  <c r="G27" i="13"/>
  <c r="W15" i="8"/>
  <c r="I361" i="16" s="1"/>
  <c r="W7" i="8"/>
  <c r="I353" i="16" s="1"/>
  <c r="I93" i="8"/>
  <c r="U25" i="8"/>
  <c r="G371" i="16" s="1"/>
  <c r="U24" i="8"/>
  <c r="G370" i="16" s="1"/>
  <c r="Q213" i="8"/>
  <c r="H601" i="16" s="1"/>
  <c r="Q215" i="8"/>
  <c r="H603" i="16" s="1"/>
  <c r="V172" i="8"/>
  <c r="H546" i="16" s="1"/>
  <c r="V164" i="8"/>
  <c r="V163" i="8"/>
  <c r="H537" i="16" s="1"/>
  <c r="V166" i="8"/>
  <c r="U26" i="8"/>
  <c r="G372" i="16" s="1"/>
  <c r="V17" i="8"/>
  <c r="U28" i="8"/>
  <c r="G374" i="16" s="1"/>
  <c r="Z28" i="8"/>
  <c r="AA28" i="8" s="1"/>
  <c r="L92" i="20" l="1"/>
  <c r="L93" i="20" s="1"/>
  <c r="I92" i="20"/>
  <c r="M93" i="20" s="1"/>
  <c r="I158" i="8" s="1"/>
  <c r="I159" i="8" s="1"/>
  <c r="I161" i="8" s="1"/>
  <c r="P196" i="8" s="1"/>
  <c r="R195" i="8"/>
  <c r="F584" i="16"/>
  <c r="P110" i="13"/>
  <c r="G929" i="16" s="1"/>
  <c r="P195" i="8"/>
  <c r="G584" i="16"/>
  <c r="Q195" i="8"/>
  <c r="H584" i="16" s="1"/>
  <c r="F1167" i="16"/>
  <c r="V25" i="8"/>
  <c r="H371" i="16" s="1"/>
  <c r="C217" i="19"/>
  <c r="E211" i="19" s="1"/>
  <c r="H1244" i="16"/>
  <c r="W174" i="8"/>
  <c r="I548" i="16" s="1"/>
  <c r="G376" i="16"/>
  <c r="V26" i="8"/>
  <c r="H372" i="16" s="1"/>
  <c r="I176" i="13"/>
  <c r="I184" i="13" s="1"/>
  <c r="H992" i="16"/>
  <c r="H1022" i="16"/>
  <c r="I209" i="13"/>
  <c r="H1026" i="16" s="1"/>
  <c r="I207" i="13"/>
  <c r="H825" i="16"/>
  <c r="I50" i="13"/>
  <c r="I56" i="13"/>
  <c r="H131" i="17"/>
  <c r="H2017" i="16"/>
  <c r="I155" i="13"/>
  <c r="I973" i="16" s="1"/>
  <c r="I972" i="16"/>
  <c r="R200" i="8"/>
  <c r="I589" i="16" s="1"/>
  <c r="H444" i="16"/>
  <c r="I27" i="13"/>
  <c r="I295" i="13"/>
  <c r="H1111" i="16" s="1"/>
  <c r="H1109" i="16"/>
  <c r="I318" i="13"/>
  <c r="I321" i="13" s="1"/>
  <c r="H1137" i="16" s="1"/>
  <c r="H1132" i="16"/>
  <c r="D97" i="17"/>
  <c r="H1974" i="16"/>
  <c r="H998" i="16"/>
  <c r="W17" i="8"/>
  <c r="I363" i="16" s="1"/>
  <c r="H363" i="16"/>
  <c r="I64" i="8"/>
  <c r="F406" i="13"/>
  <c r="D1222" i="16"/>
  <c r="H1280" i="16"/>
  <c r="I467" i="13"/>
  <c r="H1283" i="16" s="1"/>
  <c r="I466" i="13"/>
  <c r="H1282" i="16" s="1"/>
  <c r="W166" i="8"/>
  <c r="I540" i="16" s="1"/>
  <c r="H540" i="16"/>
  <c r="H1133" i="16"/>
  <c r="I319" i="13"/>
  <c r="D354" i="13"/>
  <c r="F1168" i="16"/>
  <c r="I61" i="8"/>
  <c r="O113" i="13"/>
  <c r="F932" i="16" s="1"/>
  <c r="G797" i="16"/>
  <c r="I82" i="13"/>
  <c r="H864" i="16"/>
  <c r="H1000" i="16"/>
  <c r="R189" i="8"/>
  <c r="H569" i="16"/>
  <c r="V24" i="8"/>
  <c r="H370" i="16" s="1"/>
  <c r="W164" i="8"/>
  <c r="I538" i="16" s="1"/>
  <c r="H538" i="16"/>
  <c r="I228" i="13"/>
  <c r="I1044" i="16" s="1"/>
  <c r="H1044" i="16"/>
  <c r="P115" i="13"/>
  <c r="G934" i="16" s="1"/>
  <c r="H866" i="16"/>
  <c r="I287" i="13"/>
  <c r="H1102" i="16"/>
  <c r="U180" i="8"/>
  <c r="O201" i="8" s="1"/>
  <c r="F590" i="16" s="1"/>
  <c r="G546" i="16"/>
  <c r="G554" i="16" s="1"/>
  <c r="K511" i="13"/>
  <c r="I511" i="13"/>
  <c r="G513" i="13"/>
  <c r="E1330" i="16" s="1"/>
  <c r="I105" i="13"/>
  <c r="I35" i="11"/>
  <c r="H644" i="16" s="1"/>
  <c r="H19" i="14"/>
  <c r="H2120" i="16" s="1"/>
  <c r="R192" i="8"/>
  <c r="G110" i="13"/>
  <c r="G894" i="16" s="1"/>
  <c r="R190" i="8"/>
  <c r="R187" i="8"/>
  <c r="I229" i="13"/>
  <c r="G230" i="13"/>
  <c r="G1046" i="16" s="1"/>
  <c r="R188" i="8"/>
  <c r="D238" i="13"/>
  <c r="F1054" i="16" s="1"/>
  <c r="D239" i="13"/>
  <c r="W172" i="8"/>
  <c r="I546" i="16" s="1"/>
  <c r="U30" i="8"/>
  <c r="N198" i="8" s="1"/>
  <c r="V162" i="8"/>
  <c r="W163" i="8"/>
  <c r="I537" i="16" s="1"/>
  <c r="T28" i="8"/>
  <c r="F374" i="16" s="1"/>
  <c r="V28" i="8"/>
  <c r="H374" i="16" s="1"/>
  <c r="G585" i="16" l="1"/>
  <c r="O196" i="8"/>
  <c r="Q196" i="8"/>
  <c r="H585" i="16" s="1"/>
  <c r="I584" i="16"/>
  <c r="Q110" i="13"/>
  <c r="H929" i="16" s="1"/>
  <c r="W26" i="8"/>
  <c r="I372" i="16" s="1"/>
  <c r="W25" i="8"/>
  <c r="I371" i="16" s="1"/>
  <c r="E194" i="19"/>
  <c r="E205" i="19"/>
  <c r="E199" i="19"/>
  <c r="E214" i="19"/>
  <c r="E212" i="19"/>
  <c r="E206" i="19"/>
  <c r="E208" i="19"/>
  <c r="E213" i="19"/>
  <c r="E207" i="19"/>
  <c r="E201" i="19"/>
  <c r="E215" i="19"/>
  <c r="E196" i="19"/>
  <c r="E195" i="19"/>
  <c r="E200" i="19"/>
  <c r="E216" i="19"/>
  <c r="E197" i="19"/>
  <c r="E202" i="19"/>
  <c r="E198" i="19"/>
  <c r="E204" i="19"/>
  <c r="E203" i="19"/>
  <c r="E209" i="19"/>
  <c r="E210" i="19"/>
  <c r="O123" i="13"/>
  <c r="O127" i="13"/>
  <c r="O124" i="13"/>
  <c r="O125" i="13"/>
  <c r="W24" i="8"/>
  <c r="I370" i="16" s="1"/>
  <c r="Q113" i="13"/>
  <c r="H932" i="16" s="1"/>
  <c r="I797" i="16"/>
  <c r="Q107" i="13"/>
  <c r="H926" i="16" s="1"/>
  <c r="I581" i="16"/>
  <c r="Q115" i="13"/>
  <c r="H934" i="16" s="1"/>
  <c r="H867" i="16"/>
  <c r="O199" i="8"/>
  <c r="H416" i="16"/>
  <c r="I230" i="13"/>
  <c r="I1046" i="16" s="1"/>
  <c r="I1045" i="16"/>
  <c r="D135" i="17"/>
  <c r="H2018" i="16"/>
  <c r="P114" i="13"/>
  <c r="H833" i="16"/>
  <c r="Q102" i="13"/>
  <c r="H921" i="16" s="1"/>
  <c r="I576" i="16"/>
  <c r="I57" i="13"/>
  <c r="H827" i="16"/>
  <c r="H1001" i="16"/>
  <c r="E239" i="13"/>
  <c r="I288" i="13"/>
  <c r="H1103" i="16"/>
  <c r="O122" i="13"/>
  <c r="D355" i="13"/>
  <c r="F1170" i="16" s="1"/>
  <c r="F1169" i="16"/>
  <c r="I210" i="13"/>
  <c r="H1027" i="16" s="1"/>
  <c r="H1024" i="16"/>
  <c r="Q104" i="13"/>
  <c r="H923" i="16" s="1"/>
  <c r="I578" i="16"/>
  <c r="N208" i="8"/>
  <c r="E596" i="16" s="1"/>
  <c r="E587" i="16"/>
  <c r="I110" i="13"/>
  <c r="I894" i="16" s="1"/>
  <c r="I889" i="16"/>
  <c r="O126" i="13"/>
  <c r="D240" i="13"/>
  <c r="F1055" i="16"/>
  <c r="D1977" i="16"/>
  <c r="D103" i="15"/>
  <c r="D287" i="16" s="1"/>
  <c r="Q105" i="13"/>
  <c r="H924" i="16" s="1"/>
  <c r="I579" i="16"/>
  <c r="F408" i="13"/>
  <c r="F1222" i="16"/>
  <c r="H1135" i="16"/>
  <c r="W162" i="8"/>
  <c r="I536" i="16" s="1"/>
  <c r="I554" i="16" s="1"/>
  <c r="H536" i="16"/>
  <c r="I65" i="8"/>
  <c r="H412" i="16"/>
  <c r="Q103" i="13"/>
  <c r="H922" i="16" s="1"/>
  <c r="I577" i="16"/>
  <c r="I513" i="13"/>
  <c r="G1328" i="16"/>
  <c r="I320" i="13"/>
  <c r="H1136" i="16" s="1"/>
  <c r="H1134" i="16"/>
  <c r="F942" i="16"/>
  <c r="F940" i="16"/>
  <c r="F944" i="16"/>
  <c r="F945" i="16"/>
  <c r="F943" i="16"/>
  <c r="F941" i="16"/>
  <c r="K513" i="13"/>
  <c r="I1328" i="16"/>
  <c r="H993" i="16"/>
  <c r="I178" i="13"/>
  <c r="I520" i="13"/>
  <c r="I516" i="13"/>
  <c r="P116" i="13"/>
  <c r="I112" i="13"/>
  <c r="H896" i="16" s="1"/>
  <c r="E238" i="13"/>
  <c r="I232" i="13"/>
  <c r="H1048" i="16" s="1"/>
  <c r="N215" i="8"/>
  <c r="E603" i="16" s="1"/>
  <c r="N210" i="8"/>
  <c r="E598" i="16" s="1"/>
  <c r="N213" i="8"/>
  <c r="E601" i="16" s="1"/>
  <c r="N212" i="8"/>
  <c r="E600" i="16" s="1"/>
  <c r="P201" i="8"/>
  <c r="P202" i="8"/>
  <c r="N209" i="8"/>
  <c r="E597" i="16" s="1"/>
  <c r="N214" i="8"/>
  <c r="E602" i="16" s="1"/>
  <c r="N211" i="8"/>
  <c r="E599" i="16" s="1"/>
  <c r="W28" i="8"/>
  <c r="P111" i="13" l="1"/>
  <c r="G930" i="16" s="1"/>
  <c r="F585" i="16"/>
  <c r="R196" i="8"/>
  <c r="I113" i="13"/>
  <c r="H897" i="16" s="1"/>
  <c r="Q116" i="13"/>
  <c r="E217" i="19"/>
  <c r="G213" i="19" s="1"/>
  <c r="I322" i="13"/>
  <c r="H1138" i="16" s="1"/>
  <c r="I233" i="13"/>
  <c r="H1049" i="16" s="1"/>
  <c r="D2022" i="16"/>
  <c r="D106" i="15"/>
  <c r="D290" i="16" s="1"/>
  <c r="G1054" i="16"/>
  <c r="I410" i="13"/>
  <c r="F1224" i="16"/>
  <c r="H1337" i="16"/>
  <c r="F588" i="16"/>
  <c r="O211" i="8"/>
  <c r="F599" i="16" s="1"/>
  <c r="O215" i="8"/>
  <c r="F603" i="16" s="1"/>
  <c r="O209" i="8"/>
  <c r="O213" i="8"/>
  <c r="F601" i="16" s="1"/>
  <c r="O208" i="8"/>
  <c r="O212" i="8"/>
  <c r="F600" i="16" s="1"/>
  <c r="O214" i="8"/>
  <c r="F602" i="16" s="1"/>
  <c r="W30" i="8"/>
  <c r="R198" i="8" s="1"/>
  <c r="I587" i="16" s="1"/>
  <c r="I374" i="16"/>
  <c r="I376" i="16" s="1"/>
  <c r="I517" i="13"/>
  <c r="H1334" i="16" s="1"/>
  <c r="G1330" i="16"/>
  <c r="H1104" i="16"/>
  <c r="I290" i="13"/>
  <c r="I296" i="13"/>
  <c r="E240" i="13"/>
  <c r="G1055" i="16"/>
  <c r="G933" i="16"/>
  <c r="P126" i="13"/>
  <c r="P123" i="13"/>
  <c r="P127" i="13"/>
  <c r="P124" i="13"/>
  <c r="P125" i="13"/>
  <c r="H935" i="16"/>
  <c r="W180" i="8"/>
  <c r="R201" i="8" s="1"/>
  <c r="Q201" i="8" s="1"/>
  <c r="H995" i="16"/>
  <c r="I185" i="13"/>
  <c r="D241" i="13"/>
  <c r="F1056" i="16"/>
  <c r="P122" i="13"/>
  <c r="G935" i="16"/>
  <c r="R199" i="8"/>
  <c r="I588" i="16" s="1"/>
  <c r="H417" i="16"/>
  <c r="Q114" i="13"/>
  <c r="Q124" i="13" s="1"/>
  <c r="H834" i="16"/>
  <c r="H18" i="14"/>
  <c r="H2119" i="16" s="1"/>
  <c r="H1333" i="16"/>
  <c r="I521" i="13"/>
  <c r="H1338" i="16" s="1"/>
  <c r="I1330" i="16"/>
  <c r="O202" i="8"/>
  <c r="G591" i="16"/>
  <c r="P209" i="8"/>
  <c r="G590" i="16"/>
  <c r="I34" i="11"/>
  <c r="I44" i="11"/>
  <c r="H22" i="14"/>
  <c r="I39" i="11"/>
  <c r="H20" i="14"/>
  <c r="P210" i="8"/>
  <c r="Q111" i="13" l="1"/>
  <c r="H930" i="16" s="1"/>
  <c r="I585" i="16"/>
  <c r="G215" i="19"/>
  <c r="G194" i="19"/>
  <c r="G214" i="19"/>
  <c r="G202" i="19"/>
  <c r="G208" i="19"/>
  <c r="G207" i="19"/>
  <c r="G206" i="19"/>
  <c r="Q123" i="13"/>
  <c r="G216" i="19"/>
  <c r="G211" i="19"/>
  <c r="G205" i="19"/>
  <c r="G203" i="19"/>
  <c r="G196" i="19"/>
  <c r="G200" i="19"/>
  <c r="G198" i="19"/>
  <c r="G209" i="19"/>
  <c r="G195" i="19"/>
  <c r="G197" i="19"/>
  <c r="G199" i="19"/>
  <c r="G204" i="19"/>
  <c r="G201" i="19"/>
  <c r="G212" i="19"/>
  <c r="G210" i="19"/>
  <c r="Q122" i="13"/>
  <c r="H590" i="16"/>
  <c r="Q209" i="8"/>
  <c r="H597" i="16" s="1"/>
  <c r="Q126" i="13"/>
  <c r="I133" i="13"/>
  <c r="H947" i="16" s="1"/>
  <c r="I590" i="16"/>
  <c r="R208" i="8"/>
  <c r="I596" i="16" s="1"/>
  <c r="Q125" i="13"/>
  <c r="Q202" i="8"/>
  <c r="H591" i="16" s="1"/>
  <c r="R215" i="8"/>
  <c r="I603" i="16" s="1"/>
  <c r="R211" i="8"/>
  <c r="I599" i="16" s="1"/>
  <c r="H1112" i="16"/>
  <c r="E350" i="13"/>
  <c r="E351" i="13"/>
  <c r="G944" i="16"/>
  <c r="G943" i="16"/>
  <c r="G941" i="16"/>
  <c r="G945" i="16"/>
  <c r="G942" i="16"/>
  <c r="G940" i="16"/>
  <c r="I297" i="13"/>
  <c r="H1106" i="16"/>
  <c r="I468" i="13"/>
  <c r="H1226" i="16"/>
  <c r="I430" i="13"/>
  <c r="I432" i="13"/>
  <c r="I469" i="13"/>
  <c r="H1002" i="16"/>
  <c r="F239" i="13"/>
  <c r="F238" i="13"/>
  <c r="E241" i="13"/>
  <c r="G1056" i="16"/>
  <c r="D242" i="13"/>
  <c r="F1057" i="16"/>
  <c r="I105" i="11"/>
  <c r="E144" i="11" s="1"/>
  <c r="I144" i="11" s="1"/>
  <c r="H648" i="16"/>
  <c r="H54" i="14"/>
  <c r="H2123" i="16"/>
  <c r="H51" i="14"/>
  <c r="H2158" i="16" s="1"/>
  <c r="F596" i="16"/>
  <c r="I106" i="11"/>
  <c r="P62" i="11" s="1"/>
  <c r="H653" i="16"/>
  <c r="H933" i="16"/>
  <c r="Q127" i="13"/>
  <c r="H52" i="14"/>
  <c r="H2159" i="16" s="1"/>
  <c r="H2121" i="16"/>
  <c r="R213" i="8"/>
  <c r="I601" i="16" s="1"/>
  <c r="H50" i="14"/>
  <c r="H2157" i="16" s="1"/>
  <c r="H53" i="14"/>
  <c r="H2160" i="16" s="1"/>
  <c r="F597" i="16"/>
  <c r="R209" i="8"/>
  <c r="I597" i="16" s="1"/>
  <c r="R214" i="8"/>
  <c r="I602" i="16" s="1"/>
  <c r="R212" i="8"/>
  <c r="I600" i="16" s="1"/>
  <c r="D28" i="14"/>
  <c r="H28" i="14" s="1"/>
  <c r="H119" i="14"/>
  <c r="H2236" i="16" s="1"/>
  <c r="G598" i="16"/>
  <c r="H117" i="14"/>
  <c r="H2234" i="16" s="1"/>
  <c r="G597" i="16"/>
  <c r="R202" i="8"/>
  <c r="O210" i="8"/>
  <c r="F591" i="16"/>
  <c r="I104" i="11"/>
  <c r="H643" i="16"/>
  <c r="N62" i="11"/>
  <c r="H64" i="18" l="1"/>
  <c r="F217" i="19"/>
  <c r="I196" i="19" s="1"/>
  <c r="I134" i="13"/>
  <c r="H4" i="18" s="1"/>
  <c r="Q210" i="8"/>
  <c r="H598" i="16" s="1"/>
  <c r="H21" i="14"/>
  <c r="D29" i="14" s="1"/>
  <c r="H29" i="14" s="1"/>
  <c r="I40" i="11"/>
  <c r="H649" i="16" s="1"/>
  <c r="L62" i="11"/>
  <c r="L63" i="11"/>
  <c r="F31" i="17"/>
  <c r="G1910" i="16" s="1"/>
  <c r="E154" i="11"/>
  <c r="H82" i="14"/>
  <c r="I36" i="11"/>
  <c r="L61" i="11" s="1"/>
  <c r="H83" i="14"/>
  <c r="H2194" i="16" s="1"/>
  <c r="D61" i="14"/>
  <c r="E61" i="14" s="1"/>
  <c r="D62" i="14"/>
  <c r="D124" i="15" s="1"/>
  <c r="H84" i="14"/>
  <c r="H116" i="14" s="1"/>
  <c r="H86" i="14"/>
  <c r="H2161" i="16"/>
  <c r="H1113" i="16"/>
  <c r="F351" i="13"/>
  <c r="F350" i="13"/>
  <c r="N63" i="11"/>
  <c r="H702" i="16"/>
  <c r="D2129" i="16"/>
  <c r="H2129" i="16" s="1"/>
  <c r="D114" i="15"/>
  <c r="D297" i="16" s="1"/>
  <c r="D243" i="13"/>
  <c r="F1059" i="16" s="1"/>
  <c r="F1058" i="16"/>
  <c r="E28" i="14"/>
  <c r="E242" i="13"/>
  <c r="G1057" i="16"/>
  <c r="H1054" i="16"/>
  <c r="E352" i="13"/>
  <c r="G1166" i="16"/>
  <c r="H1284" i="16"/>
  <c r="I472" i="13"/>
  <c r="I480" i="13"/>
  <c r="H1298" i="16" s="1"/>
  <c r="I483" i="13"/>
  <c r="H1301" i="16" s="1"/>
  <c r="I475" i="13"/>
  <c r="H1293" i="16" s="1"/>
  <c r="D745" i="16"/>
  <c r="H745" i="16" s="1"/>
  <c r="D53" i="15"/>
  <c r="H85" i="14"/>
  <c r="H2196" i="16" s="1"/>
  <c r="H943" i="16"/>
  <c r="H945" i="16"/>
  <c r="H944" i="16"/>
  <c r="H942" i="16"/>
  <c r="H940" i="16"/>
  <c r="H941" i="16"/>
  <c r="F240" i="13"/>
  <c r="H1055" i="16"/>
  <c r="G1165" i="16"/>
  <c r="H1246" i="16"/>
  <c r="I447" i="13"/>
  <c r="I439" i="13"/>
  <c r="I444" i="13"/>
  <c r="I436" i="13"/>
  <c r="I41" i="11"/>
  <c r="N56" i="11" s="1"/>
  <c r="F78" i="18"/>
  <c r="H78" i="18" s="1"/>
  <c r="H1426" i="16"/>
  <c r="P63" i="11"/>
  <c r="H703" i="16"/>
  <c r="H1285" i="16"/>
  <c r="I474" i="13"/>
  <c r="H1292" i="16" s="1"/>
  <c r="I482" i="13"/>
  <c r="H1248" i="16"/>
  <c r="I438" i="13"/>
  <c r="H1255" i="16" s="1"/>
  <c r="I446" i="13"/>
  <c r="H1263" i="16" s="1"/>
  <c r="R210" i="8"/>
  <c r="I591" i="16"/>
  <c r="H55" i="14"/>
  <c r="F598" i="16"/>
  <c r="E134" i="11"/>
  <c r="I134" i="11" s="1"/>
  <c r="H701" i="16"/>
  <c r="E424" i="18"/>
  <c r="F144" i="11"/>
  <c r="I197" i="19" l="1"/>
  <c r="I204" i="19"/>
  <c r="I200" i="19"/>
  <c r="I199" i="19"/>
  <c r="H2122" i="16"/>
  <c r="I45" i="11"/>
  <c r="H654" i="16" s="1"/>
  <c r="I211" i="19"/>
  <c r="F154" i="11"/>
  <c r="I154" i="11"/>
  <c r="H948" i="16"/>
  <c r="H23" i="14"/>
  <c r="I195" i="19"/>
  <c r="I210" i="19"/>
  <c r="I203" i="19"/>
  <c r="H212" i="19"/>
  <c r="H216" i="19"/>
  <c r="H204" i="19"/>
  <c r="H200" i="19"/>
  <c r="H196" i="19"/>
  <c r="H201" i="19"/>
  <c r="H197" i="19"/>
  <c r="H194" i="19"/>
  <c r="H203" i="19"/>
  <c r="H202" i="19"/>
  <c r="H198" i="19"/>
  <c r="H215" i="19"/>
  <c r="H210" i="19"/>
  <c r="H195" i="19"/>
  <c r="H214" i="19"/>
  <c r="H208" i="19"/>
  <c r="H209" i="19"/>
  <c r="H199" i="19"/>
  <c r="H211" i="19"/>
  <c r="H205" i="19"/>
  <c r="H213" i="19"/>
  <c r="H207" i="19"/>
  <c r="H206" i="19"/>
  <c r="I202" i="19"/>
  <c r="I215" i="19"/>
  <c r="I214" i="19"/>
  <c r="I208" i="19"/>
  <c r="I194" i="19"/>
  <c r="I213" i="19"/>
  <c r="I206" i="19"/>
  <c r="I207" i="19"/>
  <c r="I209" i="19"/>
  <c r="I201" i="19"/>
  <c r="I216" i="19"/>
  <c r="I205" i="19"/>
  <c r="I198" i="19"/>
  <c r="I212" i="19"/>
  <c r="D63" i="15"/>
  <c r="E63" i="15" s="1"/>
  <c r="D755" i="16"/>
  <c r="H755" i="16" s="1"/>
  <c r="G31" i="17"/>
  <c r="H1910" i="16" s="1"/>
  <c r="N60" i="11"/>
  <c r="L57" i="11"/>
  <c r="H2195" i="16"/>
  <c r="I116" i="11"/>
  <c r="E137" i="11" s="1"/>
  <c r="L59" i="11"/>
  <c r="L58" i="11"/>
  <c r="H645" i="16"/>
  <c r="L56" i="11"/>
  <c r="L60" i="11"/>
  <c r="D2168" i="16"/>
  <c r="H2168" i="16" s="1"/>
  <c r="D123" i="15"/>
  <c r="H123" i="15" s="1"/>
  <c r="I115" i="11"/>
  <c r="H712" i="16" s="1"/>
  <c r="H62" i="14"/>
  <c r="E62" i="14"/>
  <c r="H650" i="16"/>
  <c r="N61" i="11"/>
  <c r="F32" i="17"/>
  <c r="H61" i="14"/>
  <c r="D92" i="14"/>
  <c r="D131" i="15" s="1"/>
  <c r="H114" i="14"/>
  <c r="D125" i="14" s="1"/>
  <c r="H2193" i="16"/>
  <c r="D2169" i="16"/>
  <c r="H2169" i="16" s="1"/>
  <c r="N59" i="11"/>
  <c r="I118" i="11"/>
  <c r="H715" i="16" s="1"/>
  <c r="I119" i="11"/>
  <c r="E147" i="11" s="1"/>
  <c r="I147" i="11" s="1"/>
  <c r="D93" i="14"/>
  <c r="H93" i="14" s="1"/>
  <c r="N58" i="11"/>
  <c r="N57" i="11"/>
  <c r="E745" i="16"/>
  <c r="H1261" i="16"/>
  <c r="I448" i="13"/>
  <c r="I484" i="13"/>
  <c r="H1302" i="16" s="1"/>
  <c r="H1300" i="16"/>
  <c r="F241" i="13"/>
  <c r="H1056" i="16"/>
  <c r="H1290" i="16"/>
  <c r="I476" i="13"/>
  <c r="H1294" i="16" s="1"/>
  <c r="E2129" i="16"/>
  <c r="E353" i="13"/>
  <c r="G1167" i="16"/>
  <c r="H1165" i="16"/>
  <c r="F352" i="13"/>
  <c r="H1166" i="16"/>
  <c r="F528" i="13"/>
  <c r="H1256" i="16"/>
  <c r="F527" i="13"/>
  <c r="E114" i="15"/>
  <c r="E243" i="13"/>
  <c r="G1058" i="16"/>
  <c r="H528" i="13"/>
  <c r="H1264" i="16"/>
  <c r="H527" i="13"/>
  <c r="F1440" i="16"/>
  <c r="H1440" i="16" s="1"/>
  <c r="F85" i="15"/>
  <c r="E78" i="18"/>
  <c r="H118" i="14"/>
  <c r="H2197" i="16"/>
  <c r="D126" i="14"/>
  <c r="H2233" i="16"/>
  <c r="H1253" i="16"/>
  <c r="I440" i="13"/>
  <c r="D233" i="16"/>
  <c r="H233" i="16" s="1"/>
  <c r="H53" i="15"/>
  <c r="E53" i="15"/>
  <c r="H1365" i="16"/>
  <c r="H22" i="18"/>
  <c r="F61" i="18"/>
  <c r="F1423" i="16" s="1"/>
  <c r="H2162" i="16"/>
  <c r="D63" i="14"/>
  <c r="D307" i="16"/>
  <c r="E124" i="15"/>
  <c r="D30" i="14"/>
  <c r="H2124" i="16"/>
  <c r="I598" i="16"/>
  <c r="H87" i="14"/>
  <c r="I46" i="11"/>
  <c r="D2130" i="16"/>
  <c r="D115" i="15"/>
  <c r="E29" i="14"/>
  <c r="H297" i="16"/>
  <c r="E297" i="16"/>
  <c r="D735" i="16"/>
  <c r="H735" i="16" s="1"/>
  <c r="D43" i="15"/>
  <c r="F134" i="11"/>
  <c r="H426" i="18"/>
  <c r="H1794" i="16" s="1"/>
  <c r="H424" i="18"/>
  <c r="D243" i="16" l="1"/>
  <c r="H243" i="16" s="1"/>
  <c r="H63" i="15"/>
  <c r="F137" i="11"/>
  <c r="I137" i="11"/>
  <c r="E755" i="16"/>
  <c r="E123" i="15"/>
  <c r="L64" i="11"/>
  <c r="H713" i="16"/>
  <c r="D306" i="16"/>
  <c r="H306" i="16" s="1"/>
  <c r="E92" i="14"/>
  <c r="H92" i="14"/>
  <c r="I121" i="11"/>
  <c r="H718" i="16" s="1"/>
  <c r="P61" i="11"/>
  <c r="F30" i="17" s="1"/>
  <c r="E2168" i="16"/>
  <c r="G1911" i="16"/>
  <c r="G32" i="17"/>
  <c r="H1911" i="16" s="1"/>
  <c r="E150" i="11"/>
  <c r="H716" i="16"/>
  <c r="H2231" i="16"/>
  <c r="E93" i="14"/>
  <c r="D2203" i="16"/>
  <c r="H2203" i="16" s="1"/>
  <c r="E2169" i="16"/>
  <c r="D132" i="15"/>
  <c r="D317" i="16" s="1"/>
  <c r="D2204" i="16"/>
  <c r="E2204" i="16" s="1"/>
  <c r="N64" i="11"/>
  <c r="F147" i="11"/>
  <c r="H1343" i="16"/>
  <c r="H23" i="18"/>
  <c r="H1383" i="16"/>
  <c r="H529" i="13"/>
  <c r="H1344" i="16"/>
  <c r="E233" i="16"/>
  <c r="H1257" i="16"/>
  <c r="G527" i="13"/>
  <c r="G528" i="13"/>
  <c r="F1343" i="16"/>
  <c r="F242" i="13"/>
  <c r="H1057" i="16"/>
  <c r="F529" i="13"/>
  <c r="F1344" i="16"/>
  <c r="D2243" i="16"/>
  <c r="D141" i="15"/>
  <c r="H126" i="14"/>
  <c r="E126" i="14"/>
  <c r="H1265" i="16"/>
  <c r="I528" i="13"/>
  <c r="I527" i="13"/>
  <c r="F353" i="13"/>
  <c r="H1167" i="16"/>
  <c r="G1059" i="16"/>
  <c r="I245" i="13"/>
  <c r="H2235" i="16"/>
  <c r="D127" i="14"/>
  <c r="F268" i="16"/>
  <c r="H268" i="16" s="1"/>
  <c r="E85" i="15"/>
  <c r="H85" i="15"/>
  <c r="E1440" i="16"/>
  <c r="E354" i="13"/>
  <c r="G1168" i="16"/>
  <c r="D2131" i="16"/>
  <c r="D116" i="15"/>
  <c r="E30" i="14"/>
  <c r="H30" i="14"/>
  <c r="H2130" i="16"/>
  <c r="E2130" i="16"/>
  <c r="H307" i="16"/>
  <c r="E307" i="16"/>
  <c r="D94" i="14"/>
  <c r="H2198" i="16"/>
  <c r="I122" i="11"/>
  <c r="H115" i="15"/>
  <c r="D298" i="16"/>
  <c r="E115" i="15"/>
  <c r="D125" i="15"/>
  <c r="D2170" i="16"/>
  <c r="H63" i="14"/>
  <c r="E63" i="14"/>
  <c r="H655" i="16"/>
  <c r="P59" i="11"/>
  <c r="F28" i="17" s="1"/>
  <c r="P57" i="11"/>
  <c r="F26" i="17" s="1"/>
  <c r="G1905" i="16" s="1"/>
  <c r="P56" i="11"/>
  <c r="P58" i="11"/>
  <c r="F27" i="17" s="1"/>
  <c r="P60" i="11"/>
  <c r="F29" i="17" s="1"/>
  <c r="D748" i="16"/>
  <c r="H748" i="16" s="1"/>
  <c r="D56" i="15"/>
  <c r="H43" i="15"/>
  <c r="D223" i="16"/>
  <c r="H223" i="16" s="1"/>
  <c r="E43" i="15"/>
  <c r="E735" i="16"/>
  <c r="D2242" i="16"/>
  <c r="D140" i="15"/>
  <c r="H125" i="14"/>
  <c r="E125" i="14"/>
  <c r="D316" i="16"/>
  <c r="H131" i="15"/>
  <c r="E131" i="15"/>
  <c r="E140" i="11"/>
  <c r="D738" i="16"/>
  <c r="H738" i="16" s="1"/>
  <c r="D46" i="15"/>
  <c r="H427" i="18"/>
  <c r="E243" i="16" l="1"/>
  <c r="E306" i="16"/>
  <c r="F140" i="11"/>
  <c r="I140" i="11"/>
  <c r="F150" i="11"/>
  <c r="I150" i="11"/>
  <c r="G1909" i="16"/>
  <c r="G30" i="17"/>
  <c r="H1909" i="16" s="1"/>
  <c r="D751" i="16"/>
  <c r="H751" i="16" s="1"/>
  <c r="D59" i="15"/>
  <c r="D239" i="16" s="1"/>
  <c r="H239" i="16" s="1"/>
  <c r="E2203" i="16"/>
  <c r="G1908" i="16"/>
  <c r="G29" i="17"/>
  <c r="H1908" i="16" s="1"/>
  <c r="G1907" i="16"/>
  <c r="G28" i="17"/>
  <c r="H1907" i="16" s="1"/>
  <c r="G1906" i="16"/>
  <c r="G27" i="17"/>
  <c r="H1906" i="16" s="1"/>
  <c r="H2204" i="16"/>
  <c r="E132" i="15"/>
  <c r="D2244" i="16"/>
  <c r="E127" i="14"/>
  <c r="D142" i="15"/>
  <c r="H127" i="14"/>
  <c r="F243" i="13"/>
  <c r="H1058" i="16"/>
  <c r="G26" i="17"/>
  <c r="G529" i="13"/>
  <c r="G1344" i="16"/>
  <c r="G1343" i="16"/>
  <c r="F354" i="13"/>
  <c r="H1168" i="16"/>
  <c r="F530" i="13"/>
  <c r="F1345" i="16"/>
  <c r="H143" i="18"/>
  <c r="H1061" i="16"/>
  <c r="E355" i="13"/>
  <c r="G1169" i="16"/>
  <c r="I1343" i="16"/>
  <c r="I529" i="13"/>
  <c r="I1344" i="16"/>
  <c r="H530" i="13"/>
  <c r="H1345" i="16"/>
  <c r="E268" i="16"/>
  <c r="D326" i="16"/>
  <c r="E141" i="15"/>
  <c r="H1384" i="16"/>
  <c r="H25" i="18"/>
  <c r="H444" i="18"/>
  <c r="H1795" i="16"/>
  <c r="H2243" i="16"/>
  <c r="E2243" i="16"/>
  <c r="H94" i="14"/>
  <c r="E94" i="14"/>
  <c r="D2205" i="16"/>
  <c r="D133" i="15"/>
  <c r="P64" i="11"/>
  <c r="F54" i="17" s="1"/>
  <c r="H75" i="17" s="1"/>
  <c r="H1955" i="16" s="1"/>
  <c r="H298" i="16"/>
  <c r="E298" i="16"/>
  <c r="D308" i="16"/>
  <c r="E125" i="15"/>
  <c r="H125" i="15"/>
  <c r="H2170" i="16"/>
  <c r="E2170" i="16"/>
  <c r="E157" i="11"/>
  <c r="I157" i="11" s="1"/>
  <c r="H719" i="16"/>
  <c r="H116" i="15"/>
  <c r="D299" i="16"/>
  <c r="E116" i="15"/>
  <c r="E2131" i="16"/>
  <c r="H2131" i="16"/>
  <c r="E317" i="16"/>
  <c r="H317" i="16"/>
  <c r="E751" i="16"/>
  <c r="H236" i="16"/>
  <c r="E56" i="15"/>
  <c r="H56" i="15"/>
  <c r="E748" i="16"/>
  <c r="H140" i="15"/>
  <c r="D325" i="16"/>
  <c r="E140" i="15"/>
  <c r="H2242" i="16"/>
  <c r="E2242" i="16"/>
  <c r="D741" i="16"/>
  <c r="H741" i="16" s="1"/>
  <c r="D49" i="15"/>
  <c r="H316" i="16"/>
  <c r="E316" i="16"/>
  <c r="D226" i="16"/>
  <c r="H226" i="16" s="1"/>
  <c r="H46" i="15"/>
  <c r="E46" i="15"/>
  <c r="E738" i="16"/>
  <c r="E223" i="16"/>
  <c r="E59" i="15" l="1"/>
  <c r="H59" i="15"/>
  <c r="G33" i="17"/>
  <c r="H35" i="17" s="1"/>
  <c r="H73" i="17"/>
  <c r="H1953" i="16" s="1"/>
  <c r="H74" i="17"/>
  <c r="H1954" i="16" s="1"/>
  <c r="H71" i="17"/>
  <c r="H1951" i="16" s="1"/>
  <c r="H72" i="17"/>
  <c r="H1952" i="16" s="1"/>
  <c r="H69" i="17"/>
  <c r="H1949" i="16" s="1"/>
  <c r="H70" i="17"/>
  <c r="H1950" i="16" s="1"/>
  <c r="H1905" i="16"/>
  <c r="F157" i="18"/>
  <c r="H157" i="18" s="1"/>
  <c r="H1505" i="16"/>
  <c r="F531" i="13"/>
  <c r="F1346" i="16"/>
  <c r="E28" i="18"/>
  <c r="H1387" i="16"/>
  <c r="H531" i="13"/>
  <c r="H1346" i="16"/>
  <c r="G530" i="13"/>
  <c r="G1345" i="16"/>
  <c r="F355" i="13"/>
  <c r="H1170" i="16" s="1"/>
  <c r="H1169" i="16"/>
  <c r="I530" i="13"/>
  <c r="I1345" i="16"/>
  <c r="H1059" i="16"/>
  <c r="I246" i="13"/>
  <c r="H326" i="16"/>
  <c r="E326" i="16"/>
  <c r="D327" i="16"/>
  <c r="E142" i="15"/>
  <c r="G1170" i="16"/>
  <c r="I357" i="13"/>
  <c r="H447" i="18"/>
  <c r="H1813" i="16"/>
  <c r="H2244" i="16"/>
  <c r="E2244" i="16"/>
  <c r="E308" i="16"/>
  <c r="H308" i="16"/>
  <c r="E160" i="11"/>
  <c r="I160" i="11" s="1"/>
  <c r="F157" i="11"/>
  <c r="D758" i="16"/>
  <c r="H758" i="16" s="1"/>
  <c r="D66" i="15"/>
  <c r="E299" i="16"/>
  <c r="H299" i="16"/>
  <c r="H133" i="15"/>
  <c r="H142" i="15" s="1"/>
  <c r="D318" i="16"/>
  <c r="E133" i="15"/>
  <c r="H2205" i="16"/>
  <c r="E2205" i="16"/>
  <c r="F1934" i="16"/>
  <c r="E236" i="16"/>
  <c r="E239" i="16"/>
  <c r="E741" i="16"/>
  <c r="E226" i="16"/>
  <c r="E325" i="16"/>
  <c r="H325" i="16"/>
  <c r="D229" i="16"/>
  <c r="H229" i="16" s="1"/>
  <c r="H49" i="15"/>
  <c r="E49" i="15"/>
  <c r="H1912" i="16" l="1"/>
  <c r="H76" i="17"/>
  <c r="I358" i="13"/>
  <c r="H162" i="18" s="1"/>
  <c r="H222" i="18"/>
  <c r="H1172" i="16"/>
  <c r="G531" i="13"/>
  <c r="G1346" i="16"/>
  <c r="H1816" i="16"/>
  <c r="H459" i="18"/>
  <c r="H452" i="18"/>
  <c r="H327" i="16"/>
  <c r="E327" i="16"/>
  <c r="H532" i="13"/>
  <c r="H1348" i="16" s="1"/>
  <c r="H1347" i="16"/>
  <c r="H28" i="18"/>
  <c r="H1390" i="16" s="1"/>
  <c r="E1390" i="16"/>
  <c r="H30" i="18"/>
  <c r="I531" i="13"/>
  <c r="I1346" i="16"/>
  <c r="H83" i="18"/>
  <c r="H1062" i="16"/>
  <c r="F1347" i="16"/>
  <c r="F532" i="13"/>
  <c r="F1518" i="16"/>
  <c r="H1518" i="16" s="1"/>
  <c r="F88" i="15"/>
  <c r="E157" i="18"/>
  <c r="D246" i="16"/>
  <c r="H246" i="16" s="1"/>
  <c r="E66" i="15"/>
  <c r="H66" i="15"/>
  <c r="E758" i="16"/>
  <c r="H132" i="17"/>
  <c r="F160" i="11"/>
  <c r="D761" i="16"/>
  <c r="H761" i="16" s="1"/>
  <c r="D69" i="15"/>
  <c r="H318" i="16"/>
  <c r="E318" i="16"/>
  <c r="H83" i="17"/>
  <c r="H1914" i="16"/>
  <c r="E229" i="16"/>
  <c r="H77" i="17"/>
  <c r="H1956" i="16"/>
  <c r="H1173" i="16" l="1"/>
  <c r="E1518" i="16"/>
  <c r="F1348" i="16"/>
  <c r="I535" i="13"/>
  <c r="F271" i="16"/>
  <c r="H271" i="16" s="1"/>
  <c r="H88" i="15"/>
  <c r="E88" i="15"/>
  <c r="H460" i="18"/>
  <c r="H1829" i="16"/>
  <c r="G532" i="13"/>
  <c r="G1347" i="16"/>
  <c r="H1445" i="16"/>
  <c r="H101" i="18"/>
  <c r="F140" i="18"/>
  <c r="F1502" i="16" s="1"/>
  <c r="F236" i="18"/>
  <c r="H236" i="18" s="1"/>
  <c r="H1585" i="16"/>
  <c r="G453" i="18"/>
  <c r="H1822" i="16"/>
  <c r="I532" i="13"/>
  <c r="I1347" i="16"/>
  <c r="I539" i="13"/>
  <c r="H32" i="18"/>
  <c r="H1392" i="16"/>
  <c r="H1523" i="16"/>
  <c r="H180" i="18"/>
  <c r="F219" i="18"/>
  <c r="F1582" i="16" s="1"/>
  <c r="H2019" i="16"/>
  <c r="F135" i="17"/>
  <c r="H135" i="17" s="1"/>
  <c r="H69" i="15"/>
  <c r="D249" i="16"/>
  <c r="H249" i="16" s="1"/>
  <c r="E69" i="15"/>
  <c r="E761" i="16"/>
  <c r="E246" i="16"/>
  <c r="H79" i="17"/>
  <c r="H1957" i="16"/>
  <c r="F97" i="17"/>
  <c r="H97" i="17" s="1"/>
  <c r="H1963" i="16"/>
  <c r="G1348" i="16" l="1"/>
  <c r="I536" i="13"/>
  <c r="H1355" i="16"/>
  <c r="H380" i="18"/>
  <c r="E271" i="16"/>
  <c r="H301" i="18"/>
  <c r="H1351" i="16"/>
  <c r="F1599" i="16"/>
  <c r="H1599" i="16" s="1"/>
  <c r="F91" i="15"/>
  <c r="E236" i="18"/>
  <c r="H33" i="18"/>
  <c r="H1394" i="16"/>
  <c r="I1348" i="16"/>
  <c r="I540" i="13"/>
  <c r="H181" i="18"/>
  <c r="H1541" i="16"/>
  <c r="H102" i="18"/>
  <c r="H1463" i="16"/>
  <c r="H1830" i="16"/>
  <c r="H461" i="18"/>
  <c r="G1823" i="16"/>
  <c r="F462" i="18"/>
  <c r="H454" i="18"/>
  <c r="H455" i="18"/>
  <c r="H456" i="18" s="1"/>
  <c r="H78" i="15"/>
  <c r="H261" i="16" s="1"/>
  <c r="E249" i="16"/>
  <c r="E135" i="17"/>
  <c r="F106" i="15"/>
  <c r="F2022" i="16"/>
  <c r="H2022" i="16" s="1"/>
  <c r="F1977" i="16"/>
  <c r="H1977" i="16" s="1"/>
  <c r="F103" i="15"/>
  <c r="D100" i="15"/>
  <c r="E97" i="17"/>
  <c r="H140" i="17"/>
  <c r="H1959" i="16"/>
  <c r="H36" i="18" l="1"/>
  <c r="H1395" i="16"/>
  <c r="F274" i="16"/>
  <c r="H274" i="16" s="1"/>
  <c r="E91" i="15"/>
  <c r="H91" i="15"/>
  <c r="H79" i="15"/>
  <c r="H262" i="16" s="1"/>
  <c r="F1832" i="16"/>
  <c r="F394" i="18"/>
  <c r="H394" i="18" s="1"/>
  <c r="H1745" i="16"/>
  <c r="H320" i="18"/>
  <c r="H1356" i="16"/>
  <c r="H1824" i="16"/>
  <c r="H481" i="18"/>
  <c r="H1858" i="16" s="1"/>
  <c r="H480" i="18"/>
  <c r="E1599" i="16"/>
  <c r="H104" i="18"/>
  <c r="H1464" i="16"/>
  <c r="H1825" i="16"/>
  <c r="H1826" i="16" s="1"/>
  <c r="F315" i="18"/>
  <c r="H315" i="18" s="1"/>
  <c r="H1665" i="16"/>
  <c r="H241" i="18"/>
  <c r="H1352" i="16"/>
  <c r="H1831" i="16"/>
  <c r="G462" i="18"/>
  <c r="H183" i="18"/>
  <c r="H1542" i="16"/>
  <c r="H106" i="15"/>
  <c r="H114" i="15" s="1"/>
  <c r="H124" i="15" s="1"/>
  <c r="H132" i="15" s="1"/>
  <c r="H141" i="15" s="1"/>
  <c r="F290" i="16"/>
  <c r="H290" i="16" s="1"/>
  <c r="E106" i="15"/>
  <c r="E2022" i="16"/>
  <c r="H103" i="15"/>
  <c r="F287" i="16"/>
  <c r="H287" i="16" s="1"/>
  <c r="E103" i="15"/>
  <c r="D284" i="16"/>
  <c r="H284" i="16" s="1"/>
  <c r="E100" i="15"/>
  <c r="H100" i="15"/>
  <c r="E1977" i="16"/>
  <c r="H158" i="17"/>
  <c r="H2027" i="16"/>
  <c r="F197" i="17"/>
  <c r="F2085" i="16" s="1"/>
  <c r="H1684" i="16" l="1"/>
  <c r="H338" i="18"/>
  <c r="F377" i="18"/>
  <c r="F1742" i="16" s="1"/>
  <c r="F97" i="15"/>
  <c r="F1759" i="16"/>
  <c r="H1759" i="16" s="1"/>
  <c r="E394" i="18"/>
  <c r="F298" i="18"/>
  <c r="F1662" i="16" s="1"/>
  <c r="H1604" i="16"/>
  <c r="H259" i="18"/>
  <c r="H1857" i="16"/>
  <c r="H482" i="18"/>
  <c r="F1679" i="16"/>
  <c r="H1679" i="16" s="1"/>
  <c r="F94" i="15"/>
  <c r="E315" i="18"/>
  <c r="E274" i="16"/>
  <c r="E186" i="18"/>
  <c r="H1545" i="16"/>
  <c r="H463" i="18"/>
  <c r="H1833" i="16" s="1"/>
  <c r="G1832" i="16"/>
  <c r="E107" i="18"/>
  <c r="H1467" i="16"/>
  <c r="H37" i="18"/>
  <c r="H1398" i="16"/>
  <c r="E290" i="16"/>
  <c r="E287" i="16"/>
  <c r="H159" i="17"/>
  <c r="H2045" i="16"/>
  <c r="E284" i="16"/>
  <c r="H483" i="18" l="1"/>
  <c r="H1859" i="16"/>
  <c r="E1759" i="16"/>
  <c r="F281" i="16"/>
  <c r="H281" i="16" s="1"/>
  <c r="H97" i="15"/>
  <c r="E97" i="15"/>
  <c r="H38" i="18"/>
  <c r="H1399" i="16"/>
  <c r="E1470" i="16"/>
  <c r="H1470" i="16" s="1"/>
  <c r="H109" i="18"/>
  <c r="H107" i="18"/>
  <c r="E1549" i="16"/>
  <c r="H1549" i="16" s="1"/>
  <c r="H188" i="18"/>
  <c r="H186" i="18"/>
  <c r="E1679" i="16"/>
  <c r="H339" i="18"/>
  <c r="H1702" i="16"/>
  <c r="F277" i="16"/>
  <c r="H277" i="16" s="1"/>
  <c r="E94" i="15"/>
  <c r="H94" i="15"/>
  <c r="H260" i="18"/>
  <c r="H1622" i="16"/>
  <c r="H161" i="17"/>
  <c r="H2046" i="16"/>
  <c r="H190" i="18" l="1"/>
  <c r="H1551" i="16"/>
  <c r="H262" i="18"/>
  <c r="H1623" i="16"/>
  <c r="H39" i="18"/>
  <c r="H1400" i="16"/>
  <c r="H73" i="15"/>
  <c r="H256" i="16" s="1"/>
  <c r="H111" i="18"/>
  <c r="H1472" i="16"/>
  <c r="E277" i="16"/>
  <c r="H341" i="18"/>
  <c r="H1703" i="16"/>
  <c r="E281" i="16"/>
  <c r="H485" i="18"/>
  <c r="H1862" i="16" s="1"/>
  <c r="H1860" i="16"/>
  <c r="E164" i="17"/>
  <c r="H2049" i="16"/>
  <c r="E344" i="18" l="1"/>
  <c r="H1706" i="16"/>
  <c r="H1401" i="16"/>
  <c r="H41" i="18"/>
  <c r="H49" i="18"/>
  <c r="H1411" i="16" s="1"/>
  <c r="H1473" i="16"/>
  <c r="H112" i="18"/>
  <c r="E265" i="18"/>
  <c r="H1626" i="16"/>
  <c r="E1629" i="16" s="1"/>
  <c r="H1629" i="16" s="1"/>
  <c r="H1553" i="16"/>
  <c r="H191" i="18"/>
  <c r="H164" i="17"/>
  <c r="E2052" i="16"/>
  <c r="H2052" i="16" s="1"/>
  <c r="H166" i="17"/>
  <c r="H267" i="18" l="1"/>
  <c r="H265" i="18"/>
  <c r="H115" i="18"/>
  <c r="H1474" i="16"/>
  <c r="H194" i="18"/>
  <c r="H1554" i="16"/>
  <c r="H45" i="18"/>
  <c r="H1403" i="16"/>
  <c r="E1709" i="16"/>
  <c r="H1709" i="16" s="1"/>
  <c r="H344" i="18"/>
  <c r="H346" i="18"/>
  <c r="H168" i="17"/>
  <c r="H2054" i="16"/>
  <c r="H348" i="18" l="1"/>
  <c r="H1711" i="16"/>
  <c r="H47" i="18"/>
  <c r="H1407" i="16"/>
  <c r="H116" i="18"/>
  <c r="H1477" i="16"/>
  <c r="H195" i="18"/>
  <c r="H1557" i="16"/>
  <c r="H269" i="18"/>
  <c r="H1631" i="16"/>
  <c r="H169" i="17"/>
  <c r="H2056" i="16"/>
  <c r="H117" i="18" l="1"/>
  <c r="H1478" i="16"/>
  <c r="H1633" i="16"/>
  <c r="H270" i="18"/>
  <c r="H196" i="18"/>
  <c r="H1558" i="16"/>
  <c r="H1409" i="16"/>
  <c r="D54" i="18"/>
  <c r="H48" i="18"/>
  <c r="H349" i="18"/>
  <c r="H1713" i="16"/>
  <c r="H172" i="17"/>
  <c r="H2057" i="16"/>
  <c r="H352" i="18" l="1"/>
  <c r="H1714" i="16"/>
  <c r="D1416" i="16"/>
  <c r="H55" i="18"/>
  <c r="G57" i="18"/>
  <c r="E54" i="18"/>
  <c r="H57" i="18"/>
  <c r="H197" i="18"/>
  <c r="H75" i="15"/>
  <c r="H258" i="16" s="1"/>
  <c r="H1559" i="16"/>
  <c r="H58" i="18"/>
  <c r="H1420" i="16" s="1"/>
  <c r="H1410" i="16"/>
  <c r="H273" i="18"/>
  <c r="H1634" i="16"/>
  <c r="H118" i="18"/>
  <c r="H1479" i="16"/>
  <c r="H74" i="15"/>
  <c r="H257" i="16" s="1"/>
  <c r="H173" i="17"/>
  <c r="H2060" i="16"/>
  <c r="H274" i="18" l="1"/>
  <c r="H1637" i="16"/>
  <c r="H1560" i="16"/>
  <c r="H207" i="18"/>
  <c r="H1570" i="16" s="1"/>
  <c r="H199" i="18"/>
  <c r="H1480" i="16"/>
  <c r="H128" i="18"/>
  <c r="H1490" i="16" s="1"/>
  <c r="H120" i="18"/>
  <c r="G1419" i="16"/>
  <c r="E1416" i="16"/>
  <c r="H1417" i="16"/>
  <c r="D61" i="18"/>
  <c r="H61" i="18" s="1"/>
  <c r="H1419" i="16"/>
  <c r="H353" i="18"/>
  <c r="H1717" i="16"/>
  <c r="H174" i="17"/>
  <c r="H2061" i="16"/>
  <c r="H354" i="18" l="1"/>
  <c r="H1718" i="16"/>
  <c r="D1423" i="16"/>
  <c r="H1423" i="16" s="1"/>
  <c r="E61" i="18"/>
  <c r="H124" i="18"/>
  <c r="H1482" i="16"/>
  <c r="H203" i="18"/>
  <c r="H1562" i="16"/>
  <c r="H275" i="18"/>
  <c r="H1638" i="16"/>
  <c r="H175" i="17"/>
  <c r="H80" i="15"/>
  <c r="H263" i="16" s="1"/>
  <c r="H2062" i="16"/>
  <c r="H126" i="18" l="1"/>
  <c r="H1486" i="16"/>
  <c r="H276" i="18"/>
  <c r="H1639" i="16"/>
  <c r="H76" i="15"/>
  <c r="H259" i="16" s="1"/>
  <c r="H205" i="18"/>
  <c r="H1566" i="16"/>
  <c r="E1423" i="16"/>
  <c r="H355" i="18"/>
  <c r="H1719" i="16"/>
  <c r="H77" i="15"/>
  <c r="H260" i="16" s="1"/>
  <c r="H185" i="17"/>
  <c r="H2073" i="16" s="1"/>
  <c r="H2063" i="16"/>
  <c r="H177" i="17"/>
  <c r="H1640" i="16" l="1"/>
  <c r="H286" i="18"/>
  <c r="H1650" i="16" s="1"/>
  <c r="H278" i="18"/>
  <c r="H365" i="18"/>
  <c r="H1730" i="16" s="1"/>
  <c r="H1720" i="16"/>
  <c r="H357" i="18"/>
  <c r="D212" i="18"/>
  <c r="H1568" i="16"/>
  <c r="H206" i="18"/>
  <c r="D133" i="18"/>
  <c r="H1488" i="16"/>
  <c r="H127" i="18"/>
  <c r="H181" i="17"/>
  <c r="H2065" i="16"/>
  <c r="H216" i="18" l="1"/>
  <c r="H1579" i="16" s="1"/>
  <c r="H1569" i="16"/>
  <c r="H137" i="18"/>
  <c r="H1499" i="16" s="1"/>
  <c r="H1489" i="16"/>
  <c r="H361" i="18"/>
  <c r="H1722" i="16"/>
  <c r="D1495" i="16"/>
  <c r="H134" i="18"/>
  <c r="E133" i="18"/>
  <c r="G136" i="18"/>
  <c r="H136" i="18"/>
  <c r="D1575" i="16"/>
  <c r="E212" i="18"/>
  <c r="G215" i="18"/>
  <c r="H215" i="18"/>
  <c r="H213" i="18"/>
  <c r="H282" i="18"/>
  <c r="H1642" i="16"/>
  <c r="H183" i="17"/>
  <c r="H2069" i="16"/>
  <c r="D140" i="18" l="1"/>
  <c r="H140" i="18" s="1"/>
  <c r="H1498" i="16"/>
  <c r="E1575" i="16"/>
  <c r="G1578" i="16"/>
  <c r="H1576" i="16"/>
  <c r="H1496" i="16"/>
  <c r="E1495" i="16"/>
  <c r="G1498" i="16"/>
  <c r="D219" i="18"/>
  <c r="H219" i="18" s="1"/>
  <c r="H1578" i="16"/>
  <c r="H363" i="18"/>
  <c r="H1726" i="16"/>
  <c r="H284" i="18"/>
  <c r="H1646" i="16"/>
  <c r="H184" i="17"/>
  <c r="H2071" i="16"/>
  <c r="D190" i="17"/>
  <c r="D1582" i="16" l="1"/>
  <c r="H1582" i="16" s="1"/>
  <c r="E219" i="18"/>
  <c r="H1648" i="16"/>
  <c r="D291" i="18"/>
  <c r="H285" i="18"/>
  <c r="H1728" i="16"/>
  <c r="D370" i="18"/>
  <c r="H364" i="18"/>
  <c r="D1502" i="16"/>
  <c r="H1502" i="16" s="1"/>
  <c r="E140" i="18"/>
  <c r="D2078" i="16"/>
  <c r="H191" i="17"/>
  <c r="G193" i="17"/>
  <c r="E190" i="17"/>
  <c r="H193" i="17"/>
  <c r="H194" i="17"/>
  <c r="H2082" i="16" s="1"/>
  <c r="H2072" i="16"/>
  <c r="D1735" i="16" l="1"/>
  <c r="H373" i="18"/>
  <c r="G373" i="18"/>
  <c r="E370" i="18"/>
  <c r="H371" i="18"/>
  <c r="E1502" i="16"/>
  <c r="H295" i="18"/>
  <c r="H1659" i="16" s="1"/>
  <c r="H1649" i="16"/>
  <c r="H374" i="18"/>
  <c r="H1739" i="16" s="1"/>
  <c r="H1729" i="16"/>
  <c r="D1655" i="16"/>
  <c r="H294" i="18"/>
  <c r="H292" i="18"/>
  <c r="E291" i="18"/>
  <c r="G294" i="18"/>
  <c r="E1582" i="16"/>
  <c r="D197" i="17"/>
  <c r="H197" i="17" s="1"/>
  <c r="H2081" i="16"/>
  <c r="H2079" i="16"/>
  <c r="G2081" i="16"/>
  <c r="E2078" i="16"/>
  <c r="G1658" i="16" l="1"/>
  <c r="E1655" i="16"/>
  <c r="H1656" i="16"/>
  <c r="D377" i="18"/>
  <c r="H377" i="18" s="1"/>
  <c r="H1738" i="16"/>
  <c r="D298" i="18"/>
  <c r="H298" i="18" s="1"/>
  <c r="H1658" i="16"/>
  <c r="H1736" i="16"/>
  <c r="G1738" i="16"/>
  <c r="E1735" i="16"/>
  <c r="D2085" i="16"/>
  <c r="H2085" i="16" s="1"/>
  <c r="E197" i="17"/>
  <c r="D1662" i="16" l="1"/>
  <c r="H1662" i="16" s="1"/>
  <c r="E298" i="18"/>
  <c r="D1742" i="16"/>
  <c r="H1742" i="16" s="1"/>
  <c r="E377" i="18"/>
  <c r="E2085" i="16"/>
  <c r="E1742" i="16" l="1"/>
  <c r="E1662" i="16"/>
  <c r="G171" i="19"/>
  <c r="G192" i="19" s="1"/>
  <c r="A171" i="19"/>
  <c r="A191" i="19" s="1"/>
  <c r="B123" i="19"/>
  <c r="B141" i="19" s="1"/>
  <c r="B75" i="19"/>
  <c r="B93" i="19" s="1"/>
  <c r="B171" i="19"/>
  <c r="B190" i="19" s="1"/>
  <c r="B99" i="19"/>
  <c r="B118" i="19" s="1"/>
  <c r="T4" i="19"/>
  <c r="T19" i="19"/>
  <c r="T9" i="19"/>
  <c r="T8" i="19"/>
  <c r="E171" i="19"/>
  <c r="E192" i="19" s="1"/>
  <c r="I171" i="19"/>
  <c r="I191" i="19" s="1"/>
  <c r="B3" i="19"/>
  <c r="B22" i="19" s="1"/>
  <c r="T18" i="19"/>
  <c r="S11" i="19"/>
  <c r="B51" i="19"/>
  <c r="B70" i="19" s="1"/>
  <c r="T11" i="19"/>
  <c r="T14" i="19"/>
  <c r="S10" i="19"/>
  <c r="S4" i="19"/>
  <c r="S3" i="19"/>
  <c r="G172" i="19" s="1"/>
  <c r="S15" i="19"/>
  <c r="G184" i="19" s="1"/>
  <c r="S13" i="19"/>
  <c r="A182" i="19" s="1"/>
  <c r="K171" i="19"/>
  <c r="K147" i="19" s="1"/>
  <c r="T3" i="19"/>
  <c r="B172" i="19" s="1"/>
  <c r="C171" i="19"/>
  <c r="T10" i="19"/>
  <c r="S17" i="19"/>
  <c r="S16" i="19"/>
  <c r="S18" i="19"/>
  <c r="T16" i="19"/>
  <c r="T15" i="19"/>
  <c r="S20" i="19"/>
  <c r="S6" i="19"/>
  <c r="A175" i="19"/>
  <c r="T5" i="19"/>
  <c r="B27" i="19"/>
  <c r="D27" i="19" s="1"/>
  <c r="S8" i="19"/>
  <c r="T6" i="19"/>
  <c r="B79" i="19" s="1"/>
  <c r="S12" i="19"/>
  <c r="T17" i="19"/>
  <c r="B138" i="19" s="1"/>
  <c r="B147" i="19"/>
  <c r="S19" i="19"/>
  <c r="S9" i="19"/>
  <c r="T13" i="19"/>
  <c r="S14" i="19"/>
  <c r="T7" i="19"/>
  <c r="S5" i="19"/>
  <c r="S7" i="19"/>
  <c r="O171" i="19"/>
  <c r="O192" i="19" s="1"/>
  <c r="T12" i="19"/>
  <c r="M171" i="19"/>
  <c r="M192" i="19" s="1"/>
  <c r="T26" i="19"/>
  <c r="T30" i="19"/>
  <c r="S34" i="19"/>
  <c r="T28" i="19"/>
  <c r="S27" i="19"/>
  <c r="T29" i="19"/>
  <c r="S26" i="19"/>
  <c r="T27" i="19"/>
  <c r="S33" i="19"/>
  <c r="T34" i="19"/>
  <c r="T31" i="19"/>
  <c r="S32" i="19"/>
  <c r="T32" i="19"/>
  <c r="S30" i="19"/>
  <c r="S29" i="19"/>
  <c r="S28" i="19"/>
  <c r="S31" i="19"/>
  <c r="T33" i="19"/>
  <c r="A172" i="19" l="1"/>
  <c r="B155" i="19"/>
  <c r="A189" i="19"/>
  <c r="B19" i="19"/>
  <c r="B106" i="19"/>
  <c r="B188" i="19"/>
  <c r="B126" i="19"/>
  <c r="B104" i="19"/>
  <c r="B134" i="19"/>
  <c r="K186" i="19"/>
  <c r="B184" i="19"/>
  <c r="K175" i="19"/>
  <c r="K183" i="19"/>
  <c r="B89" i="19"/>
  <c r="K163" i="19"/>
  <c r="C178" i="19"/>
  <c r="K164" i="19"/>
  <c r="I180" i="19"/>
  <c r="B37" i="19"/>
  <c r="B112" i="19"/>
  <c r="B117" i="19"/>
  <c r="O185" i="19"/>
  <c r="B78" i="19"/>
  <c r="A185" i="19"/>
  <c r="B174" i="19"/>
  <c r="B69" i="19"/>
  <c r="B136" i="19"/>
  <c r="C188" i="19"/>
  <c r="M175" i="19"/>
  <c r="B41" i="19"/>
  <c r="I175" i="19"/>
  <c r="D38" i="19"/>
  <c r="E188" i="19"/>
  <c r="K160" i="19"/>
  <c r="K185" i="19"/>
  <c r="E186" i="19"/>
  <c r="B157" i="19"/>
  <c r="B133" i="19"/>
  <c r="B65" i="19"/>
  <c r="A186" i="19"/>
  <c r="G186" i="19"/>
  <c r="E184" i="19"/>
  <c r="K178" i="19"/>
  <c r="B127" i="19"/>
  <c r="K187" i="19"/>
  <c r="B131" i="19"/>
  <c r="A147" i="19"/>
  <c r="A167" i="19" s="1"/>
  <c r="B61" i="19"/>
  <c r="D37" i="19"/>
  <c r="O191" i="19"/>
  <c r="I178" i="19"/>
  <c r="I187" i="19"/>
  <c r="B107" i="19"/>
  <c r="E178" i="19"/>
  <c r="I189" i="19"/>
  <c r="B11" i="19"/>
  <c r="D51" i="19"/>
  <c r="D62" i="19" s="1"/>
  <c r="B46" i="19"/>
  <c r="K189" i="19"/>
  <c r="B59" i="19"/>
  <c r="B165" i="19"/>
  <c r="B109" i="19"/>
  <c r="G178" i="19"/>
  <c r="M174" i="19"/>
  <c r="D41" i="19"/>
  <c r="E189" i="19"/>
  <c r="G185" i="19"/>
  <c r="B83" i="19"/>
  <c r="B13" i="19"/>
  <c r="B181" i="19"/>
  <c r="I185" i="19"/>
  <c r="O178" i="19"/>
  <c r="B114" i="19"/>
  <c r="I181" i="19"/>
  <c r="M177" i="19"/>
  <c r="M189" i="19"/>
  <c r="G176" i="19"/>
  <c r="K174" i="19"/>
  <c r="B110" i="19"/>
  <c r="B42" i="19"/>
  <c r="A181" i="19"/>
  <c r="O177" i="19"/>
  <c r="G177" i="19"/>
  <c r="E177" i="19"/>
  <c r="A177" i="19"/>
  <c r="I177" i="19"/>
  <c r="K177" i="19"/>
  <c r="K176" i="19"/>
  <c r="B56" i="19"/>
  <c r="I183" i="19"/>
  <c r="B66" i="19"/>
  <c r="E181" i="19"/>
  <c r="O187" i="19"/>
  <c r="M176" i="19"/>
  <c r="C150" i="19"/>
  <c r="B32" i="19"/>
  <c r="M183" i="19"/>
  <c r="B62" i="19"/>
  <c r="B90" i="19"/>
  <c r="C181" i="19"/>
  <c r="C177" i="19"/>
  <c r="M187" i="19"/>
  <c r="I176" i="19"/>
  <c r="B8" i="19"/>
  <c r="E183" i="19"/>
  <c r="B182" i="19"/>
  <c r="B162" i="19"/>
  <c r="O181" i="19"/>
  <c r="C147" i="19"/>
  <c r="C153" i="19" s="1"/>
  <c r="C191" i="19"/>
  <c r="C186" i="19"/>
  <c r="C173" i="19"/>
  <c r="C187" i="19"/>
  <c r="E174" i="19"/>
  <c r="A174" i="19"/>
  <c r="B80" i="19"/>
  <c r="A183" i="19"/>
  <c r="B38" i="19"/>
  <c r="B186" i="19"/>
  <c r="G181" i="19"/>
  <c r="K153" i="19"/>
  <c r="C192" i="19"/>
  <c r="C176" i="19"/>
  <c r="G174" i="19"/>
  <c r="B152" i="19"/>
  <c r="C183" i="19"/>
  <c r="B14" i="19"/>
  <c r="K188" i="19"/>
  <c r="O176" i="19"/>
  <c r="C174" i="19"/>
  <c r="B128" i="19"/>
  <c r="G183" i="19"/>
  <c r="B86" i="19"/>
  <c r="A176" i="19"/>
  <c r="I174" i="19"/>
  <c r="B176" i="19"/>
  <c r="O183" i="19"/>
  <c r="B158" i="19"/>
  <c r="O188" i="19"/>
  <c r="K157" i="19"/>
  <c r="E176" i="19"/>
  <c r="O174" i="19"/>
  <c r="G188" i="19"/>
  <c r="K181" i="19"/>
  <c r="M181" i="19"/>
  <c r="M147" i="19"/>
  <c r="M152" i="19" s="1"/>
  <c r="M180" i="19"/>
  <c r="M185" i="19"/>
  <c r="M172" i="19"/>
  <c r="M191" i="19"/>
  <c r="K154" i="19"/>
  <c r="I188" i="19"/>
  <c r="B103" i="19"/>
  <c r="B85" i="19"/>
  <c r="K150" i="19"/>
  <c r="K159" i="19"/>
  <c r="D31" i="19"/>
  <c r="B151" i="19"/>
  <c r="B175" i="19"/>
  <c r="B7" i="19"/>
  <c r="K152" i="19"/>
  <c r="A188" i="19"/>
  <c r="B154" i="19"/>
  <c r="D147" i="19"/>
  <c r="D151" i="19" s="1"/>
  <c r="B161" i="19"/>
  <c r="B148" i="19"/>
  <c r="B55" i="19"/>
  <c r="D42" i="19"/>
  <c r="B18" i="19"/>
  <c r="O172" i="19"/>
  <c r="O147" i="19"/>
  <c r="O153" i="19" s="1"/>
  <c r="O182" i="19"/>
  <c r="D32" i="19"/>
  <c r="A178" i="19"/>
  <c r="M178" i="19"/>
  <c r="M188" i="19"/>
  <c r="B166" i="19"/>
  <c r="B31" i="19"/>
  <c r="B160" i="19"/>
  <c r="K191" i="19"/>
  <c r="K179" i="19"/>
  <c r="I179" i="19"/>
  <c r="G179" i="19"/>
  <c r="O179" i="19"/>
  <c r="C179" i="19"/>
  <c r="E179" i="19"/>
  <c r="A179" i="19"/>
  <c r="K155" i="19"/>
  <c r="M179" i="19"/>
  <c r="K168" i="19"/>
  <c r="K167" i="19"/>
  <c r="K123" i="19"/>
  <c r="K133" i="19" s="1"/>
  <c r="K158" i="19"/>
  <c r="B35" i="19"/>
  <c r="B124" i="19"/>
  <c r="K192" i="19"/>
  <c r="K148" i="19"/>
  <c r="D123" i="19"/>
  <c r="D128" i="19" s="1"/>
  <c r="B140" i="19"/>
  <c r="B130" i="19"/>
  <c r="B142" i="19"/>
  <c r="B100" i="19"/>
  <c r="D34" i="19"/>
  <c r="D45" i="19"/>
  <c r="D46" i="19"/>
  <c r="D44" i="19"/>
  <c r="F27" i="19"/>
  <c r="F38" i="19" s="1"/>
  <c r="D40" i="19"/>
  <c r="B52" i="19"/>
  <c r="C184" i="19"/>
  <c r="K149" i="19"/>
  <c r="B45" i="19"/>
  <c r="D30" i="19"/>
  <c r="K151" i="19"/>
  <c r="K161" i="19"/>
  <c r="O186" i="19"/>
  <c r="D35" i="19"/>
  <c r="B28" i="19"/>
  <c r="E182" i="19"/>
  <c r="A184" i="19"/>
  <c r="B4" i="19"/>
  <c r="K173" i="19"/>
  <c r="E147" i="19"/>
  <c r="E157" i="19" s="1"/>
  <c r="E173" i="19"/>
  <c r="E191" i="19"/>
  <c r="B40" i="19"/>
  <c r="K162" i="19"/>
  <c r="B76" i="19"/>
  <c r="G182" i="19"/>
  <c r="O184" i="19"/>
  <c r="B102" i="19"/>
  <c r="G175" i="19"/>
  <c r="T22" i="19"/>
  <c r="S21" i="19"/>
  <c r="K165" i="19"/>
  <c r="B137" i="19"/>
  <c r="C182" i="19"/>
  <c r="I184" i="19"/>
  <c r="B30" i="19"/>
  <c r="C175" i="19"/>
  <c r="M182" i="19"/>
  <c r="K184" i="19"/>
  <c r="B6" i="19"/>
  <c r="O175" i="19"/>
  <c r="C189" i="19"/>
  <c r="B88" i="19"/>
  <c r="B113" i="19"/>
  <c r="E187" i="19"/>
  <c r="M186" i="19"/>
  <c r="D52" i="19"/>
  <c r="I182" i="19"/>
  <c r="M184" i="19"/>
  <c r="B150" i="19"/>
  <c r="G189" i="19"/>
  <c r="B64" i="19"/>
  <c r="B17" i="19"/>
  <c r="A187" i="19"/>
  <c r="C185" i="19"/>
  <c r="B179" i="19"/>
  <c r="D28" i="19"/>
  <c r="K182" i="19"/>
  <c r="B43" i="19"/>
  <c r="B54" i="19"/>
  <c r="E175" i="19"/>
  <c r="O189" i="19"/>
  <c r="B16" i="19"/>
  <c r="B185" i="19"/>
  <c r="G187" i="19"/>
  <c r="E185" i="19"/>
  <c r="I186" i="19"/>
  <c r="B87" i="19"/>
  <c r="B39" i="19"/>
  <c r="B63" i="19"/>
  <c r="B15" i="19"/>
  <c r="B111" i="19"/>
  <c r="D39" i="19"/>
  <c r="B135" i="19"/>
  <c r="B159" i="19"/>
  <c r="B183" i="19"/>
  <c r="K172" i="19"/>
  <c r="B84" i="19"/>
  <c r="G180" i="19"/>
  <c r="I192" i="19"/>
  <c r="D29" i="19"/>
  <c r="B94" i="19"/>
  <c r="D171" i="19"/>
  <c r="D186" i="19" s="1"/>
  <c r="M173" i="19"/>
  <c r="D36" i="19"/>
  <c r="K180" i="19"/>
  <c r="B67" i="19"/>
  <c r="I173" i="19"/>
  <c r="B153" i="19"/>
  <c r="A192" i="19"/>
  <c r="B91" i="19"/>
  <c r="G147" i="19"/>
  <c r="G152" i="19" s="1"/>
  <c r="D99" i="19"/>
  <c r="D110" i="19" s="1"/>
  <c r="O173" i="19"/>
  <c r="G173" i="19"/>
  <c r="K156" i="19"/>
  <c r="B177" i="19"/>
  <c r="B164" i="19"/>
  <c r="E172" i="19"/>
  <c r="B180" i="19"/>
  <c r="D43" i="19"/>
  <c r="B129" i="19"/>
  <c r="B178" i="19"/>
  <c r="B77" i="19"/>
  <c r="G191" i="19"/>
  <c r="B156" i="19"/>
  <c r="B105" i="19"/>
  <c r="B149" i="19"/>
  <c r="D3" i="19"/>
  <c r="D5" i="19" s="1"/>
  <c r="D75" i="19"/>
  <c r="D83" i="19" s="1"/>
  <c r="C172" i="19"/>
  <c r="A173" i="19"/>
  <c r="B132" i="19"/>
  <c r="B57" i="19"/>
  <c r="B58" i="19"/>
  <c r="B116" i="19"/>
  <c r="B173" i="19"/>
  <c r="B108" i="19"/>
  <c r="A180" i="19"/>
  <c r="B163" i="19"/>
  <c r="B21" i="19"/>
  <c r="B33" i="19"/>
  <c r="B34" i="19"/>
  <c r="B92" i="19"/>
  <c r="B125" i="19"/>
  <c r="B189" i="19"/>
  <c r="B60" i="19"/>
  <c r="B81" i="19"/>
  <c r="B10" i="19"/>
  <c r="B20" i="19"/>
  <c r="B101" i="19"/>
  <c r="B36" i="19"/>
  <c r="E180" i="19"/>
  <c r="B187" i="19"/>
  <c r="B9" i="19"/>
  <c r="B82" i="19"/>
  <c r="B68" i="19"/>
  <c r="B5" i="19"/>
  <c r="I147" i="19"/>
  <c r="I164" i="19" s="1"/>
  <c r="I172" i="19"/>
  <c r="B12" i="19"/>
  <c r="O180" i="19"/>
  <c r="B139" i="19"/>
  <c r="B44" i="19"/>
  <c r="B29" i="19"/>
  <c r="O148" i="19"/>
  <c r="C180" i="19"/>
  <c r="B115" i="19"/>
  <c r="D33" i="19"/>
  <c r="B53" i="19"/>
  <c r="C156" i="19" l="1"/>
  <c r="O156" i="19"/>
  <c r="O155" i="19"/>
  <c r="O165" i="19"/>
  <c r="O160" i="19"/>
  <c r="A165" i="19"/>
  <c r="A123" i="19"/>
  <c r="A131" i="19" s="1"/>
  <c r="A156" i="19"/>
  <c r="C160" i="19"/>
  <c r="C148" i="19"/>
  <c r="A148" i="19"/>
  <c r="C158" i="19"/>
  <c r="M156" i="19"/>
  <c r="M149" i="19"/>
  <c r="C155" i="19"/>
  <c r="M163" i="19"/>
  <c r="M155" i="19"/>
  <c r="D132" i="19"/>
  <c r="D159" i="19"/>
  <c r="D154" i="19"/>
  <c r="F29" i="19"/>
  <c r="D156" i="19"/>
  <c r="O152" i="19"/>
  <c r="M160" i="19"/>
  <c r="D153" i="19"/>
  <c r="D149" i="19"/>
  <c r="D56" i="19"/>
  <c r="D138" i="19"/>
  <c r="D66" i="19"/>
  <c r="D60" i="19"/>
  <c r="D53" i="19"/>
  <c r="D69" i="19"/>
  <c r="D58" i="19"/>
  <c r="D125" i="19"/>
  <c r="F51" i="19"/>
  <c r="F60" i="19" s="1"/>
  <c r="F30" i="19"/>
  <c r="D101" i="19"/>
  <c r="D68" i="19"/>
  <c r="D65" i="19"/>
  <c r="D67" i="19"/>
  <c r="D140" i="19"/>
  <c r="D70" i="19"/>
  <c r="D124" i="19"/>
  <c r="D139" i="19"/>
  <c r="D126" i="19"/>
  <c r="C159" i="19"/>
  <c r="C157" i="19"/>
  <c r="A125" i="19"/>
  <c r="A153" i="19"/>
  <c r="F39" i="19"/>
  <c r="F44" i="19"/>
  <c r="I162" i="19"/>
  <c r="F28" i="19"/>
  <c r="A155" i="19"/>
  <c r="A150" i="19"/>
  <c r="A154" i="19"/>
  <c r="G149" i="19"/>
  <c r="D10" i="19"/>
  <c r="D187" i="19"/>
  <c r="D9" i="19"/>
  <c r="G156" i="19"/>
  <c r="A161" i="19"/>
  <c r="D134" i="19"/>
  <c r="A159" i="19"/>
  <c r="A149" i="19"/>
  <c r="A163" i="19"/>
  <c r="F43" i="19"/>
  <c r="F36" i="19"/>
  <c r="F35" i="19"/>
  <c r="M150" i="19"/>
  <c r="A132" i="19"/>
  <c r="F41" i="19"/>
  <c r="A157" i="19"/>
  <c r="A124" i="19"/>
  <c r="D177" i="19"/>
  <c r="D183" i="19"/>
  <c r="A160" i="19"/>
  <c r="D178" i="19"/>
  <c r="F33" i="19"/>
  <c r="D91" i="19"/>
  <c r="C152" i="19"/>
  <c r="C164" i="19"/>
  <c r="M153" i="19"/>
  <c r="D64" i="19"/>
  <c r="D54" i="19"/>
  <c r="K139" i="19"/>
  <c r="K138" i="19"/>
  <c r="K137" i="19"/>
  <c r="G154" i="19"/>
  <c r="D55" i="19"/>
  <c r="K124" i="19"/>
  <c r="D86" i="19"/>
  <c r="G159" i="19"/>
  <c r="K136" i="19"/>
  <c r="G150" i="19"/>
  <c r="D162" i="19"/>
  <c r="D109" i="19"/>
  <c r="E153" i="19"/>
  <c r="D59" i="19"/>
  <c r="D63" i="19"/>
  <c r="K132" i="19"/>
  <c r="D116" i="19"/>
  <c r="A127" i="19"/>
  <c r="A151" i="19"/>
  <c r="A168" i="19"/>
  <c r="A164" i="19"/>
  <c r="A162" i="19"/>
  <c r="D82" i="19"/>
  <c r="D57" i="19"/>
  <c r="D108" i="19"/>
  <c r="D61" i="19"/>
  <c r="A152" i="19"/>
  <c r="A158" i="19"/>
  <c r="F69" i="19"/>
  <c r="B71" i="19"/>
  <c r="D71" i="19"/>
  <c r="B23" i="19"/>
  <c r="D143" i="19"/>
  <c r="B119" i="19"/>
  <c r="D119" i="19"/>
  <c r="D191" i="19"/>
  <c r="D167" i="19"/>
  <c r="B47" i="19"/>
  <c r="B143" i="19"/>
  <c r="B167" i="19"/>
  <c r="B191" i="19"/>
  <c r="D95" i="19"/>
  <c r="D23" i="19"/>
  <c r="F47" i="19"/>
  <c r="B95" i="19"/>
  <c r="D47" i="19"/>
  <c r="D18" i="19"/>
  <c r="G151" i="19"/>
  <c r="E156" i="19"/>
  <c r="D190" i="19"/>
  <c r="D188" i="19"/>
  <c r="F171" i="19"/>
  <c r="D189" i="19"/>
  <c r="D173" i="19"/>
  <c r="D179" i="19"/>
  <c r="D185" i="19"/>
  <c r="D176" i="19"/>
  <c r="D174" i="19"/>
  <c r="D175" i="19"/>
  <c r="D87" i="19"/>
  <c r="D172" i="19"/>
  <c r="G163" i="19"/>
  <c r="E155" i="19"/>
  <c r="E159" i="19"/>
  <c r="M168" i="19"/>
  <c r="M167" i="19"/>
  <c r="M123" i="19"/>
  <c r="M142" i="19" s="1"/>
  <c r="M161" i="19"/>
  <c r="M148" i="19"/>
  <c r="M162" i="19"/>
  <c r="M157" i="19"/>
  <c r="M154" i="19"/>
  <c r="M164" i="19"/>
  <c r="M158" i="19"/>
  <c r="M165" i="19"/>
  <c r="M151" i="19"/>
  <c r="D14" i="19"/>
  <c r="D117" i="19"/>
  <c r="F99" i="19"/>
  <c r="F119" i="19" s="1"/>
  <c r="D118" i="19"/>
  <c r="D112" i="19"/>
  <c r="D106" i="19"/>
  <c r="D102" i="19"/>
  <c r="D113" i="19"/>
  <c r="D103" i="19"/>
  <c r="E151" i="19"/>
  <c r="A128" i="19"/>
  <c r="G123" i="19"/>
  <c r="G142" i="19" s="1"/>
  <c r="G167" i="19"/>
  <c r="G168" i="19"/>
  <c r="G162" i="19"/>
  <c r="G161" i="19"/>
  <c r="G165" i="19"/>
  <c r="G158" i="19"/>
  <c r="G148" i="19"/>
  <c r="G160" i="19"/>
  <c r="D6" i="19"/>
  <c r="O149" i="19"/>
  <c r="O123" i="19"/>
  <c r="O168" i="19"/>
  <c r="O167" i="19"/>
  <c r="O161" i="19"/>
  <c r="O163" i="19"/>
  <c r="O158" i="19"/>
  <c r="O151" i="19"/>
  <c r="O162" i="19"/>
  <c r="O154" i="19"/>
  <c r="O150" i="19"/>
  <c r="O159" i="19"/>
  <c r="O164" i="19"/>
  <c r="D114" i="19"/>
  <c r="D163" i="19"/>
  <c r="F147" i="19"/>
  <c r="F167" i="19" s="1"/>
  <c r="D166" i="19"/>
  <c r="D165" i="19"/>
  <c r="D155" i="19"/>
  <c r="D161" i="19"/>
  <c r="D160" i="19"/>
  <c r="D148" i="19"/>
  <c r="D150" i="19"/>
  <c r="D164" i="19"/>
  <c r="D157" i="19"/>
  <c r="G157" i="19"/>
  <c r="F46" i="19"/>
  <c r="H27" i="19"/>
  <c r="H47" i="19" s="1"/>
  <c r="F34" i="19"/>
  <c r="F45" i="19"/>
  <c r="F40" i="19"/>
  <c r="F31" i="19"/>
  <c r="F37" i="19"/>
  <c r="F32" i="19"/>
  <c r="K143" i="19"/>
  <c r="K99" i="19"/>
  <c r="K144" i="19"/>
  <c r="K125" i="19"/>
  <c r="K134" i="19"/>
  <c r="K140" i="19"/>
  <c r="K141" i="19"/>
  <c r="K127" i="19"/>
  <c r="K130" i="19"/>
  <c r="D181" i="19"/>
  <c r="K135" i="19"/>
  <c r="D8" i="19"/>
  <c r="G153" i="19"/>
  <c r="G164" i="19"/>
  <c r="K129" i="19"/>
  <c r="M159" i="19"/>
  <c r="E168" i="19"/>
  <c r="E148" i="19"/>
  <c r="E167" i="19"/>
  <c r="E161" i="19"/>
  <c r="E165" i="19"/>
  <c r="E123" i="19"/>
  <c r="E142" i="19" s="1"/>
  <c r="E162" i="19"/>
  <c r="E158" i="19"/>
  <c r="E163" i="19"/>
  <c r="E152" i="19"/>
  <c r="E164" i="19"/>
  <c r="E160" i="19"/>
  <c r="E154" i="19"/>
  <c r="D180" i="19"/>
  <c r="D105" i="19"/>
  <c r="A144" i="19"/>
  <c r="A99" i="19"/>
  <c r="A118" i="19" s="1"/>
  <c r="A143" i="19"/>
  <c r="A138" i="19"/>
  <c r="A140" i="19"/>
  <c r="A130" i="19"/>
  <c r="A137" i="19"/>
  <c r="I159" i="19"/>
  <c r="D7" i="19"/>
  <c r="F42" i="19"/>
  <c r="D158" i="19"/>
  <c r="A133" i="19"/>
  <c r="F75" i="19"/>
  <c r="F95" i="19" s="1"/>
  <c r="D93" i="19"/>
  <c r="D94" i="19"/>
  <c r="D92" i="19"/>
  <c r="D81" i="19"/>
  <c r="D84" i="19"/>
  <c r="D77" i="19"/>
  <c r="D88" i="19"/>
  <c r="D76" i="19"/>
  <c r="D85" i="19"/>
  <c r="D78" i="19"/>
  <c r="D79" i="19"/>
  <c r="D115" i="19"/>
  <c r="D89" i="19"/>
  <c r="F123" i="19"/>
  <c r="F143" i="19" s="1"/>
  <c r="D141" i="19"/>
  <c r="D142" i="19"/>
  <c r="D129" i="19"/>
  <c r="D131" i="19"/>
  <c r="D137" i="19"/>
  <c r="D130" i="19"/>
  <c r="D136" i="19"/>
  <c r="D135" i="19"/>
  <c r="D133" i="19"/>
  <c r="D127" i="19"/>
  <c r="D80" i="19"/>
  <c r="I153" i="19"/>
  <c r="E149" i="19"/>
  <c r="F3" i="19"/>
  <c r="D22" i="19"/>
  <c r="D21" i="19"/>
  <c r="D12" i="19"/>
  <c r="D11" i="19"/>
  <c r="D17" i="19"/>
  <c r="D16" i="19"/>
  <c r="D4" i="19"/>
  <c r="D13" i="19"/>
  <c r="D100" i="19"/>
  <c r="A136" i="19"/>
  <c r="G155" i="19"/>
  <c r="D182" i="19"/>
  <c r="I152" i="19"/>
  <c r="A126" i="19"/>
  <c r="K128" i="19"/>
  <c r="D111" i="19"/>
  <c r="D15" i="19"/>
  <c r="D107" i="19"/>
  <c r="D184" i="19"/>
  <c r="K131" i="19"/>
  <c r="I155" i="19"/>
  <c r="E150" i="19"/>
  <c r="A129" i="19"/>
  <c r="A135" i="19"/>
  <c r="D104" i="19"/>
  <c r="I167" i="19"/>
  <c r="I168" i="19"/>
  <c r="I123" i="19"/>
  <c r="I149" i="19"/>
  <c r="I161" i="19"/>
  <c r="I163" i="19"/>
  <c r="I165" i="19"/>
  <c r="I151" i="19"/>
  <c r="I158" i="19"/>
  <c r="I160" i="19"/>
  <c r="I150" i="19"/>
  <c r="I154" i="19"/>
  <c r="I156" i="19"/>
  <c r="D20" i="19"/>
  <c r="O157" i="19"/>
  <c r="C167" i="19"/>
  <c r="C168" i="19"/>
  <c r="C123" i="19"/>
  <c r="C142" i="19" s="1"/>
  <c r="C149" i="19"/>
  <c r="C163" i="19"/>
  <c r="C161" i="19"/>
  <c r="C162" i="19"/>
  <c r="C165" i="19"/>
  <c r="C151" i="19"/>
  <c r="C154" i="19"/>
  <c r="D152" i="19"/>
  <c r="D19" i="19"/>
  <c r="I148" i="19"/>
  <c r="G166" i="19"/>
  <c r="K190" i="19"/>
  <c r="G190" i="19"/>
  <c r="I190" i="19"/>
  <c r="A166" i="19"/>
  <c r="C190" i="19"/>
  <c r="O190" i="19"/>
  <c r="K142" i="19"/>
  <c r="E166" i="19"/>
  <c r="T23" i="19"/>
  <c r="E190" i="19"/>
  <c r="A190" i="19"/>
  <c r="M166" i="19"/>
  <c r="K166" i="19"/>
  <c r="O166" i="19"/>
  <c r="M190" i="19"/>
  <c r="A142" i="19"/>
  <c r="C166" i="19"/>
  <c r="I166" i="19"/>
  <c r="I157" i="19"/>
  <c r="D90" i="19"/>
  <c r="K126" i="19"/>
  <c r="A141" i="19" l="1"/>
  <c r="A134" i="19"/>
  <c r="A139" i="19"/>
  <c r="F65" i="19"/>
  <c r="F64" i="19"/>
  <c r="F59" i="19"/>
  <c r="F58" i="19"/>
  <c r="F68" i="19"/>
  <c r="H51" i="19"/>
  <c r="H71" i="19" s="1"/>
  <c r="F70" i="19"/>
  <c r="F53" i="19"/>
  <c r="F57" i="19"/>
  <c r="F66" i="19"/>
  <c r="F54" i="19"/>
  <c r="F56" i="19"/>
  <c r="F62" i="19"/>
  <c r="F67" i="19"/>
  <c r="F52" i="19"/>
  <c r="F71" i="19"/>
  <c r="F63" i="19"/>
  <c r="F55" i="19"/>
  <c r="F61" i="19"/>
  <c r="E99" i="19"/>
  <c r="E125" i="19"/>
  <c r="E143" i="19"/>
  <c r="E144" i="19"/>
  <c r="E132" i="19"/>
  <c r="E124" i="19"/>
  <c r="E138" i="19"/>
  <c r="E140" i="19"/>
  <c r="E126" i="19"/>
  <c r="E133" i="19"/>
  <c r="E130" i="19"/>
  <c r="E136" i="19"/>
  <c r="E127" i="19"/>
  <c r="E129" i="19"/>
  <c r="E139" i="19"/>
  <c r="E135" i="19"/>
  <c r="E128" i="19"/>
  <c r="E131" i="19"/>
  <c r="E141" i="19"/>
  <c r="E137" i="19"/>
  <c r="E134" i="19"/>
  <c r="G143" i="19"/>
  <c r="G144" i="19"/>
  <c r="G99" i="19"/>
  <c r="G132" i="19"/>
  <c r="G124" i="19"/>
  <c r="G138" i="19"/>
  <c r="G137" i="19"/>
  <c r="G139" i="19"/>
  <c r="G127" i="19"/>
  <c r="G140" i="19"/>
  <c r="G130" i="19"/>
  <c r="G131" i="19"/>
  <c r="G126" i="19"/>
  <c r="G136" i="19"/>
  <c r="G129" i="19"/>
  <c r="G134" i="19"/>
  <c r="G125" i="19"/>
  <c r="G135" i="19"/>
  <c r="G141" i="19"/>
  <c r="G133" i="19"/>
  <c r="G128" i="19"/>
  <c r="K120" i="19"/>
  <c r="K119" i="19"/>
  <c r="K108" i="19"/>
  <c r="K75" i="19"/>
  <c r="K113" i="19"/>
  <c r="K117" i="19"/>
  <c r="K114" i="19"/>
  <c r="K110" i="19"/>
  <c r="K115" i="19"/>
  <c r="K103" i="19"/>
  <c r="K106" i="19"/>
  <c r="K111" i="19"/>
  <c r="K109" i="19"/>
  <c r="K105" i="19"/>
  <c r="K116" i="19"/>
  <c r="K107" i="19"/>
  <c r="K101" i="19"/>
  <c r="K102" i="19"/>
  <c r="K100" i="19"/>
  <c r="K104" i="19"/>
  <c r="K112" i="19"/>
  <c r="A75" i="19"/>
  <c r="A120" i="19"/>
  <c r="A119" i="19"/>
  <c r="A101" i="19"/>
  <c r="A100" i="19"/>
  <c r="A114" i="19"/>
  <c r="A117" i="19"/>
  <c r="A103" i="19"/>
  <c r="A110" i="19"/>
  <c r="A106" i="19"/>
  <c r="A104" i="19"/>
  <c r="A102" i="19"/>
  <c r="A113" i="19"/>
  <c r="A109" i="19"/>
  <c r="A107" i="19"/>
  <c r="A112" i="19"/>
  <c r="A111" i="19"/>
  <c r="A105" i="19"/>
  <c r="A108" i="19"/>
  <c r="A116" i="19"/>
  <c r="A115" i="19"/>
  <c r="F189" i="19"/>
  <c r="H171" i="19"/>
  <c r="H192" i="19" s="1"/>
  <c r="F190" i="19"/>
  <c r="F179" i="19"/>
  <c r="F187" i="19"/>
  <c r="F175" i="19"/>
  <c r="F180" i="19"/>
  <c r="F186" i="19"/>
  <c r="F184" i="19"/>
  <c r="F177" i="19"/>
  <c r="F173" i="19"/>
  <c r="F185" i="19"/>
  <c r="F176" i="19"/>
  <c r="F174" i="19"/>
  <c r="F172" i="19"/>
  <c r="F188" i="19"/>
  <c r="F182" i="19"/>
  <c r="F181" i="19"/>
  <c r="F183" i="19"/>
  <c r="F178" i="19"/>
  <c r="O99" i="19"/>
  <c r="O144" i="19"/>
  <c r="O143" i="19"/>
  <c r="O141" i="19"/>
  <c r="O136" i="19"/>
  <c r="O133" i="19"/>
  <c r="O138" i="19"/>
  <c r="O129" i="19"/>
  <c r="O125" i="19"/>
  <c r="O135" i="19"/>
  <c r="O130" i="19"/>
  <c r="O128" i="19"/>
  <c r="O131" i="19"/>
  <c r="O139" i="19"/>
  <c r="O124" i="19"/>
  <c r="O140" i="19"/>
  <c r="O137" i="19"/>
  <c r="O127" i="19"/>
  <c r="O132" i="19"/>
  <c r="O126" i="19"/>
  <c r="O134" i="19"/>
  <c r="M143" i="19"/>
  <c r="M144" i="19"/>
  <c r="M136" i="19"/>
  <c r="M137" i="19"/>
  <c r="M139" i="19"/>
  <c r="M99" i="19"/>
  <c r="M128" i="19"/>
  <c r="M141" i="19"/>
  <c r="M130" i="19"/>
  <c r="M138" i="19"/>
  <c r="M132" i="19"/>
  <c r="M129" i="19"/>
  <c r="M125" i="19"/>
  <c r="M131" i="19"/>
  <c r="M135" i="19"/>
  <c r="M133" i="19"/>
  <c r="M124" i="19"/>
  <c r="M140" i="19"/>
  <c r="M127" i="19"/>
  <c r="M126" i="19"/>
  <c r="M134" i="19"/>
  <c r="H147" i="19"/>
  <c r="H168" i="19" s="1"/>
  <c r="F166" i="19"/>
  <c r="F165" i="19"/>
  <c r="F161" i="19"/>
  <c r="F150" i="19"/>
  <c r="F157" i="19"/>
  <c r="F152" i="19"/>
  <c r="F160" i="19"/>
  <c r="F155" i="19"/>
  <c r="F154" i="19"/>
  <c r="F149" i="19"/>
  <c r="F153" i="19"/>
  <c r="F163" i="19"/>
  <c r="F159" i="19"/>
  <c r="F148" i="19"/>
  <c r="F162" i="19"/>
  <c r="F158" i="19"/>
  <c r="F151" i="19"/>
  <c r="F164" i="19"/>
  <c r="F156" i="19"/>
  <c r="F191" i="19"/>
  <c r="F21" i="19"/>
  <c r="F20" i="19"/>
  <c r="F9" i="19"/>
  <c r="H3" i="19"/>
  <c r="H24" i="19" s="1"/>
  <c r="F22" i="19"/>
  <c r="F11" i="19"/>
  <c r="F6" i="19"/>
  <c r="F7" i="19"/>
  <c r="F13" i="19"/>
  <c r="F12" i="19"/>
  <c r="F15" i="19"/>
  <c r="F8" i="19"/>
  <c r="F19" i="19"/>
  <c r="F17" i="19"/>
  <c r="F18" i="19"/>
  <c r="F10" i="19"/>
  <c r="F4" i="19"/>
  <c r="F16" i="19"/>
  <c r="F5" i="19"/>
  <c r="F14" i="19"/>
  <c r="H75" i="19"/>
  <c r="F94" i="19"/>
  <c r="F93" i="19"/>
  <c r="F92" i="19"/>
  <c r="F83" i="19"/>
  <c r="F85" i="19"/>
  <c r="F88" i="19"/>
  <c r="F91" i="19"/>
  <c r="F82" i="19"/>
  <c r="F77" i="19"/>
  <c r="F90" i="19"/>
  <c r="F89" i="19"/>
  <c r="F80" i="19"/>
  <c r="F78" i="19"/>
  <c r="F84" i="19"/>
  <c r="F79" i="19"/>
  <c r="F81" i="19"/>
  <c r="F76" i="19"/>
  <c r="F86" i="19"/>
  <c r="F87" i="19"/>
  <c r="F118" i="19"/>
  <c r="F117" i="19"/>
  <c r="F107" i="19"/>
  <c r="F111" i="19"/>
  <c r="F113" i="19"/>
  <c r="F115" i="19"/>
  <c r="F103" i="19"/>
  <c r="H99" i="19"/>
  <c r="H120" i="19" s="1"/>
  <c r="F112" i="19"/>
  <c r="F109" i="19"/>
  <c r="F104" i="19"/>
  <c r="F105" i="19"/>
  <c r="F102" i="19"/>
  <c r="F116" i="19"/>
  <c r="F110" i="19"/>
  <c r="F101" i="19"/>
  <c r="F106" i="19"/>
  <c r="F114" i="19"/>
  <c r="F100" i="19"/>
  <c r="F108" i="19"/>
  <c r="J51" i="19"/>
  <c r="J72" i="19" s="1"/>
  <c r="H70" i="19"/>
  <c r="H69" i="19"/>
  <c r="H53" i="19"/>
  <c r="H59" i="19"/>
  <c r="H64" i="19"/>
  <c r="H55" i="19"/>
  <c r="H61" i="19"/>
  <c r="H67" i="19"/>
  <c r="H62" i="19"/>
  <c r="H54" i="19"/>
  <c r="H56" i="19"/>
  <c r="H58" i="19"/>
  <c r="H66" i="19"/>
  <c r="F23" i="19"/>
  <c r="I144" i="19"/>
  <c r="I99" i="19"/>
  <c r="I143" i="19"/>
  <c r="I136" i="19"/>
  <c r="I137" i="19"/>
  <c r="I130" i="19"/>
  <c r="I139" i="19"/>
  <c r="I138" i="19"/>
  <c r="I132" i="19"/>
  <c r="I141" i="19"/>
  <c r="I129" i="19"/>
  <c r="I133" i="19"/>
  <c r="I127" i="19"/>
  <c r="I135" i="19"/>
  <c r="I134" i="19"/>
  <c r="I126" i="19"/>
  <c r="I128" i="19"/>
  <c r="I125" i="19"/>
  <c r="I140" i="19"/>
  <c r="I131" i="19"/>
  <c r="I124" i="19"/>
  <c r="I142" i="19"/>
  <c r="D96" i="19"/>
  <c r="F168" i="19"/>
  <c r="B24" i="19"/>
  <c r="F192" i="19"/>
  <c r="F72" i="19"/>
  <c r="F48" i="19"/>
  <c r="B48" i="19"/>
  <c r="B144" i="19"/>
  <c r="B72" i="19"/>
  <c r="B96" i="19"/>
  <c r="F144" i="19"/>
  <c r="D192" i="19"/>
  <c r="F24" i="19"/>
  <c r="B120" i="19"/>
  <c r="F96" i="19"/>
  <c r="D72" i="19"/>
  <c r="D168" i="19"/>
  <c r="D144" i="19"/>
  <c r="F120" i="19"/>
  <c r="B168" i="19"/>
  <c r="D24" i="19"/>
  <c r="H72" i="19"/>
  <c r="D120" i="19"/>
  <c r="H48" i="19"/>
  <c r="B192" i="19"/>
  <c r="D48" i="19"/>
  <c r="F141" i="19"/>
  <c r="F142" i="19"/>
  <c r="F130" i="19"/>
  <c r="H123" i="19"/>
  <c r="H144" i="19" s="1"/>
  <c r="F124" i="19"/>
  <c r="F137" i="19"/>
  <c r="F131" i="19"/>
  <c r="F134" i="19"/>
  <c r="F133" i="19"/>
  <c r="F138" i="19"/>
  <c r="F132" i="19"/>
  <c r="F125" i="19"/>
  <c r="F136" i="19"/>
  <c r="F140" i="19"/>
  <c r="F139" i="19"/>
  <c r="F128" i="19"/>
  <c r="F126" i="19"/>
  <c r="F127" i="19"/>
  <c r="F135" i="19"/>
  <c r="F129" i="19"/>
  <c r="H46" i="19"/>
  <c r="H45" i="19"/>
  <c r="J27" i="19"/>
  <c r="J48" i="19" s="1"/>
  <c r="H41" i="19"/>
  <c r="H40" i="19"/>
  <c r="H35" i="19"/>
  <c r="H44" i="19"/>
  <c r="H28" i="19"/>
  <c r="H30" i="19"/>
  <c r="H37" i="19"/>
  <c r="H42" i="19"/>
  <c r="H43" i="19"/>
  <c r="H31" i="19"/>
  <c r="H29" i="19"/>
  <c r="H38" i="19"/>
  <c r="H32" i="19"/>
  <c r="H34" i="19"/>
  <c r="H33" i="19"/>
  <c r="H39" i="19"/>
  <c r="H36" i="19"/>
  <c r="C99" i="19"/>
  <c r="C143" i="19"/>
  <c r="C144" i="19"/>
  <c r="C136" i="19"/>
  <c r="C138" i="19"/>
  <c r="C139" i="19"/>
  <c r="C130" i="19"/>
  <c r="C140" i="19"/>
  <c r="C137" i="19"/>
  <c r="C135" i="19"/>
  <c r="C132" i="19"/>
  <c r="C124" i="19"/>
  <c r="C126" i="19"/>
  <c r="C131" i="19"/>
  <c r="C129" i="19"/>
  <c r="C128" i="19"/>
  <c r="C127" i="19"/>
  <c r="C125" i="19"/>
  <c r="C133" i="19"/>
  <c r="C134" i="19"/>
  <c r="C141" i="19"/>
  <c r="K118" i="19"/>
  <c r="O142" i="19"/>
  <c r="H63" i="19" l="1"/>
  <c r="H57" i="19"/>
  <c r="H68" i="19"/>
  <c r="H65" i="19"/>
  <c r="H52" i="19"/>
  <c r="H60" i="19"/>
  <c r="K77" i="19"/>
  <c r="K51" i="19"/>
  <c r="K95" i="19"/>
  <c r="K84" i="19"/>
  <c r="K96" i="19"/>
  <c r="K90" i="19"/>
  <c r="K89" i="19"/>
  <c r="K80" i="19"/>
  <c r="K87" i="19"/>
  <c r="K92" i="19"/>
  <c r="K88" i="19"/>
  <c r="K82" i="19"/>
  <c r="K76" i="19"/>
  <c r="K85" i="19"/>
  <c r="K93" i="19"/>
  <c r="K78" i="19"/>
  <c r="K81" i="19"/>
  <c r="K79" i="19"/>
  <c r="K91" i="19"/>
  <c r="K83" i="19"/>
  <c r="K86" i="19"/>
  <c r="K94" i="19"/>
  <c r="H94" i="19"/>
  <c r="H92" i="19"/>
  <c r="H82" i="19"/>
  <c r="H93" i="19"/>
  <c r="J75" i="19"/>
  <c r="H84" i="19"/>
  <c r="H83" i="19"/>
  <c r="H89" i="19"/>
  <c r="H88" i="19"/>
  <c r="H78" i="19"/>
  <c r="H76" i="19"/>
  <c r="H86" i="19"/>
  <c r="H85" i="19"/>
  <c r="H80" i="19"/>
  <c r="H90" i="19"/>
  <c r="H81" i="19"/>
  <c r="H79" i="19"/>
  <c r="H87" i="19"/>
  <c r="H91" i="19"/>
  <c r="H77" i="19"/>
  <c r="H95" i="19"/>
  <c r="J3" i="19"/>
  <c r="H22" i="19"/>
  <c r="H19" i="19"/>
  <c r="H21" i="19"/>
  <c r="H5" i="19"/>
  <c r="H10" i="19"/>
  <c r="H17" i="19"/>
  <c r="H15" i="19"/>
  <c r="H20" i="19"/>
  <c r="H8" i="19"/>
  <c r="H16" i="19"/>
  <c r="H7" i="19"/>
  <c r="H9" i="19"/>
  <c r="H18" i="19"/>
  <c r="H11" i="19"/>
  <c r="H12" i="19"/>
  <c r="H6" i="19"/>
  <c r="H4" i="19"/>
  <c r="H13" i="19"/>
  <c r="H14" i="19"/>
  <c r="H23" i="19"/>
  <c r="I75" i="19"/>
  <c r="I119" i="19"/>
  <c r="I120" i="19"/>
  <c r="I113" i="19"/>
  <c r="I114" i="19"/>
  <c r="I110" i="19"/>
  <c r="I117" i="19"/>
  <c r="I106" i="19"/>
  <c r="I105" i="19"/>
  <c r="I111" i="19"/>
  <c r="I100" i="19"/>
  <c r="I108" i="19"/>
  <c r="I116" i="19"/>
  <c r="I107" i="19"/>
  <c r="I102" i="19"/>
  <c r="I109" i="19"/>
  <c r="I115" i="19"/>
  <c r="I112" i="19"/>
  <c r="I104" i="19"/>
  <c r="I103" i="19"/>
  <c r="I101" i="19"/>
  <c r="I118" i="19"/>
  <c r="O120" i="19"/>
  <c r="O119" i="19"/>
  <c r="O115" i="19"/>
  <c r="O75" i="19"/>
  <c r="O113" i="19"/>
  <c r="O117" i="19"/>
  <c r="O116" i="19"/>
  <c r="O110" i="19"/>
  <c r="O103" i="19"/>
  <c r="O106" i="19"/>
  <c r="O107" i="19"/>
  <c r="O112" i="19"/>
  <c r="O105" i="19"/>
  <c r="O114" i="19"/>
  <c r="O111" i="19"/>
  <c r="O100" i="19"/>
  <c r="O104" i="19"/>
  <c r="O101" i="19"/>
  <c r="O109" i="19"/>
  <c r="O102" i="19"/>
  <c r="O108" i="19"/>
  <c r="O118" i="19"/>
  <c r="G75" i="19"/>
  <c r="G119" i="19"/>
  <c r="G120" i="19"/>
  <c r="G101" i="19"/>
  <c r="G114" i="19"/>
  <c r="G117" i="19"/>
  <c r="G113" i="19"/>
  <c r="G115" i="19"/>
  <c r="G104" i="19"/>
  <c r="G106" i="19"/>
  <c r="G102" i="19"/>
  <c r="G116" i="19"/>
  <c r="G100" i="19"/>
  <c r="G105" i="19"/>
  <c r="G109" i="19"/>
  <c r="G110" i="19"/>
  <c r="G108" i="19"/>
  <c r="G111" i="19"/>
  <c r="G103" i="19"/>
  <c r="G107" i="19"/>
  <c r="G112" i="19"/>
  <c r="G118" i="19"/>
  <c r="H116" i="19"/>
  <c r="J99" i="19"/>
  <c r="H118" i="19"/>
  <c r="H105" i="19"/>
  <c r="H113" i="19"/>
  <c r="H112" i="19"/>
  <c r="H106" i="19"/>
  <c r="H107" i="19"/>
  <c r="H117" i="19"/>
  <c r="H109" i="19"/>
  <c r="H103" i="19"/>
  <c r="H104" i="19"/>
  <c r="H115" i="19"/>
  <c r="H101" i="19"/>
  <c r="H108" i="19"/>
  <c r="H102" i="19"/>
  <c r="H100" i="19"/>
  <c r="H110" i="19"/>
  <c r="H114" i="19"/>
  <c r="H111" i="19"/>
  <c r="H119" i="19"/>
  <c r="H190" i="19"/>
  <c r="J171" i="19"/>
  <c r="H189" i="19"/>
  <c r="H177" i="19"/>
  <c r="H179" i="19"/>
  <c r="H174" i="19"/>
  <c r="H183" i="19"/>
  <c r="H185" i="19"/>
  <c r="H184" i="19"/>
  <c r="H172" i="19"/>
  <c r="H181" i="19"/>
  <c r="H176" i="19"/>
  <c r="H188" i="19"/>
  <c r="H180" i="19"/>
  <c r="H182" i="19"/>
  <c r="H186" i="19"/>
  <c r="H187" i="19"/>
  <c r="H175" i="19"/>
  <c r="H173" i="19"/>
  <c r="H178" i="19"/>
  <c r="H191" i="19"/>
  <c r="A51" i="19"/>
  <c r="A95" i="19"/>
  <c r="A96" i="19"/>
  <c r="A89" i="19"/>
  <c r="A90" i="19"/>
  <c r="A88" i="19"/>
  <c r="A93" i="19"/>
  <c r="A92" i="19"/>
  <c r="A79" i="19"/>
  <c r="A80" i="19"/>
  <c r="A81" i="19"/>
  <c r="A84" i="19"/>
  <c r="A85" i="19"/>
  <c r="A78" i="19"/>
  <c r="A86" i="19"/>
  <c r="A87" i="19"/>
  <c r="A82" i="19"/>
  <c r="A76" i="19"/>
  <c r="A91" i="19"/>
  <c r="A77" i="19"/>
  <c r="A83" i="19"/>
  <c r="A94" i="19"/>
  <c r="J45" i="19"/>
  <c r="J44" i="19"/>
  <c r="J46" i="19"/>
  <c r="J34" i="19"/>
  <c r="L27" i="19"/>
  <c r="J35" i="19"/>
  <c r="J43" i="19"/>
  <c r="J30" i="19"/>
  <c r="J37" i="19"/>
  <c r="J31" i="19"/>
  <c r="J38" i="19"/>
  <c r="J32" i="19"/>
  <c r="J39" i="19"/>
  <c r="J33" i="19"/>
  <c r="J36" i="19"/>
  <c r="J40" i="19"/>
  <c r="J41" i="19"/>
  <c r="J29" i="19"/>
  <c r="J28" i="19"/>
  <c r="J42" i="19"/>
  <c r="J47" i="19"/>
  <c r="J70" i="19"/>
  <c r="L51" i="19"/>
  <c r="J69" i="19"/>
  <c r="J59" i="19"/>
  <c r="J64" i="19"/>
  <c r="J61" i="19"/>
  <c r="J67" i="19"/>
  <c r="J53" i="19"/>
  <c r="J65" i="19"/>
  <c r="J62" i="19"/>
  <c r="J54" i="19"/>
  <c r="J52" i="19"/>
  <c r="J55" i="19"/>
  <c r="J68" i="19"/>
  <c r="J63" i="19"/>
  <c r="J58" i="19"/>
  <c r="J57" i="19"/>
  <c r="J56" i="19"/>
  <c r="J66" i="19"/>
  <c r="J60" i="19"/>
  <c r="J71" i="19"/>
  <c r="H166" i="19"/>
  <c r="H165" i="19"/>
  <c r="J147" i="19"/>
  <c r="H156" i="19"/>
  <c r="H161" i="19"/>
  <c r="H160" i="19"/>
  <c r="H150" i="19"/>
  <c r="H159" i="19"/>
  <c r="H164" i="19"/>
  <c r="H158" i="19"/>
  <c r="H151" i="19"/>
  <c r="H148" i="19"/>
  <c r="H154" i="19"/>
  <c r="H152" i="19"/>
  <c r="H155" i="19"/>
  <c r="H157" i="19"/>
  <c r="H162" i="19"/>
  <c r="H153" i="19"/>
  <c r="H149" i="19"/>
  <c r="H163" i="19"/>
  <c r="H167" i="19"/>
  <c r="M75" i="19"/>
  <c r="M120" i="19"/>
  <c r="M100" i="19"/>
  <c r="M115" i="19"/>
  <c r="M103" i="19"/>
  <c r="M119" i="19"/>
  <c r="M110" i="19"/>
  <c r="M102" i="19"/>
  <c r="M111" i="19"/>
  <c r="M105" i="19"/>
  <c r="M109" i="19"/>
  <c r="M117" i="19"/>
  <c r="M107" i="19"/>
  <c r="M106" i="19"/>
  <c r="M104" i="19"/>
  <c r="M101" i="19"/>
  <c r="M108" i="19"/>
  <c r="M116" i="19"/>
  <c r="M113" i="19"/>
  <c r="M112" i="19"/>
  <c r="M114" i="19"/>
  <c r="M118" i="19"/>
  <c r="C120" i="19"/>
  <c r="C75" i="19"/>
  <c r="C119" i="19"/>
  <c r="C100" i="19"/>
  <c r="C115" i="19"/>
  <c r="C110" i="19"/>
  <c r="C117" i="19"/>
  <c r="C106" i="19"/>
  <c r="C103" i="19"/>
  <c r="C116" i="19"/>
  <c r="C101" i="19"/>
  <c r="C107" i="19"/>
  <c r="C111" i="19"/>
  <c r="C105" i="19"/>
  <c r="C104" i="19"/>
  <c r="C112" i="19"/>
  <c r="C108" i="19"/>
  <c r="C114" i="19"/>
  <c r="C113" i="19"/>
  <c r="C109" i="19"/>
  <c r="C102" i="19"/>
  <c r="C118" i="19"/>
  <c r="H130" i="19"/>
  <c r="J123" i="19"/>
  <c r="H142" i="19"/>
  <c r="H141" i="19"/>
  <c r="H136" i="19"/>
  <c r="H137" i="19"/>
  <c r="H126" i="19"/>
  <c r="H133" i="19"/>
  <c r="H127" i="19"/>
  <c r="H125" i="19"/>
  <c r="H128" i="19"/>
  <c r="H131" i="19"/>
  <c r="H132" i="19"/>
  <c r="H135" i="19"/>
  <c r="H124" i="19"/>
  <c r="H129" i="19"/>
  <c r="H138" i="19"/>
  <c r="H140" i="19"/>
  <c r="H139" i="19"/>
  <c r="H134" i="19"/>
  <c r="H143" i="19"/>
  <c r="H96" i="19"/>
  <c r="E119" i="19"/>
  <c r="E75" i="19"/>
  <c r="E120" i="19"/>
  <c r="E101" i="19"/>
  <c r="E113" i="19"/>
  <c r="E110" i="19"/>
  <c r="E115" i="19"/>
  <c r="E117" i="19"/>
  <c r="E116" i="19"/>
  <c r="E107" i="19"/>
  <c r="E105" i="19"/>
  <c r="E112" i="19"/>
  <c r="E109" i="19"/>
  <c r="E102" i="19"/>
  <c r="E114" i="19"/>
  <c r="E108" i="19"/>
  <c r="E104" i="19"/>
  <c r="E106" i="19"/>
  <c r="E111" i="19"/>
  <c r="E103" i="19"/>
  <c r="E100" i="19"/>
  <c r="E118" i="19"/>
  <c r="A72" i="19" l="1"/>
  <c r="A27" i="19"/>
  <c r="A71" i="19"/>
  <c r="A69" i="19"/>
  <c r="A62" i="19"/>
  <c r="A55" i="19"/>
  <c r="A58" i="19"/>
  <c r="A57" i="19"/>
  <c r="A54" i="19"/>
  <c r="A59" i="19"/>
  <c r="A56" i="19"/>
  <c r="A53" i="19"/>
  <c r="A64" i="19"/>
  <c r="A68" i="19"/>
  <c r="A61" i="19"/>
  <c r="A52" i="19"/>
  <c r="A63" i="19"/>
  <c r="A65" i="19"/>
  <c r="A67" i="19"/>
  <c r="A60" i="19"/>
  <c r="A66" i="19"/>
  <c r="A70" i="19"/>
  <c r="G51" i="19"/>
  <c r="G95" i="19"/>
  <c r="G96" i="19"/>
  <c r="G76" i="19"/>
  <c r="G82" i="19"/>
  <c r="G90" i="19"/>
  <c r="G84" i="19"/>
  <c r="G81" i="19"/>
  <c r="G78" i="19"/>
  <c r="G85" i="19"/>
  <c r="G88" i="19"/>
  <c r="G87" i="19"/>
  <c r="G80" i="19"/>
  <c r="G91" i="19"/>
  <c r="G89" i="19"/>
  <c r="G83" i="19"/>
  <c r="G79" i="19"/>
  <c r="G86" i="19"/>
  <c r="G77" i="19"/>
  <c r="G92" i="19"/>
  <c r="G93" i="19"/>
  <c r="G94" i="19"/>
  <c r="J21" i="19"/>
  <c r="J22" i="19"/>
  <c r="J9" i="19"/>
  <c r="L3" i="19"/>
  <c r="J11" i="19"/>
  <c r="J17" i="19"/>
  <c r="J7" i="19"/>
  <c r="J8" i="19"/>
  <c r="J4" i="19"/>
  <c r="J10" i="19"/>
  <c r="J16" i="19"/>
  <c r="J19" i="19"/>
  <c r="J6" i="19"/>
  <c r="J18" i="19"/>
  <c r="J15" i="19"/>
  <c r="J14" i="19"/>
  <c r="J13" i="19"/>
  <c r="J12" i="19"/>
  <c r="J5" i="19"/>
  <c r="J20" i="19"/>
  <c r="J23" i="19"/>
  <c r="J24" i="19"/>
  <c r="L75" i="19"/>
  <c r="J93" i="19"/>
  <c r="J82" i="19"/>
  <c r="J94" i="19"/>
  <c r="J85" i="19"/>
  <c r="J83" i="19"/>
  <c r="J90" i="19"/>
  <c r="J84" i="19"/>
  <c r="J92" i="19"/>
  <c r="J79" i="19"/>
  <c r="J88" i="19"/>
  <c r="J77" i="19"/>
  <c r="J76" i="19"/>
  <c r="J78" i="19"/>
  <c r="J89" i="19"/>
  <c r="J81" i="19"/>
  <c r="J91" i="19"/>
  <c r="J87" i="19"/>
  <c r="J80" i="19"/>
  <c r="J86" i="19"/>
  <c r="J95" i="19"/>
  <c r="J96" i="19"/>
  <c r="O51" i="19"/>
  <c r="O95" i="19"/>
  <c r="O96" i="19"/>
  <c r="O88" i="19"/>
  <c r="O91" i="19"/>
  <c r="O93" i="19"/>
  <c r="O90" i="19"/>
  <c r="O82" i="19"/>
  <c r="O80" i="19"/>
  <c r="O81" i="19"/>
  <c r="O85" i="19"/>
  <c r="O87" i="19"/>
  <c r="O83" i="19"/>
  <c r="O77" i="19"/>
  <c r="O86" i="19"/>
  <c r="O76" i="19"/>
  <c r="O79" i="19"/>
  <c r="O89" i="19"/>
  <c r="O92" i="19"/>
  <c r="O78" i="19"/>
  <c r="O84" i="19"/>
  <c r="O94" i="19"/>
  <c r="L68" i="19"/>
  <c r="L69" i="19"/>
  <c r="N51" i="19"/>
  <c r="L53" i="19"/>
  <c r="L70" i="19"/>
  <c r="L65" i="19"/>
  <c r="L64" i="19"/>
  <c r="L52" i="19"/>
  <c r="L55" i="19"/>
  <c r="L54" i="19"/>
  <c r="L62" i="19"/>
  <c r="L66" i="19"/>
  <c r="L58" i="19"/>
  <c r="L59" i="19"/>
  <c r="L57" i="19"/>
  <c r="L67" i="19"/>
  <c r="L60" i="19"/>
  <c r="L61" i="19"/>
  <c r="L63" i="19"/>
  <c r="L56" i="19"/>
  <c r="L71" i="19"/>
  <c r="L72" i="19"/>
  <c r="L171" i="19"/>
  <c r="J190" i="19"/>
  <c r="J189" i="19"/>
  <c r="J179" i="19"/>
  <c r="J187" i="19"/>
  <c r="J185" i="19"/>
  <c r="J175" i="19"/>
  <c r="J174" i="19"/>
  <c r="J184" i="19"/>
  <c r="J181" i="19"/>
  <c r="J177" i="19"/>
  <c r="J183" i="19"/>
  <c r="J188" i="19"/>
  <c r="J176" i="19"/>
  <c r="J180" i="19"/>
  <c r="J173" i="19"/>
  <c r="J178" i="19"/>
  <c r="J182" i="19"/>
  <c r="J172" i="19"/>
  <c r="J186" i="19"/>
  <c r="J191" i="19"/>
  <c r="J192" i="19"/>
  <c r="J142" i="19"/>
  <c r="L123" i="19"/>
  <c r="J141" i="19"/>
  <c r="J131" i="19"/>
  <c r="J136" i="19"/>
  <c r="J128" i="19"/>
  <c r="J133" i="19"/>
  <c r="J127" i="19"/>
  <c r="J132" i="19"/>
  <c r="J125" i="19"/>
  <c r="J140" i="19"/>
  <c r="J130" i="19"/>
  <c r="J139" i="19"/>
  <c r="J126" i="19"/>
  <c r="J137" i="19"/>
  <c r="J135" i="19"/>
  <c r="J134" i="19"/>
  <c r="J138" i="19"/>
  <c r="J129" i="19"/>
  <c r="J124" i="19"/>
  <c r="J143" i="19"/>
  <c r="J144" i="19"/>
  <c r="L45" i="19"/>
  <c r="L34" i="19"/>
  <c r="N27" i="19"/>
  <c r="L43" i="19"/>
  <c r="L33" i="19"/>
  <c r="L46" i="19"/>
  <c r="L40" i="19"/>
  <c r="L41" i="19"/>
  <c r="L44" i="19"/>
  <c r="L37" i="19"/>
  <c r="L31" i="19"/>
  <c r="L30" i="19"/>
  <c r="L38" i="19"/>
  <c r="L35" i="19"/>
  <c r="L29" i="19"/>
  <c r="L39" i="19"/>
  <c r="L36" i="19"/>
  <c r="L32" i="19"/>
  <c r="L28" i="19"/>
  <c r="L42" i="19"/>
  <c r="L47" i="19"/>
  <c r="L48" i="19"/>
  <c r="E95" i="19"/>
  <c r="E96" i="19"/>
  <c r="E51" i="19"/>
  <c r="E76" i="19"/>
  <c r="E86" i="19"/>
  <c r="E88" i="19"/>
  <c r="E92" i="19"/>
  <c r="E78" i="19"/>
  <c r="E84" i="19"/>
  <c r="E90" i="19"/>
  <c r="E81" i="19"/>
  <c r="E77" i="19"/>
  <c r="E82" i="19"/>
  <c r="E85" i="19"/>
  <c r="E91" i="19"/>
  <c r="E83" i="19"/>
  <c r="E79" i="19"/>
  <c r="E87" i="19"/>
  <c r="E93" i="19"/>
  <c r="E80" i="19"/>
  <c r="E89" i="19"/>
  <c r="E94" i="19"/>
  <c r="C95" i="19"/>
  <c r="C96" i="19"/>
  <c r="C51" i="19"/>
  <c r="C88" i="19"/>
  <c r="C89" i="19"/>
  <c r="C90" i="19"/>
  <c r="C91" i="19"/>
  <c r="C82" i="19"/>
  <c r="C79" i="19"/>
  <c r="C92" i="19"/>
  <c r="C78" i="19"/>
  <c r="C85" i="19"/>
  <c r="C84" i="19"/>
  <c r="C83" i="19"/>
  <c r="C87" i="19"/>
  <c r="C81" i="19"/>
  <c r="C80" i="19"/>
  <c r="C86" i="19"/>
  <c r="C76" i="19"/>
  <c r="C77" i="19"/>
  <c r="C93" i="19"/>
  <c r="C94" i="19"/>
  <c r="L99" i="19"/>
  <c r="J116" i="19"/>
  <c r="J106" i="19"/>
  <c r="J117" i="19"/>
  <c r="J118" i="19"/>
  <c r="J108" i="19"/>
  <c r="J112" i="19"/>
  <c r="J107" i="19"/>
  <c r="J104" i="19"/>
  <c r="J114" i="19"/>
  <c r="J109" i="19"/>
  <c r="J113" i="19"/>
  <c r="J103" i="19"/>
  <c r="J102" i="19"/>
  <c r="J101" i="19"/>
  <c r="J115" i="19"/>
  <c r="J111" i="19"/>
  <c r="J100" i="19"/>
  <c r="J110" i="19"/>
  <c r="J105" i="19"/>
  <c r="J119" i="19"/>
  <c r="J120" i="19"/>
  <c r="M96" i="19"/>
  <c r="M95" i="19"/>
  <c r="M51" i="19"/>
  <c r="M84" i="19"/>
  <c r="M93" i="19"/>
  <c r="M91" i="19"/>
  <c r="M89" i="19"/>
  <c r="M92" i="19"/>
  <c r="M82" i="19"/>
  <c r="M86" i="19"/>
  <c r="M90" i="19"/>
  <c r="M76" i="19"/>
  <c r="M85" i="19"/>
  <c r="M88" i="19"/>
  <c r="M79" i="19"/>
  <c r="M83" i="19"/>
  <c r="M87" i="19"/>
  <c r="M80" i="19"/>
  <c r="M78" i="19"/>
  <c r="M77" i="19"/>
  <c r="M81" i="19"/>
  <c r="M94" i="19"/>
  <c r="K72" i="19"/>
  <c r="K60" i="19"/>
  <c r="K71" i="19"/>
  <c r="K27" i="19"/>
  <c r="K52" i="19"/>
  <c r="K66" i="19"/>
  <c r="K67" i="19"/>
  <c r="K69" i="19"/>
  <c r="K63" i="19"/>
  <c r="K58" i="19"/>
  <c r="K61" i="19"/>
  <c r="K65" i="19"/>
  <c r="K68" i="19"/>
  <c r="K53" i="19"/>
  <c r="K55" i="19"/>
  <c r="K59" i="19"/>
  <c r="K62" i="19"/>
  <c r="K57" i="19"/>
  <c r="K54" i="19"/>
  <c r="K56" i="19"/>
  <c r="K64" i="19"/>
  <c r="K70" i="19"/>
  <c r="L147" i="19"/>
  <c r="J164" i="19"/>
  <c r="J165" i="19"/>
  <c r="J166" i="19"/>
  <c r="J148" i="19"/>
  <c r="J157" i="19"/>
  <c r="J158" i="19"/>
  <c r="J161" i="19"/>
  <c r="J155" i="19"/>
  <c r="J160" i="19"/>
  <c r="J156" i="19"/>
  <c r="J162" i="19"/>
  <c r="J150" i="19"/>
  <c r="J149" i="19"/>
  <c r="J152" i="19"/>
  <c r="J159" i="19"/>
  <c r="J154" i="19"/>
  <c r="J163" i="19"/>
  <c r="J153" i="19"/>
  <c r="J151" i="19"/>
  <c r="J167" i="19"/>
  <c r="J168" i="19"/>
  <c r="I95" i="19"/>
  <c r="I96" i="19"/>
  <c r="I51" i="19"/>
  <c r="I77" i="19"/>
  <c r="I90" i="19"/>
  <c r="I91" i="19"/>
  <c r="I89" i="19"/>
  <c r="I92" i="19"/>
  <c r="I88" i="19"/>
  <c r="I86" i="19"/>
  <c r="I78" i="19"/>
  <c r="I84" i="19"/>
  <c r="I82" i="19"/>
  <c r="I83" i="19"/>
  <c r="I85" i="19"/>
  <c r="I76" i="19"/>
  <c r="I87" i="19"/>
  <c r="I81" i="19"/>
  <c r="I80" i="19"/>
  <c r="I79" i="19"/>
  <c r="I93" i="19"/>
  <c r="I94" i="19"/>
  <c r="N123" i="19" l="1"/>
  <c r="L141" i="19"/>
  <c r="L142" i="19"/>
  <c r="L136" i="19"/>
  <c r="L126" i="19"/>
  <c r="L137" i="19"/>
  <c r="L133" i="19"/>
  <c r="L127" i="19"/>
  <c r="L129" i="19"/>
  <c r="L134" i="19"/>
  <c r="L135" i="19"/>
  <c r="L131" i="19"/>
  <c r="L125" i="19"/>
  <c r="L132" i="19"/>
  <c r="L128" i="19"/>
  <c r="L124" i="19"/>
  <c r="L138" i="19"/>
  <c r="L139" i="19"/>
  <c r="L140" i="19"/>
  <c r="L130" i="19"/>
  <c r="L143" i="19"/>
  <c r="L144" i="19"/>
  <c r="N3" i="19"/>
  <c r="L22" i="19"/>
  <c r="L21" i="19"/>
  <c r="L5" i="19"/>
  <c r="L10" i="19"/>
  <c r="L11" i="19"/>
  <c r="L17" i="19"/>
  <c r="L15" i="19"/>
  <c r="L16" i="19"/>
  <c r="L7" i="19"/>
  <c r="L8" i="19"/>
  <c r="L19" i="19"/>
  <c r="L13" i="19"/>
  <c r="L12" i="19"/>
  <c r="L9" i="19"/>
  <c r="L4" i="19"/>
  <c r="L20" i="19"/>
  <c r="L6" i="19"/>
  <c r="L18" i="19"/>
  <c r="L14" i="19"/>
  <c r="L23" i="19"/>
  <c r="L24" i="19"/>
  <c r="C27" i="19"/>
  <c r="C71" i="19"/>
  <c r="C72" i="19"/>
  <c r="C52" i="19"/>
  <c r="C65" i="19"/>
  <c r="C67" i="19"/>
  <c r="C62" i="19"/>
  <c r="C69" i="19"/>
  <c r="C55" i="19"/>
  <c r="C54" i="19"/>
  <c r="C61" i="19"/>
  <c r="C59" i="19"/>
  <c r="C57" i="19"/>
  <c r="C66" i="19"/>
  <c r="C63" i="19"/>
  <c r="C56" i="19"/>
  <c r="C60" i="19"/>
  <c r="C64" i="19"/>
  <c r="C68" i="19"/>
  <c r="C53" i="19"/>
  <c r="C58" i="19"/>
  <c r="C70" i="19"/>
  <c r="E72" i="19"/>
  <c r="E71" i="19"/>
  <c r="E27" i="19"/>
  <c r="E67" i="19"/>
  <c r="E69" i="19"/>
  <c r="E62" i="19"/>
  <c r="E65" i="19"/>
  <c r="E55" i="19"/>
  <c r="E54" i="19"/>
  <c r="E58" i="19"/>
  <c r="E64" i="19"/>
  <c r="E53" i="19"/>
  <c r="E63" i="19"/>
  <c r="E61" i="19"/>
  <c r="E66" i="19"/>
  <c r="E56" i="19"/>
  <c r="E68" i="19"/>
  <c r="E57" i="19"/>
  <c r="E52" i="19"/>
  <c r="E60" i="19"/>
  <c r="E59" i="19"/>
  <c r="E70" i="19"/>
  <c r="O71" i="19"/>
  <c r="O72" i="19"/>
  <c r="O27" i="19"/>
  <c r="O53" i="19"/>
  <c r="O64" i="19"/>
  <c r="O67" i="19"/>
  <c r="O69" i="19"/>
  <c r="O62" i="19"/>
  <c r="O58" i="19"/>
  <c r="O66" i="19"/>
  <c r="O61" i="19"/>
  <c r="O65" i="19"/>
  <c r="O59" i="19"/>
  <c r="O52" i="19"/>
  <c r="O57" i="19"/>
  <c r="O54" i="19"/>
  <c r="O60" i="19"/>
  <c r="O56" i="19"/>
  <c r="O68" i="19"/>
  <c r="O63" i="19"/>
  <c r="O55" i="19"/>
  <c r="O70" i="19"/>
  <c r="M72" i="19"/>
  <c r="M52" i="19"/>
  <c r="M71" i="19"/>
  <c r="M65" i="19"/>
  <c r="M67" i="19"/>
  <c r="M66" i="19"/>
  <c r="M27" i="19"/>
  <c r="M62" i="19"/>
  <c r="M55" i="19"/>
  <c r="M58" i="19"/>
  <c r="M69" i="19"/>
  <c r="M57" i="19"/>
  <c r="M54" i="19"/>
  <c r="M59" i="19"/>
  <c r="M56" i="19"/>
  <c r="M61" i="19"/>
  <c r="M63" i="19"/>
  <c r="M60" i="19"/>
  <c r="M68" i="19"/>
  <c r="M64" i="19"/>
  <c r="M53" i="19"/>
  <c r="M70" i="19"/>
  <c r="G71" i="19"/>
  <c r="G27" i="19"/>
  <c r="G72" i="19"/>
  <c r="G53" i="19"/>
  <c r="G65" i="19"/>
  <c r="G66" i="19"/>
  <c r="G62" i="19"/>
  <c r="G69" i="19"/>
  <c r="G56" i="19"/>
  <c r="G63" i="19"/>
  <c r="G61" i="19"/>
  <c r="G58" i="19"/>
  <c r="G52" i="19"/>
  <c r="G54" i="19"/>
  <c r="G60" i="19"/>
  <c r="G57" i="19"/>
  <c r="G68" i="19"/>
  <c r="G64" i="19"/>
  <c r="G59" i="19"/>
  <c r="G55" i="19"/>
  <c r="G67" i="19"/>
  <c r="G70" i="19"/>
  <c r="I71" i="19"/>
  <c r="I27" i="19"/>
  <c r="I72" i="19"/>
  <c r="I53" i="19"/>
  <c r="I55" i="19"/>
  <c r="I66" i="19"/>
  <c r="I65" i="19"/>
  <c r="I67" i="19"/>
  <c r="I69" i="19"/>
  <c r="I62" i="19"/>
  <c r="I58" i="19"/>
  <c r="I68" i="19"/>
  <c r="I59" i="19"/>
  <c r="I61" i="19"/>
  <c r="I54" i="19"/>
  <c r="I60" i="19"/>
  <c r="I57" i="19"/>
  <c r="I63" i="19"/>
  <c r="I56" i="19"/>
  <c r="I52" i="19"/>
  <c r="I64" i="19"/>
  <c r="I70" i="19"/>
  <c r="N147" i="19"/>
  <c r="L165" i="19"/>
  <c r="L166" i="19"/>
  <c r="L155" i="19"/>
  <c r="L159" i="19"/>
  <c r="L161" i="19"/>
  <c r="L160" i="19"/>
  <c r="L162" i="19"/>
  <c r="L157" i="19"/>
  <c r="L150" i="19"/>
  <c r="L154" i="19"/>
  <c r="L163" i="19"/>
  <c r="L164" i="19"/>
  <c r="L158" i="19"/>
  <c r="L148" i="19"/>
  <c r="L149" i="19"/>
  <c r="L153" i="19"/>
  <c r="L152" i="19"/>
  <c r="L151" i="19"/>
  <c r="L156" i="19"/>
  <c r="L167" i="19"/>
  <c r="L168" i="19"/>
  <c r="L189" i="19"/>
  <c r="L190" i="19"/>
  <c r="L180" i="19"/>
  <c r="L185" i="19"/>
  <c r="L179" i="19"/>
  <c r="N171" i="19"/>
  <c r="L188" i="19"/>
  <c r="L175" i="19"/>
  <c r="L186" i="19"/>
  <c r="L183" i="19"/>
  <c r="L176" i="19"/>
  <c r="L184" i="19"/>
  <c r="L187" i="19"/>
  <c r="L174" i="19"/>
  <c r="L181" i="19"/>
  <c r="L182" i="19"/>
  <c r="L178" i="19"/>
  <c r="L172" i="19"/>
  <c r="L177" i="19"/>
  <c r="L173" i="19"/>
  <c r="L191" i="19"/>
  <c r="L192" i="19"/>
  <c r="L117" i="19"/>
  <c r="N99" i="19"/>
  <c r="L116" i="19"/>
  <c r="L118" i="19"/>
  <c r="L106" i="19"/>
  <c r="L113" i="19"/>
  <c r="L112" i="19"/>
  <c r="L100" i="19"/>
  <c r="L109" i="19"/>
  <c r="L102" i="19"/>
  <c r="L105" i="19"/>
  <c r="L104" i="19"/>
  <c r="L107" i="19"/>
  <c r="L114" i="19"/>
  <c r="L108" i="19"/>
  <c r="L110" i="19"/>
  <c r="L103" i="19"/>
  <c r="L111" i="19"/>
  <c r="L115" i="19"/>
  <c r="L101" i="19"/>
  <c r="L119" i="19"/>
  <c r="L120" i="19"/>
  <c r="N45" i="19"/>
  <c r="N46" i="19"/>
  <c r="N44" i="19"/>
  <c r="N34" i="19"/>
  <c r="P27" i="19"/>
  <c r="N43" i="19"/>
  <c r="N35" i="19"/>
  <c r="N37" i="19"/>
  <c r="N31" i="19"/>
  <c r="N42" i="19"/>
  <c r="N28" i="19"/>
  <c r="N40" i="19"/>
  <c r="N36" i="19"/>
  <c r="N33" i="19"/>
  <c r="N30" i="19"/>
  <c r="N39" i="19"/>
  <c r="N41" i="19"/>
  <c r="N32" i="19"/>
  <c r="N29" i="19"/>
  <c r="N38" i="19"/>
  <c r="N47" i="19"/>
  <c r="N48" i="19"/>
  <c r="N75" i="19"/>
  <c r="L93" i="19"/>
  <c r="L94" i="19"/>
  <c r="L82" i="19"/>
  <c r="L84" i="19"/>
  <c r="L83" i="19"/>
  <c r="L88" i="19"/>
  <c r="L77" i="19"/>
  <c r="L79" i="19"/>
  <c r="L80" i="19"/>
  <c r="L76" i="19"/>
  <c r="L86" i="19"/>
  <c r="L81" i="19"/>
  <c r="L89" i="19"/>
  <c r="L87" i="19"/>
  <c r="L85" i="19"/>
  <c r="L92" i="19"/>
  <c r="L90" i="19"/>
  <c r="L78" i="19"/>
  <c r="L91" i="19"/>
  <c r="L95" i="19"/>
  <c r="L96" i="19"/>
  <c r="K47" i="19"/>
  <c r="K3" i="19"/>
  <c r="K45" i="19"/>
  <c r="K31" i="19"/>
  <c r="K48" i="19"/>
  <c r="K44" i="19"/>
  <c r="K38" i="19"/>
  <c r="K34" i="19"/>
  <c r="K42" i="19"/>
  <c r="K36" i="19"/>
  <c r="K39" i="19"/>
  <c r="K40" i="19"/>
  <c r="K37" i="19"/>
  <c r="K41" i="19"/>
  <c r="K43" i="19"/>
  <c r="K32" i="19"/>
  <c r="K28" i="19"/>
  <c r="K33" i="19"/>
  <c r="K30" i="19"/>
  <c r="K35" i="19"/>
  <c r="K29" i="19"/>
  <c r="K46" i="19"/>
  <c r="A48" i="19"/>
  <c r="A47" i="19"/>
  <c r="A3" i="19"/>
  <c r="A43" i="19"/>
  <c r="A29" i="19"/>
  <c r="A34" i="19"/>
  <c r="A41" i="19"/>
  <c r="A42" i="19"/>
  <c r="A32" i="19"/>
  <c r="A44" i="19"/>
  <c r="A38" i="19"/>
  <c r="A45" i="19"/>
  <c r="A36" i="19"/>
  <c r="A37" i="19"/>
  <c r="A33" i="19"/>
  <c r="A40" i="19"/>
  <c r="A35" i="19"/>
  <c r="A28" i="19"/>
  <c r="A39" i="19"/>
  <c r="A30" i="19"/>
  <c r="A31" i="19"/>
  <c r="A46" i="19"/>
  <c r="P51" i="19"/>
  <c r="N58" i="19"/>
  <c r="N70" i="19"/>
  <c r="N59" i="19"/>
  <c r="N64" i="19"/>
  <c r="N69" i="19"/>
  <c r="N61" i="19"/>
  <c r="N66" i="19"/>
  <c r="N67" i="19"/>
  <c r="N60" i="19"/>
  <c r="N52" i="19"/>
  <c r="N68" i="19"/>
  <c r="N56" i="19"/>
  <c r="N55" i="19"/>
  <c r="N65" i="19"/>
  <c r="N53" i="19"/>
  <c r="N54" i="19"/>
  <c r="N63" i="19"/>
  <c r="N57" i="19"/>
  <c r="N62" i="19"/>
  <c r="N71" i="19"/>
  <c r="N72" i="19"/>
  <c r="N105" i="19" l="1"/>
  <c r="N118" i="19"/>
  <c r="N117" i="19"/>
  <c r="P99" i="19"/>
  <c r="N107" i="19"/>
  <c r="N109" i="19"/>
  <c r="N104" i="19"/>
  <c r="N111" i="19"/>
  <c r="N108" i="19"/>
  <c r="N116" i="19"/>
  <c r="N114" i="19"/>
  <c r="N106" i="19"/>
  <c r="N115" i="19"/>
  <c r="N103" i="19"/>
  <c r="N113" i="19"/>
  <c r="N101" i="19"/>
  <c r="N110" i="19"/>
  <c r="N112" i="19"/>
  <c r="N102" i="19"/>
  <c r="N100" i="19"/>
  <c r="N119" i="19"/>
  <c r="N120" i="19"/>
  <c r="C48" i="19"/>
  <c r="C47" i="19"/>
  <c r="C3" i="19"/>
  <c r="C38" i="19"/>
  <c r="C42" i="19"/>
  <c r="C41" i="19"/>
  <c r="C43" i="19"/>
  <c r="C34" i="19"/>
  <c r="C44" i="19"/>
  <c r="C45" i="19"/>
  <c r="C36" i="19"/>
  <c r="C30" i="19"/>
  <c r="C28" i="19"/>
  <c r="C37" i="19"/>
  <c r="C35" i="19"/>
  <c r="C39" i="19"/>
  <c r="C31" i="19"/>
  <c r="C33" i="19"/>
  <c r="C32" i="19"/>
  <c r="C40" i="19"/>
  <c r="C29" i="19"/>
  <c r="C46" i="19"/>
  <c r="P171" i="19"/>
  <c r="N189" i="19"/>
  <c r="N179" i="19"/>
  <c r="N190" i="19"/>
  <c r="N185" i="19"/>
  <c r="N175" i="19"/>
  <c r="N180" i="19"/>
  <c r="N181" i="19"/>
  <c r="N187" i="19"/>
  <c r="N173" i="19"/>
  <c r="N184" i="19"/>
  <c r="N176" i="19"/>
  <c r="N174" i="19"/>
  <c r="N178" i="19"/>
  <c r="N182" i="19"/>
  <c r="N186" i="19"/>
  <c r="N183" i="19"/>
  <c r="N172" i="19"/>
  <c r="N188" i="19"/>
  <c r="N177" i="19"/>
  <c r="N191" i="19"/>
  <c r="N192" i="19"/>
  <c r="I3" i="19"/>
  <c r="I48" i="19"/>
  <c r="I47" i="19"/>
  <c r="I36" i="19"/>
  <c r="I34" i="19"/>
  <c r="I28" i="19"/>
  <c r="I42" i="19"/>
  <c r="I44" i="19"/>
  <c r="I32" i="19"/>
  <c r="I41" i="19"/>
  <c r="I38" i="19"/>
  <c r="I30" i="19"/>
  <c r="I33" i="19"/>
  <c r="I37" i="19"/>
  <c r="I35" i="19"/>
  <c r="I40" i="19"/>
  <c r="I29" i="19"/>
  <c r="I31" i="19"/>
  <c r="I43" i="19"/>
  <c r="I39" i="19"/>
  <c r="I45" i="19"/>
  <c r="I46" i="19"/>
  <c r="O3" i="19"/>
  <c r="O48" i="19"/>
  <c r="O47" i="19"/>
  <c r="O40" i="19"/>
  <c r="O42" i="19"/>
  <c r="O28" i="19"/>
  <c r="O44" i="19"/>
  <c r="O33" i="19"/>
  <c r="O35" i="19"/>
  <c r="O36" i="19"/>
  <c r="O45" i="19"/>
  <c r="O29" i="19"/>
  <c r="O30" i="19"/>
  <c r="O37" i="19"/>
  <c r="O34" i="19"/>
  <c r="O39" i="19"/>
  <c r="O43" i="19"/>
  <c r="O32" i="19"/>
  <c r="O38" i="19"/>
  <c r="O41" i="19"/>
  <c r="O31" i="19"/>
  <c r="O46" i="19"/>
  <c r="N93" i="19"/>
  <c r="P75" i="19"/>
  <c r="N94" i="19"/>
  <c r="N85" i="19"/>
  <c r="N89" i="19"/>
  <c r="N80" i="19"/>
  <c r="N79" i="19"/>
  <c r="N88" i="19"/>
  <c r="N92" i="19"/>
  <c r="N87" i="19"/>
  <c r="N91" i="19"/>
  <c r="N83" i="19"/>
  <c r="N77" i="19"/>
  <c r="N78" i="19"/>
  <c r="N76" i="19"/>
  <c r="N81" i="19"/>
  <c r="N82" i="19"/>
  <c r="N86" i="19"/>
  <c r="N84" i="19"/>
  <c r="N90" i="19"/>
  <c r="N95" i="19"/>
  <c r="N96" i="19"/>
  <c r="P46" i="19"/>
  <c r="P29" i="19"/>
  <c r="P45" i="19"/>
  <c r="P44" i="19"/>
  <c r="P40" i="19"/>
  <c r="P30" i="19"/>
  <c r="P38" i="19"/>
  <c r="P42" i="19"/>
  <c r="P34" i="19"/>
  <c r="P35" i="19"/>
  <c r="P43" i="19"/>
  <c r="P41" i="19"/>
  <c r="P31" i="19"/>
  <c r="P37" i="19"/>
  <c r="P39" i="19"/>
  <c r="P36" i="19"/>
  <c r="P32" i="19"/>
  <c r="P33" i="19"/>
  <c r="P28" i="19"/>
  <c r="P47" i="19"/>
  <c r="P48" i="19"/>
  <c r="P3" i="19"/>
  <c r="N10" i="19"/>
  <c r="N22" i="19"/>
  <c r="N21" i="19"/>
  <c r="N11" i="19"/>
  <c r="N7" i="19"/>
  <c r="N6" i="19"/>
  <c r="N13" i="19"/>
  <c r="N5" i="19"/>
  <c r="N15" i="19"/>
  <c r="N18" i="19"/>
  <c r="N8" i="19"/>
  <c r="N4" i="19"/>
  <c r="N9" i="19"/>
  <c r="N16" i="19"/>
  <c r="N20" i="19"/>
  <c r="N17" i="19"/>
  <c r="N19" i="19"/>
  <c r="N14" i="19"/>
  <c r="N12" i="19"/>
  <c r="N23" i="19"/>
  <c r="N24" i="19"/>
  <c r="K23" i="19"/>
  <c r="K24" i="19"/>
  <c r="K18" i="19"/>
  <c r="K17" i="19"/>
  <c r="K7" i="19"/>
  <c r="K21" i="19"/>
  <c r="K14" i="19"/>
  <c r="K10" i="19"/>
  <c r="K16" i="19"/>
  <c r="K15" i="19"/>
  <c r="K5" i="19"/>
  <c r="K9" i="19"/>
  <c r="K11" i="19"/>
  <c r="K13" i="19"/>
  <c r="K6" i="19"/>
  <c r="K8" i="19"/>
  <c r="K20" i="19"/>
  <c r="K19" i="19"/>
  <c r="K4" i="19"/>
  <c r="K12" i="19"/>
  <c r="K22" i="19"/>
  <c r="A24" i="19"/>
  <c r="A23" i="19"/>
  <c r="A18" i="19"/>
  <c r="A17" i="19"/>
  <c r="A21" i="19"/>
  <c r="A4" i="19"/>
  <c r="A6" i="19"/>
  <c r="A20" i="19"/>
  <c r="A15" i="19"/>
  <c r="A11" i="19"/>
  <c r="A8" i="19"/>
  <c r="A9" i="19"/>
  <c r="A16" i="19"/>
  <c r="A13" i="19"/>
  <c r="A14" i="19"/>
  <c r="A5" i="19"/>
  <c r="A10" i="19"/>
  <c r="A19" i="19"/>
  <c r="A12" i="19"/>
  <c r="A7" i="19"/>
  <c r="A22" i="19"/>
  <c r="G47" i="19"/>
  <c r="G48" i="19"/>
  <c r="G3" i="19"/>
  <c r="G36" i="19"/>
  <c r="G41" i="19"/>
  <c r="G34" i="19"/>
  <c r="G45" i="19"/>
  <c r="G29" i="19"/>
  <c r="G44" i="19"/>
  <c r="G40" i="19"/>
  <c r="G37" i="19"/>
  <c r="G42" i="19"/>
  <c r="G30" i="19"/>
  <c r="G33" i="19"/>
  <c r="G28" i="19"/>
  <c r="G31" i="19"/>
  <c r="G39" i="19"/>
  <c r="G38" i="19"/>
  <c r="G32" i="19"/>
  <c r="G43" i="19"/>
  <c r="G35" i="19"/>
  <c r="G46" i="19"/>
  <c r="P70" i="19"/>
  <c r="P69" i="19"/>
  <c r="P59" i="19"/>
  <c r="P65" i="19"/>
  <c r="P64" i="19"/>
  <c r="P61" i="19"/>
  <c r="P54" i="19"/>
  <c r="P56" i="19"/>
  <c r="P55" i="19"/>
  <c r="P66" i="19"/>
  <c r="P63" i="19"/>
  <c r="P67" i="19"/>
  <c r="P57" i="19"/>
  <c r="P53" i="19"/>
  <c r="P52" i="19"/>
  <c r="P58" i="19"/>
  <c r="P62" i="19"/>
  <c r="P68" i="19"/>
  <c r="P60" i="19"/>
  <c r="P71" i="19"/>
  <c r="P72" i="19"/>
  <c r="M29" i="19"/>
  <c r="M3" i="19"/>
  <c r="M47" i="19"/>
  <c r="M48" i="19"/>
  <c r="M42" i="19"/>
  <c r="M41" i="19"/>
  <c r="M43" i="19"/>
  <c r="M39" i="19"/>
  <c r="M45" i="19"/>
  <c r="M44" i="19"/>
  <c r="M36" i="19"/>
  <c r="M32" i="19"/>
  <c r="M30" i="19"/>
  <c r="M28" i="19"/>
  <c r="M35" i="19"/>
  <c r="M40" i="19"/>
  <c r="M37" i="19"/>
  <c r="M33" i="19"/>
  <c r="M34" i="19"/>
  <c r="M31" i="19"/>
  <c r="M38" i="19"/>
  <c r="M46" i="19"/>
  <c r="E47" i="19"/>
  <c r="E48" i="19"/>
  <c r="E3" i="19"/>
  <c r="E41" i="19"/>
  <c r="E42" i="19"/>
  <c r="E43" i="19"/>
  <c r="E31" i="19"/>
  <c r="E45" i="19"/>
  <c r="E30" i="19"/>
  <c r="E33" i="19"/>
  <c r="E34" i="19"/>
  <c r="E37" i="19"/>
  <c r="E40" i="19"/>
  <c r="E32" i="19"/>
  <c r="E39" i="19"/>
  <c r="E36" i="19"/>
  <c r="E35" i="19"/>
  <c r="E28" i="19"/>
  <c r="E29" i="19"/>
  <c r="E44" i="19"/>
  <c r="E38" i="19"/>
  <c r="E46" i="19"/>
  <c r="N166" i="19"/>
  <c r="N165" i="19"/>
  <c r="N164" i="19"/>
  <c r="P147" i="19"/>
  <c r="N161" i="19"/>
  <c r="N152" i="19"/>
  <c r="N157" i="19"/>
  <c r="N160" i="19"/>
  <c r="N150" i="19"/>
  <c r="N155" i="19"/>
  <c r="N162" i="19"/>
  <c r="N153" i="19"/>
  <c r="N151" i="19"/>
  <c r="N154" i="19"/>
  <c r="N156" i="19"/>
  <c r="N149" i="19"/>
  <c r="N159" i="19"/>
  <c r="N163" i="19"/>
  <c r="N148" i="19"/>
  <c r="N158" i="19"/>
  <c r="N167" i="19"/>
  <c r="N168" i="19"/>
  <c r="N140" i="19"/>
  <c r="P123" i="19"/>
  <c r="N142" i="19"/>
  <c r="N141" i="19"/>
  <c r="N139" i="19"/>
  <c r="N134" i="19"/>
  <c r="N136" i="19"/>
  <c r="N131" i="19"/>
  <c r="N130" i="19"/>
  <c r="N132" i="19"/>
  <c r="N125" i="19"/>
  <c r="N126" i="19"/>
  <c r="N128" i="19"/>
  <c r="N137" i="19"/>
  <c r="N127" i="19"/>
  <c r="N135" i="19"/>
  <c r="N124" i="19"/>
  <c r="N133" i="19"/>
  <c r="N138" i="19"/>
  <c r="N129" i="19"/>
  <c r="N143" i="19"/>
  <c r="N144" i="19"/>
  <c r="P190" i="19" l="1"/>
  <c r="P188" i="19"/>
  <c r="P189" i="19"/>
  <c r="P173" i="19"/>
  <c r="P178" i="19"/>
  <c r="P174" i="19"/>
  <c r="P185" i="19"/>
  <c r="P184" i="19"/>
  <c r="P175" i="19"/>
  <c r="P176" i="19"/>
  <c r="P187" i="19"/>
  <c r="P182" i="19"/>
  <c r="P186" i="19"/>
  <c r="P183" i="19"/>
  <c r="P180" i="19"/>
  <c r="P177" i="19"/>
  <c r="P172" i="19"/>
  <c r="P179" i="19"/>
  <c r="P181" i="19"/>
  <c r="P191" i="19"/>
  <c r="P192" i="19"/>
  <c r="G23" i="19"/>
  <c r="G24" i="19"/>
  <c r="G19" i="19"/>
  <c r="G14" i="19"/>
  <c r="G8" i="19"/>
  <c r="G20" i="19"/>
  <c r="G10" i="19"/>
  <c r="G18" i="19"/>
  <c r="G9" i="19"/>
  <c r="G12" i="19"/>
  <c r="G13" i="19"/>
  <c r="G4" i="19"/>
  <c r="G5" i="19"/>
  <c r="G15" i="19"/>
  <c r="G21" i="19"/>
  <c r="G7" i="19"/>
  <c r="G17" i="19"/>
  <c r="G16" i="19"/>
  <c r="G11" i="19"/>
  <c r="G6" i="19"/>
  <c r="G22" i="19"/>
  <c r="O23" i="19"/>
  <c r="O24" i="19"/>
  <c r="O12" i="19"/>
  <c r="O17" i="19"/>
  <c r="O19" i="19"/>
  <c r="O4" i="19"/>
  <c r="O14" i="19"/>
  <c r="O21" i="19"/>
  <c r="O10" i="19"/>
  <c r="O11" i="19"/>
  <c r="O5" i="19"/>
  <c r="O8" i="19"/>
  <c r="O13" i="19"/>
  <c r="O18" i="19"/>
  <c r="O20" i="19"/>
  <c r="O9" i="19"/>
  <c r="O15" i="19"/>
  <c r="O16" i="19"/>
  <c r="O6" i="19"/>
  <c r="O7" i="19"/>
  <c r="O22" i="19"/>
  <c r="C23" i="19"/>
  <c r="C24" i="19"/>
  <c r="C21" i="19"/>
  <c r="C18" i="19"/>
  <c r="C17" i="19"/>
  <c r="C19" i="19"/>
  <c r="C7" i="19"/>
  <c r="C14" i="19"/>
  <c r="C4" i="19"/>
  <c r="C10" i="19"/>
  <c r="C5" i="19"/>
  <c r="C6" i="19"/>
  <c r="C15" i="19"/>
  <c r="C12" i="19"/>
  <c r="C9" i="19"/>
  <c r="C11" i="19"/>
  <c r="C8" i="19"/>
  <c r="C13" i="19"/>
  <c r="C20" i="19"/>
  <c r="C16" i="19"/>
  <c r="C22" i="19"/>
  <c r="P142" i="19"/>
  <c r="P141" i="19"/>
  <c r="P136" i="19"/>
  <c r="P137" i="19"/>
  <c r="P129" i="19"/>
  <c r="P126" i="19"/>
  <c r="P133" i="19"/>
  <c r="P130" i="19"/>
  <c r="P125" i="19"/>
  <c r="P128" i="19"/>
  <c r="P132" i="19"/>
  <c r="P131" i="19"/>
  <c r="P140" i="19"/>
  <c r="P134" i="19"/>
  <c r="P124" i="19"/>
  <c r="P127" i="19"/>
  <c r="P138" i="19"/>
  <c r="P135" i="19"/>
  <c r="P139" i="19"/>
  <c r="P143" i="19"/>
  <c r="P144" i="19"/>
  <c r="P20" i="19"/>
  <c r="P10" i="19"/>
  <c r="P22" i="19"/>
  <c r="P21" i="19"/>
  <c r="P11" i="19"/>
  <c r="P16" i="19"/>
  <c r="P15" i="19"/>
  <c r="P17" i="19"/>
  <c r="P4" i="19"/>
  <c r="P13" i="19"/>
  <c r="P19" i="19"/>
  <c r="P7" i="19"/>
  <c r="P9" i="19"/>
  <c r="P14" i="19"/>
  <c r="P8" i="19"/>
  <c r="P6" i="19"/>
  <c r="P5" i="19"/>
  <c r="P18" i="19"/>
  <c r="P12" i="19"/>
  <c r="P23" i="19"/>
  <c r="P24" i="19"/>
  <c r="M23" i="19"/>
  <c r="M24" i="19"/>
  <c r="M19" i="19"/>
  <c r="M21" i="19"/>
  <c r="M7" i="19"/>
  <c r="M5" i="19"/>
  <c r="M10" i="19"/>
  <c r="M6" i="19"/>
  <c r="M13" i="19"/>
  <c r="M17" i="19"/>
  <c r="M16" i="19"/>
  <c r="M4" i="19"/>
  <c r="M9" i="19"/>
  <c r="M14" i="19"/>
  <c r="M18" i="19"/>
  <c r="M20" i="19"/>
  <c r="M12" i="19"/>
  <c r="M11" i="19"/>
  <c r="M15" i="19"/>
  <c r="M8" i="19"/>
  <c r="M22" i="19"/>
  <c r="E23" i="19"/>
  <c r="E24" i="19"/>
  <c r="E19" i="19"/>
  <c r="E14" i="19"/>
  <c r="E7" i="19"/>
  <c r="E5" i="19"/>
  <c r="E15" i="19"/>
  <c r="E20" i="19"/>
  <c r="E6" i="19"/>
  <c r="E21" i="19"/>
  <c r="E18" i="19"/>
  <c r="E10" i="19"/>
  <c r="E17" i="19"/>
  <c r="E13" i="19"/>
  <c r="E9" i="19"/>
  <c r="E4" i="19"/>
  <c r="E16" i="19"/>
  <c r="E12" i="19"/>
  <c r="E8" i="19"/>
  <c r="E11" i="19"/>
  <c r="E22" i="19"/>
  <c r="P93" i="19"/>
  <c r="P91" i="19"/>
  <c r="P94" i="19"/>
  <c r="P82" i="19"/>
  <c r="P89" i="19"/>
  <c r="P78" i="19"/>
  <c r="P84" i="19"/>
  <c r="P85" i="19"/>
  <c r="P79" i="19"/>
  <c r="P80" i="19"/>
  <c r="P92" i="19"/>
  <c r="P90" i="19"/>
  <c r="P88" i="19"/>
  <c r="P83" i="19"/>
  <c r="P76" i="19"/>
  <c r="P81" i="19"/>
  <c r="P86" i="19"/>
  <c r="P77" i="19"/>
  <c r="P87" i="19"/>
  <c r="P95" i="19"/>
  <c r="P96" i="19"/>
  <c r="P166" i="19"/>
  <c r="P165" i="19"/>
  <c r="P159" i="19"/>
  <c r="P161" i="19"/>
  <c r="P160" i="19"/>
  <c r="P157" i="19"/>
  <c r="P151" i="19"/>
  <c r="P149" i="19"/>
  <c r="P155" i="19"/>
  <c r="P152" i="19"/>
  <c r="P154" i="19"/>
  <c r="P156" i="19"/>
  <c r="P153" i="19"/>
  <c r="P148" i="19"/>
  <c r="P150" i="19"/>
  <c r="P164" i="19"/>
  <c r="P163" i="19"/>
  <c r="P158" i="19"/>
  <c r="P162" i="19"/>
  <c r="P167" i="19"/>
  <c r="P168" i="19"/>
  <c r="P106" i="19"/>
  <c r="P117" i="19"/>
  <c r="P107" i="19"/>
  <c r="P113" i="19"/>
  <c r="P112" i="19"/>
  <c r="P118" i="19"/>
  <c r="P116" i="19"/>
  <c r="P105" i="19"/>
  <c r="P100" i="19"/>
  <c r="P108" i="19"/>
  <c r="P114" i="19"/>
  <c r="P103" i="19"/>
  <c r="P110" i="19"/>
  <c r="P104" i="19"/>
  <c r="P109" i="19"/>
  <c r="P102" i="19"/>
  <c r="P111" i="19"/>
  <c r="P115" i="19"/>
  <c r="P101" i="19"/>
  <c r="P119" i="19"/>
  <c r="P120" i="19"/>
  <c r="I23" i="19"/>
  <c r="I24" i="19"/>
  <c r="I5" i="19"/>
  <c r="I18" i="19"/>
  <c r="I19" i="19"/>
  <c r="I21" i="19"/>
  <c r="I17" i="19"/>
  <c r="I7" i="19"/>
  <c r="I14" i="19"/>
  <c r="I10" i="19"/>
  <c r="I13" i="19"/>
  <c r="I11" i="19"/>
  <c r="I9" i="19"/>
  <c r="I15" i="19"/>
  <c r="I12" i="19"/>
  <c r="I4" i="19"/>
  <c r="I6" i="19"/>
  <c r="I8" i="19"/>
  <c r="I20" i="19"/>
  <c r="I16" i="19"/>
  <c r="I22" i="19"/>
</calcChain>
</file>

<file path=xl/sharedStrings.xml><?xml version="1.0" encoding="utf-8"?>
<sst xmlns="http://schemas.openxmlformats.org/spreadsheetml/2006/main" count="6621" uniqueCount="1136">
  <si>
    <t>m</t>
  </si>
  <si>
    <t>B =</t>
  </si>
  <si>
    <t>L =</t>
  </si>
  <si>
    <t>A.1.</t>
  </si>
  <si>
    <t>A.2.</t>
  </si>
  <si>
    <t>A.3.</t>
  </si>
  <si>
    <t>Kuat tekan beton,</t>
  </si>
  <si>
    <t>MPa</t>
  </si>
  <si>
    <r>
      <t>f</t>
    </r>
    <r>
      <rPr>
        <vertAlign val="subscript"/>
        <sz val="11"/>
        <color theme="1"/>
        <rFont val="Calibri"/>
        <family val="2"/>
        <scheme val="minor"/>
      </rPr>
      <t xml:space="preserve">y </t>
    </r>
    <r>
      <rPr>
        <sz val="11"/>
        <color theme="1"/>
        <rFont val="Calibri"/>
        <family val="2"/>
        <scheme val="minor"/>
      </rPr>
      <t>=</t>
    </r>
  </si>
  <si>
    <t>Modulus elastis baja,</t>
  </si>
  <si>
    <r>
      <t>E</t>
    </r>
    <r>
      <rPr>
        <vertAlign val="subscript"/>
        <sz val="11"/>
        <color theme="1"/>
        <rFont val="Calibri"/>
        <family val="2"/>
        <scheme val="minor"/>
      </rPr>
      <t xml:space="preserve">s </t>
    </r>
    <r>
      <rPr>
        <sz val="11"/>
        <color theme="1"/>
        <rFont val="Calibri"/>
        <family val="2"/>
        <scheme val="minor"/>
      </rPr>
      <t>=</t>
    </r>
  </si>
  <si>
    <t>H =</t>
  </si>
  <si>
    <t>Tegangan leleh baja tulangan dengan D &gt; 13 mm,</t>
  </si>
  <si>
    <t xml:space="preserve">Tegangan leleh baja tulangan dengan Ø ≤ 13 mm, </t>
  </si>
  <si>
    <r>
      <t>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</si>
  <si>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</si>
  <si>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</si>
  <si>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</si>
  <si>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</si>
  <si>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</si>
  <si>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</si>
  <si>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</si>
  <si>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</si>
  <si>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</si>
  <si>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</si>
  <si>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</si>
  <si>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</si>
  <si>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</si>
  <si>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</si>
  <si>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</si>
  <si>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</si>
  <si>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=</t>
    </r>
  </si>
  <si>
    <r>
      <t>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=</t>
    </r>
  </si>
  <si>
    <t>Luas penampang abutmen,</t>
  </si>
  <si>
    <t>A =</t>
  </si>
  <si>
    <r>
      <rPr>
        <sz val="11"/>
        <color theme="1"/>
        <rFont val="Calibri"/>
        <family val="2"/>
        <scheme val="minor"/>
      </rP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</si>
  <si>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Panjang Rencana abutmen,</t>
  </si>
  <si>
    <t>INPUT DATA MATERIAL ABUTMEN</t>
  </si>
  <si>
    <t>fc' =</t>
  </si>
  <si>
    <r>
      <t>h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</si>
  <si>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t>DATA BERAT VOLUME MATERIAL</t>
  </si>
  <si>
    <t>Berat volume tanah di atas pilecap,</t>
  </si>
  <si>
    <r>
      <t>w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</si>
  <si>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r>
      <t>kN/m</t>
    </r>
    <r>
      <rPr>
        <vertAlign val="superscript"/>
        <sz val="11"/>
        <rFont val="Calibri"/>
        <family val="2"/>
        <scheme val="minor"/>
      </rPr>
      <t>3</t>
    </r>
  </si>
  <si>
    <t>Berat volume air di atas pilecap,</t>
  </si>
  <si>
    <r>
      <t>w</t>
    </r>
    <r>
      <rPr>
        <vertAlign val="subscript"/>
        <sz val="11"/>
        <rFont val="Calibri"/>
        <family val="2"/>
        <scheme val="minor"/>
      </rPr>
      <t>w</t>
    </r>
    <r>
      <rPr>
        <sz val="11"/>
        <rFont val="Calibri"/>
        <family val="2"/>
        <scheme val="minor"/>
      </rPr>
      <t xml:space="preserve"> =</t>
    </r>
  </si>
  <si>
    <t>Berat volume beton bertulang,</t>
  </si>
  <si>
    <r>
      <t>w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</si>
  <si>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t>D =</t>
  </si>
  <si>
    <t>mm</t>
  </si>
  <si>
    <t>B.1.</t>
  </si>
  <si>
    <t>EKSTRIM X</t>
  </si>
  <si>
    <t>EKSTRIM Y</t>
  </si>
  <si>
    <t>Wc =</t>
  </si>
  <si>
    <r>
      <t>kN/m</t>
    </r>
    <r>
      <rPr>
        <vertAlign val="superscript"/>
        <sz val="11"/>
        <color theme="1"/>
        <rFont val="Calibri"/>
        <family val="2"/>
        <scheme val="minor"/>
      </rPr>
      <t>3</t>
    </r>
  </si>
  <si>
    <t>Ws =</t>
  </si>
  <si>
    <t>2 x Tebal Wings Wall,</t>
  </si>
  <si>
    <t>tw =</t>
  </si>
  <si>
    <t>Panjang abutmen,</t>
  </si>
  <si>
    <t>No.</t>
  </si>
  <si>
    <t>b</t>
  </si>
  <si>
    <t>h</t>
  </si>
  <si>
    <t>shape</t>
  </si>
  <si>
    <t>Dir</t>
  </si>
  <si>
    <t>Parameter Berat Bagian</t>
  </si>
  <si>
    <t>Berat</t>
  </si>
  <si>
    <t>(kN)</t>
  </si>
  <si>
    <t>Lengan</t>
  </si>
  <si>
    <t>(m)</t>
  </si>
  <si>
    <t>Momen</t>
  </si>
  <si>
    <t>(kN.m)</t>
  </si>
  <si>
    <t>B</t>
  </si>
  <si>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</si>
  <si>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</si>
  <si>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</si>
  <si>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</si>
  <si>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</si>
  <si>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</si>
  <si>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</si>
  <si>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</si>
  <si>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</si>
  <si>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</si>
  <si>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</si>
  <si>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</si>
  <si>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</si>
  <si>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</si>
  <si>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</si>
  <si>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</si>
  <si>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</si>
  <si>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ABUTMEN &amp; WINGSWALL</t>
  </si>
  <si>
    <t>TANAH TIMBUNAN</t>
  </si>
  <si>
    <t>TOTAL</t>
  </si>
  <si>
    <t>PMS =</t>
  </si>
  <si>
    <t>MMS =</t>
  </si>
  <si>
    <t>AKIBAT BERAT SENDIRI STRUKTUR</t>
  </si>
  <si>
    <t>D.1.</t>
  </si>
  <si>
    <t>D.2.</t>
  </si>
  <si>
    <t>Berat jenis tanah</t>
  </si>
  <si>
    <t>Sudut gesek dalam,</t>
  </si>
  <si>
    <r>
      <rPr>
        <sz val="11"/>
        <color theme="1"/>
        <rFont val="Calibri"/>
        <family val="2"/>
      </rPr>
      <t>φ</t>
    </r>
    <r>
      <rPr>
        <sz val="11"/>
        <color theme="1"/>
        <rFont val="Calibri"/>
        <family val="2"/>
        <scheme val="minor"/>
      </rPr>
      <t xml:space="preserve"> =</t>
    </r>
  </si>
  <si>
    <t>o</t>
  </si>
  <si>
    <t>Kohesi,</t>
  </si>
  <si>
    <t>C =</t>
  </si>
  <si>
    <t>kPa</t>
  </si>
  <si>
    <r>
      <t xml:space="preserve">faktor reduksi untuk </t>
    </r>
    <r>
      <rPr>
        <sz val="11"/>
        <color theme="1"/>
        <rFont val="Calibri"/>
        <family val="2"/>
      </rPr>
      <t>φ</t>
    </r>
    <r>
      <rPr>
        <sz val="11"/>
        <color theme="1"/>
        <rFont val="Calibri"/>
        <family val="2"/>
        <scheme val="minor"/>
      </rPr>
      <t>',</t>
    </r>
  </si>
  <si>
    <r>
      <t>K</t>
    </r>
    <r>
      <rPr>
        <vertAlign val="subscript"/>
        <sz val="11"/>
        <color theme="1"/>
        <rFont val="Calibri"/>
        <family val="2"/>
      </rPr>
      <t>φ</t>
    </r>
    <r>
      <rPr>
        <vertAlign val="superscript"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  <charset val="1"/>
      </rPr>
      <t xml:space="preserve"> =</t>
    </r>
  </si>
  <si>
    <t>Sudut gesek dalam terkoreksi,</t>
  </si>
  <si>
    <r>
      <rPr>
        <sz val="11"/>
        <color theme="1"/>
        <rFont val="Calibri"/>
        <family val="2"/>
      </rPr>
      <t>φ</t>
    </r>
    <r>
      <rPr>
        <sz val="11"/>
        <color theme="1"/>
        <rFont val="Calibri"/>
        <family val="2"/>
        <scheme val="minor"/>
      </rPr>
      <t>' = tan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 xml:space="preserve"> (K</t>
    </r>
    <r>
      <rPr>
        <vertAlign val="subscript"/>
        <sz val="11"/>
        <color theme="1"/>
        <rFont val="Calibri"/>
        <family val="2"/>
      </rPr>
      <t>φ</t>
    </r>
    <r>
      <rPr>
        <vertAlign val="super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* tan </t>
    </r>
    <r>
      <rPr>
        <sz val="11"/>
        <color theme="1"/>
        <rFont val="Calibri"/>
        <family val="2"/>
      </rPr>
      <t>φ</t>
    </r>
    <r>
      <rPr>
        <sz val="11"/>
        <color theme="1"/>
        <rFont val="Calibri"/>
        <family val="2"/>
        <scheme val="minor"/>
      </rPr>
      <t xml:space="preserve"> )</t>
    </r>
    <r>
      <rPr>
        <sz val="11"/>
        <color theme="1"/>
        <rFont val="Calibri"/>
        <family val="2"/>
        <scheme val="minor"/>
      </rPr>
      <t xml:space="preserve"> =</t>
    </r>
  </si>
  <si>
    <t>Koefisien tekanan tanah aktif,</t>
  </si>
  <si>
    <r>
      <t>W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</si>
  <si>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t>DATA HASIL LAB TANAH DAN DAYA DUKUNG BORED PILE</t>
  </si>
  <si>
    <t>Sudut gesek tanah di bawah pilecap,</t>
  </si>
  <si>
    <t>φ =</t>
  </si>
  <si>
    <t>Nilai kohesi tanah di bawah pilecap,</t>
  </si>
  <si>
    <r>
      <t>P</t>
    </r>
    <r>
      <rPr>
        <vertAlign val="subscript"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=</t>
    </r>
  </si>
  <si>
    <t>kN</t>
  </si>
  <si>
    <t>KOEFISIEN TEKANAN AKTIF DI BELAKANG ABUTMEN</t>
  </si>
  <si>
    <t>Tekanan tanah pada dasar bidang 1,</t>
  </si>
  <si>
    <r>
      <t>kN/m</t>
    </r>
    <r>
      <rPr>
        <sz val="11"/>
        <color theme="1"/>
        <rFont val="Calibri"/>
        <family val="2"/>
        <scheme val="minor"/>
      </rPr>
      <t>/m</t>
    </r>
  </si>
  <si>
    <t>Besar gaya P1,</t>
  </si>
  <si>
    <t>kN/m</t>
  </si>
  <si>
    <t>Jarak P1 terhadap titik guling,</t>
  </si>
  <si>
    <t>Momen guling akibat P1 ,</t>
  </si>
  <si>
    <r>
      <t>M</t>
    </r>
    <r>
      <rPr>
        <vertAlign val="subscript"/>
        <sz val="11"/>
        <color theme="1"/>
        <rFont val="Calibri"/>
        <family val="2"/>
        <scheme val="minor"/>
      </rPr>
      <t>P1</t>
    </r>
    <r>
      <rPr>
        <sz val="11"/>
        <color theme="1"/>
        <rFont val="Calibri"/>
        <family val="2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* Y</t>
    </r>
    <r>
      <rPr>
        <vertAlign val="subscript"/>
        <sz val="11"/>
        <color theme="1"/>
        <rFont val="Calibri"/>
        <family val="2"/>
        <scheme val="minor"/>
      </rPr>
      <t>P1</t>
    </r>
    <r>
      <rPr>
        <sz val="11"/>
        <color theme="1"/>
        <rFont val="Calibri"/>
        <family val="2"/>
        <scheme val="minor"/>
      </rPr>
      <t xml:space="preserve"> =</t>
    </r>
  </si>
  <si>
    <t>kN.m/m</t>
  </si>
  <si>
    <r>
      <t>NILAI MOMEN BIDANG 1 AKIBAT TIMBUNAN 0,6 * W</t>
    </r>
    <r>
      <rPr>
        <b/>
        <vertAlign val="subscript"/>
        <sz val="11"/>
        <color theme="1"/>
        <rFont val="Calibri"/>
        <family val="2"/>
        <scheme val="minor"/>
      </rPr>
      <t>S</t>
    </r>
  </si>
  <si>
    <t>Nilai beban timbunan,</t>
  </si>
  <si>
    <r>
      <t>0,6 * W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</si>
  <si>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r>
      <t>kN/m</t>
    </r>
    <r>
      <rPr>
        <vertAlign val="superscript"/>
        <sz val="11"/>
        <color theme="1"/>
        <rFont val="Calibri"/>
        <family val="2"/>
        <scheme val="minor"/>
      </rPr>
      <t>2</t>
    </r>
  </si>
  <si>
    <t>Tinggi total abutmen,</t>
  </si>
  <si>
    <r>
      <t>Q</t>
    </r>
    <r>
      <rPr>
        <vertAlign val="subscript"/>
        <sz val="11"/>
        <color theme="1"/>
        <rFont val="Calibri"/>
        <family val="2"/>
        <scheme val="minor"/>
      </rPr>
      <t>P1</t>
    </r>
    <r>
      <rPr>
        <sz val="11"/>
        <color theme="1"/>
        <rFont val="Calibri"/>
        <family val="2"/>
        <scheme val="minor"/>
      </rPr>
      <t xml:space="preserve"> = 0,6 * Ws * Ka =</t>
    </r>
  </si>
  <si>
    <r>
      <t>K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= tan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( 45° - </t>
    </r>
    <r>
      <rPr>
        <sz val="11"/>
        <color theme="1"/>
        <rFont val="Calibri"/>
        <family val="2"/>
      </rPr>
      <t>φ</t>
    </r>
    <r>
      <rPr>
        <sz val="11"/>
        <color theme="1"/>
        <rFont val="Calibri"/>
        <family val="2"/>
        <scheme val="minor"/>
      </rPr>
      <t>' / 2 ) =</t>
    </r>
  </si>
  <si>
    <r>
      <t>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H * Q</t>
    </r>
    <r>
      <rPr>
        <vertAlign val="subscript"/>
        <sz val="11"/>
        <color theme="1"/>
        <rFont val="Calibri"/>
        <family val="2"/>
        <scheme val="minor"/>
      </rPr>
      <t>P1</t>
    </r>
    <r>
      <rPr>
        <sz val="11"/>
        <color theme="1"/>
        <rFont val="Calibri"/>
        <family val="2"/>
        <scheme val="minor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</si>
  <si>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  <scheme val="minor"/>
      </rPr>
      <t>P1</t>
    </r>
    <r>
      <rPr>
        <sz val="11"/>
        <color theme="1"/>
        <rFont val="Calibri"/>
        <family val="2"/>
        <scheme val="minor"/>
      </rPr>
      <t xml:space="preserve"> = H</t>
    </r>
    <r>
      <rPr>
        <sz val="11"/>
        <color theme="1"/>
        <rFont val="Calibri"/>
        <family val="2"/>
        <scheme val="minor"/>
      </rPr>
      <t xml:space="preserve"> / 2 =</t>
    </r>
  </si>
  <si>
    <r>
      <t>NILAI MOMEN BIDANG 2 AKIBAT TEKANAN TANAH W</t>
    </r>
    <r>
      <rPr>
        <b/>
        <vertAlign val="subscript"/>
        <sz val="11"/>
        <color theme="1"/>
        <rFont val="Calibri"/>
        <family val="2"/>
        <scheme val="minor"/>
      </rPr>
      <t>S</t>
    </r>
  </si>
  <si>
    <t>Tekanan tanah pada dasar bidang 2,</t>
  </si>
  <si>
    <t>Besar gaya P2,</t>
  </si>
  <si>
    <t>Jarak P2 terhadap titik guling,</t>
  </si>
  <si>
    <t>Momen guling akibat P2 ,</t>
  </si>
  <si>
    <r>
      <t>Q</t>
    </r>
    <r>
      <rPr>
        <vertAlign val="subscript"/>
        <sz val="11"/>
        <color theme="1"/>
        <rFont val="Calibri"/>
        <family val="2"/>
        <scheme val="minor"/>
      </rPr>
      <t>P2</t>
    </r>
    <r>
      <rPr>
        <sz val="11"/>
        <color theme="1"/>
        <rFont val="Calibri"/>
        <family val="2"/>
        <scheme val="minor"/>
      </rPr>
      <t xml:space="preserve"> = H * W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* K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</si>
  <si>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0,5 * H * Q</t>
    </r>
    <r>
      <rPr>
        <vertAlign val="subscript"/>
        <sz val="11"/>
        <color theme="1"/>
        <rFont val="Calibri"/>
        <family val="2"/>
        <scheme val="minor"/>
      </rPr>
      <t>P2</t>
    </r>
    <r>
      <rPr>
        <sz val="11"/>
        <color theme="1"/>
        <rFont val="Calibri"/>
        <family val="2"/>
        <scheme val="minor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</si>
  <si>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  <scheme val="minor"/>
      </rPr>
      <t>P2</t>
    </r>
    <r>
      <rPr>
        <sz val="11"/>
        <color theme="1"/>
        <rFont val="Calibri"/>
        <family val="2"/>
        <scheme val="minor"/>
      </rPr>
      <t xml:space="preserve"> = 1/3 * H =</t>
    </r>
  </si>
  <si>
    <r>
      <t>M</t>
    </r>
    <r>
      <rPr>
        <vertAlign val="subscript"/>
        <sz val="11"/>
        <color theme="1"/>
        <rFont val="Calibri"/>
        <family val="2"/>
        <scheme val="minor"/>
      </rPr>
      <t>P2</t>
    </r>
    <r>
      <rPr>
        <sz val="11"/>
        <color theme="1"/>
        <rFont val="Calibri"/>
        <family val="2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* Y</t>
    </r>
    <r>
      <rPr>
        <vertAlign val="subscript"/>
        <sz val="11"/>
        <color theme="1"/>
        <rFont val="Calibri"/>
        <family val="2"/>
        <scheme val="minor"/>
      </rPr>
      <t>P2</t>
    </r>
    <r>
      <rPr>
        <sz val="11"/>
        <color theme="1"/>
        <rFont val="Calibri"/>
        <family val="2"/>
        <scheme val="minor"/>
      </rPr>
      <t xml:space="preserve"> =</t>
    </r>
  </si>
  <si>
    <t>AKIBAT TEKANAN TANAH AKTIF</t>
  </si>
  <si>
    <t>REKAPITULASI GAYA AKIBAT TEKANAN TANAH AKTIF</t>
  </si>
  <si>
    <t>kN.m</t>
  </si>
  <si>
    <r>
      <t>P</t>
    </r>
    <r>
      <rPr>
        <vertAlign val="subscript"/>
        <sz val="11"/>
        <color theme="1"/>
        <rFont val="Calibri"/>
        <family val="2"/>
        <scheme val="minor"/>
      </rPr>
      <t>KA</t>
    </r>
    <r>
      <rPr>
        <sz val="11"/>
        <color theme="1"/>
        <rFont val="Calibri"/>
        <family val="2"/>
        <scheme val="minor"/>
      </rPr>
      <t xml:space="preserve"> = (P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* (L - 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 =</t>
    </r>
  </si>
  <si>
    <r>
      <t>M</t>
    </r>
    <r>
      <rPr>
        <vertAlign val="subscript"/>
        <sz val="11"/>
        <color theme="1"/>
        <rFont val="Calibri"/>
        <family val="2"/>
        <scheme val="minor"/>
      </rPr>
      <t>KA</t>
    </r>
    <r>
      <rPr>
        <sz val="11"/>
        <color theme="1"/>
        <rFont val="Calibri"/>
        <family val="2"/>
        <scheme val="minor"/>
      </rPr>
      <t xml:space="preserve"> = (M</t>
    </r>
    <r>
      <rPr>
        <vertAlign val="subscript"/>
        <sz val="11"/>
        <color theme="1"/>
        <rFont val="Calibri"/>
        <family val="2"/>
        <scheme val="minor"/>
      </rPr>
      <t>P1</t>
    </r>
    <r>
      <rPr>
        <sz val="11"/>
        <color theme="1"/>
        <rFont val="Calibri"/>
        <family val="2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P2</t>
    </r>
    <r>
      <rPr>
        <sz val="11"/>
        <color theme="1"/>
        <rFont val="Calibri"/>
        <family val="2"/>
        <scheme val="minor"/>
      </rPr>
      <t>) * (L - 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 =</t>
    </r>
  </si>
  <si>
    <t>D.3.</t>
  </si>
  <si>
    <t>AKIBAT TEKANAN TANAH SEISMIK</t>
  </si>
  <si>
    <t>Percepatan puncak batuan dasar/PGA,</t>
  </si>
  <si>
    <t>PGA =</t>
  </si>
  <si>
    <t>g</t>
  </si>
  <si>
    <t>Faktor amplifikasi getaran periode 0 detik,</t>
  </si>
  <si>
    <r>
      <t>F</t>
    </r>
    <r>
      <rPr>
        <vertAlign val="subscript"/>
        <sz val="11"/>
        <color theme="1"/>
        <rFont val="Calibri"/>
        <family val="2"/>
        <scheme val="minor"/>
      </rPr>
      <t>PGA</t>
    </r>
    <r>
      <rPr>
        <sz val="11"/>
        <color theme="1"/>
        <rFont val="Calibri"/>
        <family val="2"/>
        <scheme val="minor"/>
      </rPr>
      <t xml:space="preserve"> =</t>
    </r>
  </si>
  <si>
    <t>Percepatan puncak di permukaan</t>
  </si>
  <si>
    <r>
      <t>A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 F</t>
    </r>
    <r>
      <rPr>
        <vertAlign val="subscript"/>
        <sz val="11"/>
        <color theme="1"/>
        <rFont val="Calibri"/>
        <family val="2"/>
        <scheme val="minor"/>
      </rPr>
      <t>PGA</t>
    </r>
    <r>
      <rPr>
        <sz val="11"/>
        <color theme="1"/>
        <rFont val="Calibri"/>
        <family val="2"/>
        <scheme val="minor"/>
      </rPr>
      <t xml:space="preserve"> * PGA =</t>
    </r>
  </si>
  <si>
    <t>Koefisien percepatan horizontal,</t>
  </si>
  <si>
    <r>
      <t>K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 0,5 * A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</si>
  <si>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Calibri"/>
        <family val="2"/>
      </rPr>
      <t>ϴ</t>
    </r>
    <r>
      <rPr>
        <sz val="11"/>
        <color theme="1"/>
        <rFont val="Calibri"/>
        <family val="2"/>
        <scheme val="minor"/>
      </rPr>
      <t xml:space="preserve"> = tan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 xml:space="preserve"> (K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 xml:space="preserve"> =</t>
    </r>
  </si>
  <si>
    <t>koefisien tekanan aktif seismik,</t>
  </si>
  <si>
    <r>
      <t>K</t>
    </r>
    <r>
      <rPr>
        <vertAlign val="subscript"/>
        <sz val="11"/>
        <color theme="1"/>
        <rFont val="Calibri"/>
        <family val="2"/>
        <scheme val="minor"/>
      </rPr>
      <t>AE</t>
    </r>
    <r>
      <rPr>
        <sz val="11"/>
        <color theme="1"/>
        <rFont val="Calibri"/>
        <family val="2"/>
        <scheme val="minor"/>
      </rPr>
      <t xml:space="preserve"> =  cos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 </t>
    </r>
    <r>
      <rPr>
        <sz val="11"/>
        <color theme="1"/>
        <rFont val="Calibri"/>
        <family val="2"/>
      </rPr>
      <t>φ</t>
    </r>
    <r>
      <rPr>
        <sz val="11"/>
        <color theme="1"/>
        <rFont val="Calibri"/>
        <family val="2"/>
        <charset val="1"/>
      </rPr>
      <t xml:space="preserve"> - </t>
    </r>
    <r>
      <rPr>
        <sz val="11"/>
        <color theme="1"/>
        <rFont val="Calibri"/>
        <family val="2"/>
      </rPr>
      <t>ϴ</t>
    </r>
    <r>
      <rPr>
        <sz val="11"/>
        <color theme="1"/>
        <rFont val="Calibri"/>
        <family val="2"/>
        <charset val="1"/>
      </rPr>
      <t xml:space="preserve"> ) /  cos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  <charset val="1"/>
      </rPr>
      <t xml:space="preserve"> ( ϴ ) * { 1 + </t>
    </r>
    <r>
      <rPr>
        <sz val="11"/>
        <color theme="1"/>
        <rFont val="Calibri"/>
        <family val="2"/>
      </rPr>
      <t xml:space="preserve">√ </t>
    </r>
    <r>
      <rPr>
        <sz val="11"/>
        <color theme="1"/>
        <rFont val="Calibri"/>
        <family val="2"/>
        <charset val="1"/>
      </rPr>
      <t xml:space="preserve">( sin </t>
    </r>
    <r>
      <rPr>
        <sz val="11"/>
        <color theme="1"/>
        <rFont val="Calibri"/>
        <family val="2"/>
      </rPr>
      <t>φ * sin (φ</t>
    </r>
    <r>
      <rPr>
        <sz val="11"/>
        <color theme="1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</rPr>
      <t>ϴ</t>
    </r>
    <r>
      <rPr>
        <sz val="11"/>
        <color theme="1"/>
        <rFont val="Calibri"/>
        <family val="2"/>
        <charset val="1"/>
      </rPr>
      <t xml:space="preserve">) / cos </t>
    </r>
    <r>
      <rPr>
        <sz val="11"/>
        <color theme="1"/>
        <rFont val="Calibri"/>
        <family val="2"/>
      </rPr>
      <t xml:space="preserve">ϴ </t>
    </r>
    <r>
      <rPr>
        <sz val="11"/>
        <color theme="1"/>
        <rFont val="Calibri"/>
        <family val="2"/>
        <charset val="1"/>
      </rPr>
      <t>)}</t>
    </r>
    <r>
      <rPr>
        <vertAlign val="superscript"/>
        <sz val="11"/>
        <color theme="1"/>
        <rFont val="Calibri"/>
        <family val="2"/>
      </rPr>
      <t>-2</t>
    </r>
    <r>
      <rPr>
        <sz val="11"/>
        <color theme="1"/>
        <rFont val="Calibri"/>
        <family val="2"/>
        <charset val="1"/>
      </rPr>
      <t xml:space="preserve"> =</t>
    </r>
  </si>
  <si>
    <r>
      <t>Selisih koef. K</t>
    </r>
    <r>
      <rPr>
        <vertAlign val="subscript"/>
        <sz val="11"/>
        <color theme="1"/>
        <rFont val="Calibri"/>
        <family val="2"/>
        <scheme val="minor"/>
      </rPr>
      <t>AE</t>
    </r>
    <r>
      <rPr>
        <sz val="11"/>
        <color theme="1"/>
        <rFont val="Calibri"/>
        <family val="2"/>
        <scheme val="minor"/>
      </rPr>
      <t xml:space="preserve"> &amp; K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,</t>
    </r>
  </si>
  <si>
    <r>
      <t>Δ</t>
    </r>
    <r>
      <rPr>
        <sz val="11"/>
        <color theme="1"/>
        <rFont val="Calibri"/>
        <family val="2"/>
        <charset val="1"/>
      </rPr>
      <t>K</t>
    </r>
    <r>
      <rPr>
        <vertAlign val="subscript"/>
        <sz val="11"/>
        <color theme="1"/>
        <rFont val="Calibri"/>
        <family val="2"/>
      </rPr>
      <t>AE</t>
    </r>
    <r>
      <rPr>
        <sz val="11"/>
        <color theme="1"/>
        <rFont val="Calibri"/>
        <family val="2"/>
        <charset val="1"/>
      </rPr>
      <t xml:space="preserve"> = K</t>
    </r>
    <r>
      <rPr>
        <vertAlign val="subscript"/>
        <sz val="11"/>
        <color theme="1"/>
        <rFont val="Calibri"/>
        <family val="2"/>
      </rPr>
      <t>AE</t>
    </r>
    <r>
      <rPr>
        <sz val="11"/>
        <color theme="1"/>
        <rFont val="Calibri"/>
        <family val="2"/>
        <charset val="1"/>
      </rPr>
      <t xml:space="preserve"> - K</t>
    </r>
    <r>
      <rPr>
        <vertAlign val="subscript"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  <charset val="1"/>
      </rPr>
      <t xml:space="preserve"> =</t>
    </r>
  </si>
  <si>
    <t>Tekanan tanah seismik di bagian atas struktur,</t>
  </si>
  <si>
    <r>
      <t>Q</t>
    </r>
    <r>
      <rPr>
        <vertAlign val="subscript"/>
        <sz val="11"/>
        <color theme="1"/>
        <rFont val="Calibri"/>
        <family val="2"/>
        <scheme val="minor"/>
      </rPr>
      <t>SEIS</t>
    </r>
    <r>
      <rPr>
        <sz val="11"/>
        <color theme="1"/>
        <rFont val="Calibri"/>
        <family val="2"/>
        <scheme val="minor"/>
      </rPr>
      <t xml:space="preserve"> = W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* H * 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K</t>
    </r>
    <r>
      <rPr>
        <vertAlign val="subscript"/>
        <sz val="11"/>
        <color theme="1"/>
        <rFont val="Calibri"/>
        <family val="2"/>
        <scheme val="minor"/>
      </rPr>
      <t>AE</t>
    </r>
    <r>
      <rPr>
        <sz val="11"/>
        <color theme="1"/>
        <rFont val="Calibri"/>
        <family val="2"/>
        <scheme val="minor"/>
      </rPr>
      <t xml:space="preserve"> =</t>
    </r>
  </si>
  <si>
    <t>A.5.</t>
  </si>
  <si>
    <t>DATA SEISMIK LOKASI PROYEK</t>
  </si>
  <si>
    <t>kN/m/m</t>
  </si>
  <si>
    <t>Besar gaya geser pada titik X,</t>
  </si>
  <si>
    <t>Besar momen pada titik X,</t>
  </si>
  <si>
    <r>
      <t>P</t>
    </r>
    <r>
      <rPr>
        <vertAlign val="subscript"/>
        <sz val="11"/>
        <color theme="1"/>
        <rFont val="Calibri"/>
        <family val="2"/>
        <scheme val="minor"/>
      </rPr>
      <t>KAE</t>
    </r>
    <r>
      <rPr>
        <sz val="11"/>
        <color theme="1"/>
        <rFont val="Calibri"/>
        <family val="2"/>
        <scheme val="minor"/>
      </rPr>
      <t xml:space="preserve"> = 0,5 * H * Q</t>
    </r>
    <r>
      <rPr>
        <vertAlign val="subscript"/>
        <sz val="11"/>
        <color theme="1"/>
        <rFont val="Calibri"/>
        <family val="2"/>
        <scheme val="minor"/>
      </rPr>
      <t>seis</t>
    </r>
    <r>
      <rPr>
        <sz val="11"/>
        <color theme="1"/>
        <rFont val="Calibri"/>
        <family val="2"/>
        <scheme val="minor"/>
      </rPr>
      <t xml:space="preserve"> * (L - 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 =</t>
    </r>
  </si>
  <si>
    <t>Berat jenis beton bertulang,</t>
  </si>
  <si>
    <t>Berat volume tanah timbunan,</t>
  </si>
  <si>
    <r>
      <t>M</t>
    </r>
    <r>
      <rPr>
        <vertAlign val="subscript"/>
        <sz val="11"/>
        <color theme="1"/>
        <rFont val="Calibri"/>
        <family val="2"/>
        <scheme val="minor"/>
      </rPr>
      <t>KA</t>
    </r>
    <r>
      <rPr>
        <sz val="11"/>
        <color theme="1"/>
        <rFont val="Calibri"/>
        <family val="2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KAE</t>
    </r>
    <r>
      <rPr>
        <sz val="11"/>
        <color theme="1"/>
        <rFont val="Calibri"/>
        <family val="2"/>
        <scheme val="minor"/>
      </rPr>
      <t xml:space="preserve"> * 2/3 * H =</t>
    </r>
  </si>
  <si>
    <t>D.4.</t>
  </si>
  <si>
    <t>AKIBAT BEBAN GEMPA</t>
  </si>
  <si>
    <t>Koefisien respon gempa elastik pada detik ke 0,</t>
  </si>
  <si>
    <t>Berat Seismik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</si>
  <si>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MS</t>
    </r>
    <r>
      <rPr>
        <b/>
        <sz val="11"/>
        <color theme="1"/>
        <rFont val="Calibri"/>
        <family val="2"/>
        <scheme val="minor"/>
      </rPr>
      <t xml:space="preserve"> =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</si>
  <si>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MS</t>
    </r>
    <r>
      <rPr>
        <b/>
        <sz val="11"/>
        <color theme="1"/>
        <rFont val="Calibri"/>
        <family val="2"/>
        <scheme val="minor"/>
      </rPr>
      <t xml:space="preserve"> =</t>
    </r>
  </si>
  <si>
    <t>R =</t>
  </si>
  <si>
    <t>Faktor modifikasi gempa untuk pilecap,</t>
  </si>
  <si>
    <t>tanda untuk momen</t>
  </si>
  <si>
    <t>Keterangan</t>
  </si>
  <si>
    <t>V</t>
  </si>
  <si>
    <r>
      <t>H</t>
    </r>
    <r>
      <rPr>
        <b/>
        <vertAlign val="subscript"/>
        <sz val="11"/>
        <rFont val="Calibri Light"/>
        <family val="2"/>
        <scheme val="major"/>
      </rPr>
      <t>X</t>
    </r>
    <r>
      <rPr>
        <b/>
        <sz val="11"/>
        <rFont val="Calibri Light"/>
        <family val="2"/>
        <scheme val="major"/>
      </rPr>
      <t xml:space="preserve"> </t>
    </r>
  </si>
  <si>
    <r>
      <t>H</t>
    </r>
    <r>
      <rPr>
        <b/>
        <vertAlign val="subscript"/>
        <sz val="11"/>
        <rFont val="Calibri Light"/>
        <family val="2"/>
        <scheme val="major"/>
      </rPr>
      <t>Y</t>
    </r>
  </si>
  <si>
    <t>Beban Mati Struktur (MS)</t>
  </si>
  <si>
    <t>Beban Mati Tambahan (MA)</t>
  </si>
  <si>
    <t>Beban Lajur D (TD)</t>
  </si>
  <si>
    <t>Beban Lajur Truk (TT)</t>
  </si>
  <si>
    <t>Beban Lajur Rem (TB)</t>
  </si>
  <si>
    <t>Beban Pedestarian (TP)</t>
  </si>
  <si>
    <t>Beban Angin Kendaraan (EWL)</t>
  </si>
  <si>
    <t>Beban Angin Struktur (EWS)</t>
  </si>
  <si>
    <t>Koefisien respon gempa bangunan atas arah X,</t>
  </si>
  <si>
    <r>
      <t>Csm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=</t>
    </r>
  </si>
  <si>
    <t>D.5.</t>
  </si>
  <si>
    <t>REKAPITULASI BEBAN DAN MOMEN PADA TITIK X</t>
  </si>
  <si>
    <t>Tinggi titik beban bangunan atas,</t>
  </si>
  <si>
    <t>Eksentrisitas PU dengan titik X,</t>
  </si>
  <si>
    <t>e =</t>
  </si>
  <si>
    <t>BANGUNAN ATAS</t>
  </si>
  <si>
    <t>Beban Gempa Arah X</t>
  </si>
  <si>
    <t>Beban Gempa Arah Y</t>
  </si>
  <si>
    <t>Berat total struktur dengan beban hidup,</t>
  </si>
  <si>
    <r>
      <t>W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 xml:space="preserve"> = 1,0 * (W</t>
    </r>
    <r>
      <rPr>
        <vertAlign val="subscript"/>
        <sz val="11"/>
        <color theme="1"/>
        <rFont val="Calibri"/>
        <family val="2"/>
        <scheme val="minor"/>
      </rPr>
      <t>MS</t>
    </r>
    <r>
      <rPr>
        <sz val="11"/>
        <rFont val="Calibri"/>
        <family val="2"/>
        <scheme val="minor"/>
      </rPr>
      <t xml:space="preserve"> + W</t>
    </r>
    <r>
      <rPr>
        <vertAlign val="subscript"/>
        <sz val="11"/>
        <color theme="1"/>
        <rFont val="Calibri"/>
        <family val="2"/>
        <scheme val="minor"/>
      </rPr>
      <t>MA)</t>
    </r>
    <r>
      <rPr>
        <sz val="11"/>
        <rFont val="Calibri"/>
        <family val="2"/>
        <scheme val="minor"/>
      </rPr>
      <t xml:space="preserve"> + 0,3 * (W</t>
    </r>
    <r>
      <rPr>
        <vertAlign val="subscript"/>
        <sz val="11"/>
        <color theme="1"/>
        <rFont val="Calibri"/>
        <family val="2"/>
        <scheme val="minor"/>
      </rPr>
      <t>PD</t>
    </r>
    <r>
      <rPr>
        <sz val="11"/>
        <rFont val="Calibri"/>
        <family val="2"/>
        <scheme val="minor"/>
      </rPr>
      <t xml:space="preserve"> + W</t>
    </r>
    <r>
      <rPr>
        <vertAlign val="subscript"/>
        <sz val="11"/>
        <color theme="1"/>
        <rFont val="Calibri"/>
        <family val="2"/>
        <scheme val="minor"/>
      </rPr>
      <t>PP</t>
    </r>
    <r>
      <rPr>
        <sz val="11"/>
        <color theme="1"/>
        <rFont val="Calibri"/>
        <family val="2"/>
        <scheme val="minor"/>
      </rPr>
      <t>)</t>
    </r>
    <r>
      <rPr>
        <sz val="11"/>
        <rFont val="Calibri"/>
        <family val="2"/>
        <scheme val="minor"/>
      </rPr>
      <t xml:space="preserve"> =</t>
    </r>
  </si>
  <si>
    <t>BANGUNAN BAWAH</t>
  </si>
  <si>
    <r>
      <t>M</t>
    </r>
    <r>
      <rPr>
        <b/>
        <vertAlign val="subscript"/>
        <sz val="11"/>
        <rFont val="Calibri Light"/>
        <family val="2"/>
        <scheme val="major"/>
      </rPr>
      <t>X</t>
    </r>
    <r>
      <rPr>
        <b/>
        <sz val="11"/>
        <rFont val="Calibri Light"/>
        <family val="2"/>
        <scheme val="major"/>
      </rPr>
      <t xml:space="preserve"> </t>
    </r>
  </si>
  <si>
    <r>
      <t>M</t>
    </r>
    <r>
      <rPr>
        <b/>
        <vertAlign val="subscript"/>
        <sz val="11"/>
        <rFont val="Calibri Light"/>
        <family val="2"/>
        <scheme val="major"/>
      </rPr>
      <t>Y</t>
    </r>
  </si>
  <si>
    <t>Tekanan Tanah Aktif</t>
  </si>
  <si>
    <t>Tekanan Tanah Seismik</t>
  </si>
  <si>
    <t>REKAPITULASI KOMBINASI PEMBEBANAN</t>
  </si>
  <si>
    <t>Kombanasi Layan 1</t>
  </si>
  <si>
    <t>Kombinasi Ekstrim 1 (X)</t>
  </si>
  <si>
    <t>Kombinasi Ekstrim 1 (Y)</t>
  </si>
  <si>
    <t>Kuat 1</t>
  </si>
  <si>
    <t>Kuat 2</t>
  </si>
  <si>
    <t>Kuat 3</t>
  </si>
  <si>
    <t>Kuat 4</t>
  </si>
  <si>
    <t>Kuat 5</t>
  </si>
  <si>
    <t>D.6.</t>
  </si>
  <si>
    <r>
      <t>P</t>
    </r>
    <r>
      <rPr>
        <b/>
        <vertAlign val="subscript"/>
        <sz val="11"/>
        <rFont val="Calibri Light"/>
        <family val="2"/>
        <scheme val="major"/>
      </rPr>
      <t>u</t>
    </r>
  </si>
  <si>
    <t>DATA DIMENSI FONDASI PILECAP</t>
  </si>
  <si>
    <t>Tebal air di atas pilecap,</t>
  </si>
  <si>
    <r>
      <t>z</t>
    </r>
    <r>
      <rPr>
        <vertAlign val="subscript"/>
        <sz val="11"/>
        <rFont val="Calibri"/>
        <family val="2"/>
        <scheme val="minor"/>
      </rPr>
      <t>w</t>
    </r>
    <r>
      <rPr>
        <sz val="11"/>
        <rFont val="Calibri"/>
        <family val="2"/>
        <scheme val="minor"/>
      </rPr>
      <t xml:space="preserve"> =</t>
    </r>
  </si>
  <si>
    <t>Tebal bersih selimut beton,</t>
  </si>
  <si>
    <r>
      <t>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</si>
  <si>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DATA DIMENSI TIANG FONDASI DALAM</t>
  </si>
  <si>
    <t>Diameter tiang fondasi dalam pakai,</t>
  </si>
  <si>
    <t>Elevasi dasar pilecap dari muka tanah,</t>
  </si>
  <si>
    <t>Elv =</t>
  </si>
  <si>
    <t>m dari muka tanah</t>
  </si>
  <si>
    <t>Elevasi dasar tiang fondasi dalam dari muka tanah,</t>
  </si>
  <si>
    <t>Nilai N rata dari 8D ke atas dan ke bawah dasar pilecap,</t>
  </si>
  <si>
    <t>N =</t>
  </si>
  <si>
    <t>Nilai N rata dari 8D ke atas dan ke bawah dasar tiang,</t>
  </si>
  <si>
    <t>Jarak tiang fondasi dalam tepi terhadap sisi luar beton,</t>
  </si>
  <si>
    <r>
      <rPr>
        <sz val="11"/>
        <rFont val="Calibri"/>
        <family val="2"/>
      </rPr>
      <t>α</t>
    </r>
    <r>
      <rPr>
        <sz val="11"/>
        <rFont val="Calibri"/>
        <family val="2"/>
        <scheme val="minor"/>
      </rPr>
      <t xml:space="preserve"> =</t>
    </r>
  </si>
  <si>
    <t>Jumlah baris tiang fondasi dalam,</t>
  </si>
  <si>
    <t>a =</t>
  </si>
  <si>
    <t>Jumlah kolom tiang fondasi dalam,</t>
  </si>
  <si>
    <t>b =</t>
  </si>
  <si>
    <t>Jarak antar tiang fondasi dalam,</t>
  </si>
  <si>
    <t>s =</t>
  </si>
  <si>
    <t>A.6.</t>
  </si>
  <si>
    <t>Tahanan ultimit ujung tiang fondasi dalam,</t>
  </si>
  <si>
    <r>
      <t>Q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</t>
    </r>
  </si>
  <si>
    <t>Tahanan ultimit friksi tiang fondasi dalam,</t>
  </si>
  <si>
    <r>
      <t>Q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</si>
  <si>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SF =</t>
  </si>
  <si>
    <t>DATA DIMENSI FONDASI</t>
  </si>
  <si>
    <t>Tebal pilecap,</t>
  </si>
  <si>
    <t>h =</t>
  </si>
  <si>
    <t>Kedalaman air di atas pilecap,</t>
  </si>
  <si>
    <r>
      <t>w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 =</t>
    </r>
  </si>
  <si>
    <t>Berat jenis tanah di atas pilecap,</t>
  </si>
  <si>
    <t>Berat jenis air,</t>
  </si>
  <si>
    <t>DATA  BEBAN FONDASI</t>
  </si>
  <si>
    <t>LAYAN 1</t>
  </si>
  <si>
    <t>MAX</t>
  </si>
  <si>
    <t>Gaya aksial kolom akibat kombinasi beban Layan 1,</t>
  </si>
  <si>
    <r>
      <t>P</t>
    </r>
    <r>
      <rPr>
        <vertAlign val="subscript"/>
        <sz val="11"/>
        <rFont val="Calibri"/>
        <family val="2"/>
        <scheme val="minor"/>
      </rPr>
      <t>uk-1</t>
    </r>
    <r>
      <rPr>
        <sz val="11"/>
        <rFont val="Calibri"/>
        <family val="2"/>
        <scheme val="minor"/>
      </rPr>
      <t xml:space="preserve"> =</t>
    </r>
  </si>
  <si>
    <t>Momen arah x akibat kombinasi beban Layan 1,</t>
  </si>
  <si>
    <r>
      <t>M</t>
    </r>
    <r>
      <rPr>
        <vertAlign val="subscript"/>
        <sz val="11"/>
        <rFont val="Calibri"/>
        <family val="2"/>
        <scheme val="minor"/>
      </rPr>
      <t>ux-1</t>
    </r>
    <r>
      <rPr>
        <sz val="11"/>
        <rFont val="Calibri"/>
        <family val="2"/>
        <scheme val="minor"/>
      </rPr>
      <t xml:space="preserve"> =</t>
    </r>
  </si>
  <si>
    <t>Momen arah y akibat kombinasi beban Layan 1,</t>
  </si>
  <si>
    <r>
      <t>M</t>
    </r>
    <r>
      <rPr>
        <vertAlign val="subscript"/>
        <sz val="11"/>
        <rFont val="Calibri"/>
        <family val="2"/>
        <scheme val="minor"/>
      </rPr>
      <t>uy-1</t>
    </r>
    <r>
      <rPr>
        <sz val="11"/>
        <rFont val="Calibri"/>
        <family val="2"/>
        <scheme val="minor"/>
      </rPr>
      <t xml:space="preserve"> =</t>
    </r>
  </si>
  <si>
    <t>Gaya aksial kolom akibat kombinasi beban Ekstrim X,</t>
  </si>
  <si>
    <r>
      <t>P</t>
    </r>
    <r>
      <rPr>
        <vertAlign val="subscript"/>
        <sz val="11"/>
        <rFont val="Calibri"/>
        <family val="2"/>
        <scheme val="minor"/>
      </rPr>
      <t>uk-x</t>
    </r>
    <r>
      <rPr>
        <sz val="11"/>
        <rFont val="Calibri"/>
        <family val="2"/>
        <scheme val="minor"/>
      </rPr>
      <t xml:space="preserve"> =</t>
    </r>
  </si>
  <si>
    <t>Momen arah x akibat kombinasi beban Ekstrim X,</t>
  </si>
  <si>
    <r>
      <t>M</t>
    </r>
    <r>
      <rPr>
        <vertAlign val="subscript"/>
        <sz val="11"/>
        <rFont val="Calibri"/>
        <family val="2"/>
        <scheme val="minor"/>
      </rPr>
      <t>ux-x</t>
    </r>
    <r>
      <rPr>
        <sz val="11"/>
        <rFont val="Calibri"/>
        <family val="2"/>
        <scheme val="minor"/>
      </rPr>
      <t xml:space="preserve"> =</t>
    </r>
  </si>
  <si>
    <t>Momen arah y akibat kombinasi beban Ekstrim X,</t>
  </si>
  <si>
    <r>
      <t>M</t>
    </r>
    <r>
      <rPr>
        <vertAlign val="subscript"/>
        <sz val="11"/>
        <rFont val="Calibri"/>
        <family val="2"/>
        <scheme val="minor"/>
      </rPr>
      <t>uy-x</t>
    </r>
    <r>
      <rPr>
        <sz val="11"/>
        <rFont val="Calibri"/>
        <family val="2"/>
        <scheme val="minor"/>
      </rPr>
      <t xml:space="preserve"> =</t>
    </r>
  </si>
  <si>
    <t>Gaya aksial kolom akibat kombinasi beban Ekstrim Y,</t>
  </si>
  <si>
    <r>
      <t>P</t>
    </r>
    <r>
      <rPr>
        <vertAlign val="subscript"/>
        <sz val="11"/>
        <rFont val="Calibri"/>
        <family val="2"/>
        <scheme val="minor"/>
      </rPr>
      <t>uk-y</t>
    </r>
    <r>
      <rPr>
        <sz val="11"/>
        <rFont val="Calibri"/>
        <family val="2"/>
        <scheme val="minor"/>
      </rPr>
      <t xml:space="preserve"> =</t>
    </r>
  </si>
  <si>
    <t>Momen arah x akibat kombinasi beban Ekstrim Y,</t>
  </si>
  <si>
    <r>
      <t>M</t>
    </r>
    <r>
      <rPr>
        <vertAlign val="subscript"/>
        <sz val="11"/>
        <rFont val="Calibri"/>
        <family val="2"/>
        <scheme val="minor"/>
      </rPr>
      <t>ux-y</t>
    </r>
    <r>
      <rPr>
        <sz val="11"/>
        <rFont val="Calibri"/>
        <family val="2"/>
        <scheme val="minor"/>
      </rPr>
      <t xml:space="preserve"> =</t>
    </r>
  </si>
  <si>
    <t>Momen arah y akibat kombinasi beban Ekstrim Y,</t>
  </si>
  <si>
    <r>
      <t>M</t>
    </r>
    <r>
      <rPr>
        <vertAlign val="subscript"/>
        <sz val="11"/>
        <rFont val="Calibri"/>
        <family val="2"/>
        <scheme val="minor"/>
      </rPr>
      <t>uy-y</t>
    </r>
    <r>
      <rPr>
        <sz val="11"/>
        <rFont val="Calibri"/>
        <family val="2"/>
        <scheme val="minor"/>
      </rPr>
      <t xml:space="preserve"> =</t>
    </r>
  </si>
  <si>
    <t>Panjang tiang fondasi dalam,</t>
  </si>
  <si>
    <t>DATA  SUSUNAN tiang fondasi dalam</t>
  </si>
  <si>
    <t>( BARIS )</t>
  </si>
  <si>
    <t>( KOLOM )</t>
  </si>
  <si>
    <t>Susunan tiang fondasi dalam searah y :            (Memanjang Jembatan)</t>
  </si>
  <si>
    <t>Susunan tiang fondasi dalam searah x :        (Melintang Jembatan)</t>
  </si>
  <si>
    <t>Jumlah</t>
  </si>
  <si>
    <t>y</t>
  </si>
  <si>
    <r>
      <t>n * y</t>
    </r>
    <r>
      <rPr>
        <b/>
        <vertAlign val="superscript"/>
        <sz val="11"/>
        <rFont val="Calibri"/>
        <family val="2"/>
        <scheme val="minor"/>
      </rPr>
      <t>2</t>
    </r>
  </si>
  <si>
    <t>x</t>
  </si>
  <si>
    <r>
      <t>n * x</t>
    </r>
    <r>
      <rPr>
        <b/>
        <vertAlign val="superscript"/>
        <sz val="11"/>
        <rFont val="Calibri"/>
        <family val="2"/>
        <scheme val="minor"/>
      </rPr>
      <t>2</t>
    </r>
  </si>
  <si>
    <t>MAKS</t>
  </si>
  <si>
    <t>n</t>
  </si>
  <si>
    <r>
      <t>(m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)</t>
    </r>
  </si>
  <si>
    <t>Y =</t>
  </si>
  <si>
    <t>n =</t>
  </si>
  <si>
    <r>
      <rPr>
        <sz val="11"/>
        <rFont val="Calibri"/>
        <family val="2"/>
      </rPr>
      <t>∑</t>
    </r>
    <r>
      <rPr>
        <sz val="11"/>
        <rFont val="Calibri"/>
        <family val="2"/>
        <scheme val="minor"/>
      </rPr>
      <t xml:space="preserve"> y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</si>
  <si>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r>
      <rPr>
        <sz val="11"/>
        <rFont val="Calibri"/>
        <family val="2"/>
      </rPr>
      <t>∑</t>
    </r>
    <r>
      <rPr>
        <sz val="11"/>
        <rFont val="Calibri"/>
        <family val="2"/>
        <scheme val="minor"/>
      </rPr>
      <t xml:space="preserve"> x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</si>
  <si>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t>Lebar pilecap searah x,</t>
  </si>
  <si>
    <r>
      <t>L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=</t>
    </r>
  </si>
  <si>
    <t>Lebar pilecap searah y,</t>
  </si>
  <si>
    <r>
      <t>L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=</t>
    </r>
  </si>
  <si>
    <t>Syarat jarak tiang (jarak antar As):</t>
  </si>
  <si>
    <t xml:space="preserve">2,5 * D </t>
  </si>
  <si>
    <t xml:space="preserve">&lt;    s    &lt; </t>
  </si>
  <si>
    <t>4,0 * D</t>
  </si>
  <si>
    <t>KET :</t>
  </si>
  <si>
    <t xml:space="preserve">a    &gt; </t>
  </si>
  <si>
    <t>1,25D</t>
  </si>
  <si>
    <t>Berat tiang fondasi dalam,</t>
  </si>
  <si>
    <t>Total gaya aksial terfaktor,</t>
  </si>
  <si>
    <r>
      <t>P</t>
    </r>
    <r>
      <rPr>
        <vertAlign val="subscript"/>
        <sz val="11"/>
        <rFont val="Calibri"/>
        <family val="2"/>
        <scheme val="minor"/>
      </rPr>
      <t>u-1</t>
    </r>
    <r>
      <rPr>
        <sz val="1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</si>
  <si>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rFont val="Calibri"/>
        <family val="2"/>
        <scheme val="minor"/>
      </rPr>
      <t>u-X</t>
    </r>
    <r>
      <rPr>
        <sz val="1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</si>
  <si>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rFont val="Calibri"/>
        <family val="2"/>
        <scheme val="minor"/>
      </rPr>
      <t>u-Y</t>
    </r>
    <r>
      <rPr>
        <sz val="11"/>
        <rFont val="Calibri"/>
        <family val="2"/>
        <scheme val="minor"/>
      </rPr>
      <t xml:space="preserve"> =</t>
    </r>
  </si>
  <si>
    <t>Lengan maksimum tiang fondasi dalam searah x thd. pusat,</t>
  </si>
  <si>
    <r>
      <t>x</t>
    </r>
    <r>
      <rPr>
        <vertAlign val="subscript"/>
        <sz val="11"/>
        <rFont val="Calibri"/>
        <family val="2"/>
        <scheme val="minor"/>
      </rPr>
      <t>max</t>
    </r>
    <r>
      <rPr>
        <sz val="11"/>
        <rFont val="Calibri"/>
        <family val="2"/>
        <scheme val="minor"/>
      </rPr>
      <t xml:space="preserve"> =</t>
    </r>
  </si>
  <si>
    <t>Lengan maksimum tiang fondasi dalam searah y thd. pusat,</t>
  </si>
  <si>
    <r>
      <t>y</t>
    </r>
    <r>
      <rPr>
        <vertAlign val="subscript"/>
        <sz val="11"/>
        <rFont val="Calibri"/>
        <family val="2"/>
        <scheme val="minor"/>
      </rPr>
      <t>max</t>
    </r>
    <r>
      <rPr>
        <sz val="11"/>
        <rFont val="Calibri"/>
        <family val="2"/>
        <scheme val="minor"/>
      </rPr>
      <t xml:space="preserve"> =</t>
    </r>
  </si>
  <si>
    <t>Lengan minimum tiang fondasi dalam searah x thd. pusat,</t>
  </si>
  <si>
    <r>
      <t>x</t>
    </r>
    <r>
      <rPr>
        <vertAlign val="subscript"/>
        <sz val="11"/>
        <rFont val="Calibri"/>
        <family val="2"/>
        <scheme val="minor"/>
      </rPr>
      <t>min</t>
    </r>
    <r>
      <rPr>
        <sz val="11"/>
        <rFont val="Calibri"/>
        <family val="2"/>
        <scheme val="minor"/>
      </rPr>
      <t xml:space="preserve"> =</t>
    </r>
  </si>
  <si>
    <t>Lengan minimum tiang fondasi dalam searah y thd. pusat,</t>
  </si>
  <si>
    <r>
      <t>y</t>
    </r>
    <r>
      <rPr>
        <vertAlign val="subscript"/>
        <sz val="11"/>
        <rFont val="Calibri"/>
        <family val="2"/>
        <scheme val="minor"/>
      </rPr>
      <t>min</t>
    </r>
    <r>
      <rPr>
        <sz val="11"/>
        <rFont val="Calibri"/>
        <family val="2"/>
        <scheme val="minor"/>
      </rPr>
      <t xml:space="preserve"> =</t>
    </r>
  </si>
  <si>
    <t>Gaya aksial maksimum dan minimum pada tiang fondasi dalam,</t>
  </si>
  <si>
    <r>
      <t>p</t>
    </r>
    <r>
      <rPr>
        <vertAlign val="subscript"/>
        <sz val="11"/>
        <rFont val="Calibri"/>
        <family val="2"/>
        <scheme val="minor"/>
      </rPr>
      <t>umax</t>
    </r>
    <r>
      <rPr>
        <sz val="11"/>
        <rFont val="Calibri"/>
        <family val="2"/>
        <scheme val="minor"/>
      </rPr>
      <t xml:space="preserve">  =  P</t>
    </r>
    <r>
      <rPr>
        <vertAlign val="subscript"/>
        <sz val="11"/>
        <rFont val="Calibri"/>
        <family val="2"/>
        <scheme val="minor"/>
      </rPr>
      <t xml:space="preserve">u </t>
    </r>
    <r>
      <rPr>
        <sz val="11"/>
        <rFont val="Calibri"/>
        <family val="2"/>
        <scheme val="minor"/>
      </rPr>
      <t>/ n   +   M</t>
    </r>
    <r>
      <rPr>
        <vertAlign val="subscript"/>
        <sz val="11"/>
        <rFont val="Calibri"/>
        <family val="2"/>
        <scheme val="minor"/>
      </rPr>
      <t>ux</t>
    </r>
    <r>
      <rPr>
        <sz val="11"/>
        <rFont val="Calibri"/>
        <family val="2"/>
        <scheme val="minor"/>
      </rPr>
      <t>* y</t>
    </r>
    <r>
      <rPr>
        <vertAlign val="subscript"/>
        <sz val="11"/>
        <rFont val="Calibri"/>
        <family val="2"/>
        <scheme val="minor"/>
      </rPr>
      <t xml:space="preserve">max </t>
    </r>
    <r>
      <rPr>
        <sz val="11"/>
        <rFont val="Calibri"/>
        <family val="2"/>
        <scheme val="minor"/>
      </rPr>
      <t xml:space="preserve">/ </t>
    </r>
    <r>
      <rPr>
        <sz val="11"/>
        <rFont val="Calibri"/>
        <family val="2"/>
      </rPr>
      <t>∑</t>
    </r>
    <r>
      <rPr>
        <sz val="11"/>
        <rFont val="Calibri"/>
        <family val="2"/>
        <scheme val="minor"/>
      </rPr>
      <t>y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+  M</t>
    </r>
    <r>
      <rPr>
        <vertAlign val="subscript"/>
        <sz val="11"/>
        <rFont val="Calibri"/>
        <family val="2"/>
        <scheme val="minor"/>
      </rPr>
      <t>uy</t>
    </r>
    <r>
      <rPr>
        <sz val="11"/>
        <rFont val="Calibri"/>
        <family val="2"/>
        <scheme val="minor"/>
      </rPr>
      <t>* x</t>
    </r>
    <r>
      <rPr>
        <vertAlign val="subscript"/>
        <sz val="11"/>
        <rFont val="Calibri"/>
        <family val="2"/>
        <scheme val="minor"/>
      </rPr>
      <t xml:space="preserve">max </t>
    </r>
    <r>
      <rPr>
        <sz val="11"/>
        <rFont val="Calibri"/>
        <family val="2"/>
        <scheme val="minor"/>
      </rPr>
      <t xml:space="preserve">/ </t>
    </r>
    <r>
      <rPr>
        <sz val="11"/>
        <rFont val="Calibri"/>
        <family val="2"/>
      </rPr>
      <t>∑</t>
    </r>
    <r>
      <rPr>
        <sz val="11"/>
        <rFont val="Calibri"/>
        <family val="2"/>
        <scheme val="minor"/>
      </rPr>
      <t>x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</si>
  <si>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rFont val="Calibri"/>
        <family val="2"/>
        <scheme val="minor"/>
      </rPr>
      <t>umin</t>
    </r>
    <r>
      <rPr>
        <sz val="11"/>
        <rFont val="Calibri"/>
        <family val="2"/>
        <scheme val="minor"/>
      </rPr>
      <t xml:space="preserve">  =  P</t>
    </r>
    <r>
      <rPr>
        <vertAlign val="subscript"/>
        <sz val="11"/>
        <rFont val="Calibri"/>
        <family val="2"/>
        <scheme val="minor"/>
      </rPr>
      <t xml:space="preserve">u </t>
    </r>
    <r>
      <rPr>
        <sz val="11"/>
        <rFont val="Calibri"/>
        <family val="2"/>
        <scheme val="minor"/>
      </rPr>
      <t>/ n   +   M</t>
    </r>
    <r>
      <rPr>
        <vertAlign val="subscript"/>
        <sz val="11"/>
        <rFont val="Calibri"/>
        <family val="2"/>
        <scheme val="minor"/>
      </rPr>
      <t>ux</t>
    </r>
    <r>
      <rPr>
        <sz val="11"/>
        <rFont val="Calibri"/>
        <family val="2"/>
        <scheme val="minor"/>
      </rPr>
      <t>* y</t>
    </r>
    <r>
      <rPr>
        <vertAlign val="subscript"/>
        <sz val="11"/>
        <rFont val="Calibri"/>
        <family val="2"/>
        <scheme val="minor"/>
      </rPr>
      <t xml:space="preserve">min </t>
    </r>
    <r>
      <rPr>
        <sz val="11"/>
        <rFont val="Calibri"/>
        <family val="2"/>
        <scheme val="minor"/>
      </rPr>
      <t xml:space="preserve">/ </t>
    </r>
    <r>
      <rPr>
        <sz val="11"/>
        <rFont val="Calibri"/>
        <family val="2"/>
      </rPr>
      <t>∑</t>
    </r>
    <r>
      <rPr>
        <sz val="11"/>
        <rFont val="Calibri"/>
        <family val="2"/>
        <scheme val="minor"/>
      </rPr>
      <t>y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 +   M</t>
    </r>
    <r>
      <rPr>
        <vertAlign val="subscript"/>
        <sz val="11"/>
        <rFont val="Calibri"/>
        <family val="2"/>
        <scheme val="minor"/>
      </rPr>
      <t>uy</t>
    </r>
    <r>
      <rPr>
        <sz val="11"/>
        <rFont val="Calibri"/>
        <family val="2"/>
        <scheme val="minor"/>
      </rPr>
      <t>* x</t>
    </r>
    <r>
      <rPr>
        <vertAlign val="subscript"/>
        <sz val="11"/>
        <rFont val="Calibri"/>
        <family val="2"/>
        <scheme val="minor"/>
      </rPr>
      <t xml:space="preserve">min </t>
    </r>
    <r>
      <rPr>
        <sz val="11"/>
        <rFont val="Calibri"/>
        <family val="2"/>
        <scheme val="minor"/>
      </rPr>
      <t xml:space="preserve">/ </t>
    </r>
    <r>
      <rPr>
        <sz val="11"/>
        <rFont val="Calibri"/>
        <family val="2"/>
      </rPr>
      <t>∑</t>
    </r>
    <r>
      <rPr>
        <sz val="11"/>
        <rFont val="Calibri"/>
        <family val="2"/>
        <scheme val="minor"/>
      </rPr>
      <t>x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</si>
  <si>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t>Jumlah tiang dalam satu baris:</t>
  </si>
  <si>
    <t>tiang</t>
  </si>
  <si>
    <t>Jumlah tiang dalam satu kolom:</t>
  </si>
  <si>
    <r>
      <t xml:space="preserve">φ </t>
    </r>
    <r>
      <rPr>
        <sz val="11"/>
        <color theme="1"/>
        <rFont val="Calibri"/>
        <family val="2"/>
        <scheme val="minor"/>
      </rPr>
      <t>= arc tan ( D / s ) =</t>
    </r>
  </si>
  <si>
    <t>Faktor effisien tiang group:</t>
  </si>
  <si>
    <r>
      <t>C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 1 - φ / 90 * ( (a-1)*b + (b-1)*a ) / (a*b) =</t>
    </r>
  </si>
  <si>
    <r>
      <t>P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</si>
  <si>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ijin</t>
    </r>
    <r>
      <rPr>
        <sz val="11"/>
        <color theme="1"/>
        <rFont val="Calibri"/>
        <family val="2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*C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</si>
  <si>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group</t>
    </r>
    <r>
      <rPr>
        <sz val="11"/>
        <color theme="1"/>
        <rFont val="Calibri"/>
        <family val="2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ijin</t>
    </r>
    <r>
      <rPr>
        <sz val="11"/>
        <color theme="1"/>
        <rFont val="Calibri"/>
        <family val="2"/>
        <scheme val="minor"/>
      </rPr>
      <t xml:space="preserve"> * n =</t>
    </r>
  </si>
  <si>
    <t>Syarat :</t>
  </si>
  <si>
    <r>
      <t>p</t>
    </r>
    <r>
      <rPr>
        <vertAlign val="subscript"/>
        <sz val="11"/>
        <rFont val="Calibri"/>
        <family val="2"/>
        <scheme val="minor"/>
      </rPr>
      <t>u</t>
    </r>
  </si>
  <si>
    <t>≤</t>
  </si>
  <si>
    <r>
      <t>P</t>
    </r>
    <r>
      <rPr>
        <vertAlign val="subscript"/>
        <sz val="11"/>
        <rFont val="Calibri"/>
        <family val="2"/>
        <scheme val="minor"/>
      </rPr>
      <t>group</t>
    </r>
  </si>
  <si>
    <t>→</t>
  </si>
  <si>
    <r>
      <t>p</t>
    </r>
    <r>
      <rPr>
        <vertAlign val="subscript"/>
        <sz val="11"/>
        <rFont val="Calibri"/>
        <family val="2"/>
        <scheme val="minor"/>
      </rPr>
      <t>umin</t>
    </r>
  </si>
  <si>
    <t>&gt;</t>
  </si>
  <si>
    <t>- Qs / SF</t>
  </si>
  <si>
    <r>
      <t>p</t>
    </r>
    <r>
      <rPr>
        <vertAlign val="subscript"/>
        <sz val="11"/>
        <rFont val="Calibri"/>
        <family val="2"/>
        <scheme val="minor"/>
      </rPr>
      <t>umax</t>
    </r>
    <r>
      <rPr>
        <sz val="14"/>
        <rFont val="Arial"/>
        <family val="2"/>
      </rPr>
      <t/>
    </r>
  </si>
  <si>
    <r>
      <t>P</t>
    </r>
    <r>
      <rPr>
        <vertAlign val="subscript"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</t>
    </r>
  </si>
  <si>
    <r>
      <t>Q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 ( n * 0,25 * </t>
    </r>
    <r>
      <rPr>
        <sz val="11"/>
        <rFont val="Calibri"/>
        <family val="2"/>
      </rPr>
      <t>π * D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* L ) * wc </t>
    </r>
    <r>
      <rPr>
        <sz val="11"/>
        <rFont val="Calibri"/>
        <family val="2"/>
        <scheme val="minor"/>
      </rPr>
      <t>=</t>
    </r>
  </si>
  <si>
    <t>Berat air di atas pilecap,</t>
  </si>
  <si>
    <r>
      <t>Q</t>
    </r>
    <r>
      <rPr>
        <vertAlign val="subscript"/>
        <sz val="11"/>
        <rFont val="Calibri"/>
        <family val="2"/>
        <scheme val="minor"/>
      </rPr>
      <t>w</t>
    </r>
    <r>
      <rPr>
        <sz val="11"/>
        <rFont val="Calibri"/>
        <family val="2"/>
        <scheme val="minor"/>
      </rPr>
      <t xml:space="preserve"> = L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* L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</rPr>
      <t xml:space="preserve"> * w</t>
    </r>
    <r>
      <rPr>
        <vertAlign val="subscript"/>
        <sz val="11"/>
        <rFont val="Calibri"/>
        <family val="2"/>
      </rPr>
      <t>w</t>
    </r>
    <r>
      <rPr>
        <sz val="11"/>
        <rFont val="Calibri"/>
        <family val="2"/>
      </rPr>
      <t xml:space="preserve"> * Z</t>
    </r>
    <r>
      <rPr>
        <vertAlign val="subscript"/>
        <sz val="11"/>
        <rFont val="Calibri"/>
        <family val="2"/>
      </rPr>
      <t>w</t>
    </r>
    <r>
      <rPr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=</t>
    </r>
  </si>
  <si>
    <r>
      <t>P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 P</t>
    </r>
    <r>
      <rPr>
        <vertAlign val="subscript"/>
        <sz val="11"/>
        <rFont val="Calibri"/>
        <family val="2"/>
        <scheme val="minor"/>
      </rPr>
      <t>uk</t>
    </r>
    <r>
      <rPr>
        <sz val="11"/>
        <rFont val="Calibri"/>
        <family val="2"/>
        <scheme val="minor"/>
      </rPr>
      <t xml:space="preserve"> + 1,0 *(Q</t>
    </r>
    <r>
      <rPr>
        <vertAlign val="subscript"/>
        <sz val="11"/>
        <rFont val="Calibri"/>
        <family val="2"/>
        <scheme val="minor"/>
      </rPr>
      <t>W</t>
    </r>
    <r>
      <rPr>
        <sz val="11"/>
        <rFont val="Calibri"/>
        <family val="2"/>
        <scheme val="minor"/>
      </rPr>
      <t xml:space="preserve"> + Q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) =</t>
    </r>
  </si>
  <si>
    <t>A.7.</t>
  </si>
  <si>
    <t>Diameter tulangan utama pilecap,</t>
  </si>
  <si>
    <t>Diameter tulangan susut pilecap,</t>
  </si>
  <si>
    <r>
      <t>H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=</t>
    </r>
  </si>
  <si>
    <t>DATA MATERIAL BETON &amp; TULANGAN</t>
  </si>
  <si>
    <t xml:space="preserve"> DATA DIMENSI TULANGAN ABUTMEN &amp; PILECAP</t>
  </si>
  <si>
    <t xml:space="preserve">arah X </t>
  </si>
  <si>
    <t>arah Y</t>
  </si>
  <si>
    <r>
      <t>s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=</t>
    </r>
  </si>
  <si>
    <r>
      <t>s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=</t>
    </r>
  </si>
  <si>
    <t>Jarak antar tiang pakai searah X:</t>
  </si>
  <si>
    <t>Jarak antar tiang pakai searah YX:</t>
  </si>
  <si>
    <t>Lebar</t>
  </si>
  <si>
    <t>Max</t>
  </si>
  <si>
    <t>Kontrol Guling Arah Memanjang Jembatan</t>
  </si>
  <si>
    <t>Panjang titik e terhadap sisi luar pilecap,</t>
  </si>
  <si>
    <r>
      <t>L</t>
    </r>
    <r>
      <rPr>
        <vertAlign val="subscript"/>
        <sz val="11"/>
        <color theme="1"/>
        <rFont val="Calibri"/>
        <family val="2"/>
        <scheme val="minor"/>
      </rPr>
      <t>Ae</t>
    </r>
    <r>
      <rPr>
        <sz val="11"/>
        <color theme="1"/>
        <rFont val="Calibri"/>
        <family val="2"/>
        <scheme val="minor"/>
      </rPr>
      <t xml:space="preserve"> = 0,5 * B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=</t>
    </r>
  </si>
  <si>
    <r>
      <t>L</t>
    </r>
    <r>
      <rPr>
        <vertAlign val="subscript"/>
        <sz val="11"/>
        <color theme="1"/>
        <rFont val="Calibri"/>
        <family val="2"/>
        <scheme val="minor"/>
      </rPr>
      <t>eB</t>
    </r>
    <r>
      <rPr>
        <sz val="11"/>
        <color theme="1"/>
        <rFont val="Calibri"/>
        <family val="2"/>
        <scheme val="minor"/>
      </rPr>
      <t xml:space="preserve"> = 0,5 * B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=</t>
    </r>
  </si>
  <si>
    <t>Gaya akibat kombinasi beban layan 1;</t>
  </si>
  <si>
    <t>Aksial :</t>
  </si>
  <si>
    <t>P =</t>
  </si>
  <si>
    <t>Momen :</t>
  </si>
  <si>
    <r>
      <t>M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=</t>
    </r>
  </si>
  <si>
    <t>Gaya akibat kombinasi beban Ekstrim arah X;</t>
  </si>
  <si>
    <t>Gaya akibat kombinasi beban Ekstrim arah Y;</t>
  </si>
  <si>
    <t>Kontrol guling akibat kombinasi beban arah memanjang jembatan,</t>
  </si>
  <si>
    <r>
      <t>P * L</t>
    </r>
    <r>
      <rPr>
        <vertAlign val="subscript"/>
        <sz val="11"/>
        <color theme="1"/>
        <rFont val="Calibri"/>
        <family val="2"/>
        <scheme val="minor"/>
      </rPr>
      <t>eB</t>
    </r>
    <r>
      <rPr>
        <sz val="11"/>
        <color theme="1"/>
        <rFont val="Calibri"/>
        <family val="2"/>
        <scheme val="minor"/>
      </rPr>
      <t xml:space="preserve"> / M</t>
    </r>
    <r>
      <rPr>
        <vertAlign val="subscript"/>
        <sz val="11"/>
        <color theme="1"/>
        <rFont val="Calibri"/>
        <family val="2"/>
        <scheme val="minor"/>
      </rPr>
      <t xml:space="preserve">x </t>
    </r>
  </si>
  <si>
    <r>
      <t>P * L</t>
    </r>
    <r>
      <rPr>
        <vertAlign val="subscript"/>
        <sz val="11"/>
        <color theme="1"/>
        <rFont val="Calibri"/>
        <family val="2"/>
        <scheme val="minor"/>
      </rPr>
      <t>Ae</t>
    </r>
    <r>
      <rPr>
        <sz val="11"/>
        <color theme="1"/>
        <rFont val="Calibri"/>
        <family val="2"/>
        <scheme val="minor"/>
      </rPr>
      <t xml:space="preserve"> / M</t>
    </r>
    <r>
      <rPr>
        <vertAlign val="subscript"/>
        <sz val="11"/>
        <color theme="1"/>
        <rFont val="Calibri"/>
        <family val="2"/>
        <scheme val="minor"/>
      </rPr>
      <t xml:space="preserve">x </t>
    </r>
  </si>
  <si>
    <t>Komb. Layan 1 :</t>
  </si>
  <si>
    <r>
      <t>Komb. Ekstrim EQ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:</t>
    </r>
  </si>
  <si>
    <r>
      <t>Komb. Ekstrim EQ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:</t>
    </r>
  </si>
  <si>
    <t>Kontrol Geser Arah Memanjang Jembatan</t>
  </si>
  <si>
    <t>Panjang total pilecap,</t>
  </si>
  <si>
    <t>By =</t>
  </si>
  <si>
    <t>Lebar total pilecap,</t>
  </si>
  <si>
    <t>Bx =</t>
  </si>
  <si>
    <t>Geser :</t>
  </si>
  <si>
    <r>
      <t>T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=</t>
    </r>
  </si>
  <si>
    <t>Kontrol geser akibat kombinasi beban arah memanjang jembatan,</t>
  </si>
  <si>
    <r>
      <t>H / T</t>
    </r>
    <r>
      <rPr>
        <vertAlign val="subscript"/>
        <sz val="11"/>
        <color theme="1"/>
        <rFont val="Calibri"/>
        <family val="2"/>
        <scheme val="minor"/>
      </rPr>
      <t>x</t>
    </r>
  </si>
  <si>
    <t>Dimana,</t>
  </si>
  <si>
    <r>
      <t xml:space="preserve">( C * By * Bx + P * tan </t>
    </r>
    <r>
      <rPr>
        <sz val="11"/>
        <color theme="1"/>
        <rFont val="Calibri"/>
        <family val="2"/>
      </rPr>
      <t>φ</t>
    </r>
    <r>
      <rPr>
        <sz val="11"/>
        <color theme="1"/>
        <rFont val="Calibri"/>
        <family val="2"/>
        <charset val="1"/>
      </rPr>
      <t xml:space="preserve"> )</t>
    </r>
  </si>
  <si>
    <t>Kontrol Guling Arah melintang Jembatan</t>
  </si>
  <si>
    <r>
      <t>L</t>
    </r>
    <r>
      <rPr>
        <vertAlign val="subscript"/>
        <sz val="11"/>
        <color theme="1"/>
        <rFont val="Calibri"/>
        <family val="2"/>
        <scheme val="minor"/>
      </rPr>
      <t>Ae</t>
    </r>
    <r>
      <rPr>
        <sz val="11"/>
        <color theme="1"/>
        <rFont val="Calibri"/>
        <family val="2"/>
        <scheme val="minor"/>
      </rPr>
      <t xml:space="preserve"> = 0,5 * By =</t>
    </r>
  </si>
  <si>
    <r>
      <t>L</t>
    </r>
    <r>
      <rPr>
        <vertAlign val="subscript"/>
        <sz val="11"/>
        <color theme="1"/>
        <rFont val="Calibri"/>
        <family val="2"/>
        <scheme val="minor"/>
      </rPr>
      <t>eB</t>
    </r>
    <r>
      <rPr>
        <sz val="11"/>
        <color theme="1"/>
        <rFont val="Calibri"/>
        <family val="2"/>
        <scheme val="minor"/>
      </rPr>
      <t xml:space="preserve"> = 0,5 * By =</t>
    </r>
  </si>
  <si>
    <r>
      <t>M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=</t>
    </r>
  </si>
  <si>
    <r>
      <t>P * L</t>
    </r>
    <r>
      <rPr>
        <vertAlign val="subscript"/>
        <sz val="11"/>
        <color theme="1"/>
        <rFont val="Calibri"/>
        <family val="2"/>
        <scheme val="minor"/>
      </rPr>
      <t>eB</t>
    </r>
    <r>
      <rPr>
        <sz val="11"/>
        <color theme="1"/>
        <rFont val="Calibri"/>
        <family val="2"/>
        <scheme val="minor"/>
      </rPr>
      <t xml:space="preserve"> / M</t>
    </r>
    <r>
      <rPr>
        <vertAlign val="subscript"/>
        <sz val="11"/>
        <color theme="1"/>
        <rFont val="Calibri"/>
        <family val="2"/>
        <scheme val="minor"/>
      </rPr>
      <t xml:space="preserve">y </t>
    </r>
  </si>
  <si>
    <r>
      <t>P * L</t>
    </r>
    <r>
      <rPr>
        <vertAlign val="subscript"/>
        <sz val="11"/>
        <color theme="1"/>
        <rFont val="Calibri"/>
        <family val="2"/>
        <scheme val="minor"/>
      </rPr>
      <t>Ae</t>
    </r>
    <r>
      <rPr>
        <sz val="11"/>
        <color theme="1"/>
        <rFont val="Calibri"/>
        <family val="2"/>
        <scheme val="minor"/>
      </rPr>
      <t xml:space="preserve"> / M</t>
    </r>
    <r>
      <rPr>
        <vertAlign val="subscript"/>
        <sz val="11"/>
        <color theme="1"/>
        <rFont val="Calibri"/>
        <family val="2"/>
        <scheme val="minor"/>
      </rPr>
      <t xml:space="preserve">y </t>
    </r>
  </si>
  <si>
    <t>Kontrol Geser Arah Melintang Jembatan</t>
  </si>
  <si>
    <r>
      <t>T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=</t>
    </r>
  </si>
  <si>
    <t>Gaya ultimit maksimum (rencana) tiang bor</t>
  </si>
  <si>
    <r>
      <t>P</t>
    </r>
    <r>
      <rPr>
        <vertAlign val="subscript"/>
        <sz val="11"/>
        <color theme="1"/>
        <rFont val="Calibri"/>
        <family val="2"/>
        <scheme val="minor"/>
      </rPr>
      <t>umax</t>
    </r>
    <r>
      <rPr>
        <sz val="11"/>
        <color theme="1"/>
        <rFont val="Calibri"/>
        <family val="2"/>
        <scheme val="minor"/>
      </rPr>
      <t xml:space="preserve"> =</t>
    </r>
  </si>
  <si>
    <r>
      <t>X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</t>
    </r>
  </si>
  <si>
    <r>
      <t>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</si>
  <si>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r>
      <t>X</t>
    </r>
    <r>
      <rPr>
        <vertAlign val="subscript"/>
        <sz val="11"/>
        <color theme="1"/>
        <rFont val="Calibri"/>
        <family val="2"/>
        <scheme val="minor"/>
      </rPr>
      <t>w1</t>
    </r>
    <r>
      <rPr>
        <sz val="11"/>
        <color theme="1"/>
        <rFont val="Calibri"/>
        <family val="2"/>
        <scheme val="minor"/>
      </rPr>
      <t xml:space="preserve"> =</t>
    </r>
  </si>
  <si>
    <r>
      <t>X</t>
    </r>
    <r>
      <rPr>
        <vertAlign val="subscript"/>
        <sz val="11"/>
        <color theme="1"/>
        <rFont val="Calibri"/>
        <family val="2"/>
        <scheme val="minor"/>
      </rPr>
      <t>w2</t>
    </r>
    <r>
      <rPr>
        <sz val="11"/>
        <color theme="1"/>
        <rFont val="Calibri"/>
        <family val="2"/>
        <scheme val="minor"/>
      </rPr>
      <t xml:space="preserve"> =</t>
    </r>
  </si>
  <si>
    <t>KODE</t>
  </si>
  <si>
    <t>PARAMETER BERAT BAGIAN BETON</t>
  </si>
  <si>
    <t>VOLUME</t>
  </si>
  <si>
    <t>BERAT</t>
  </si>
  <si>
    <t>MOMEN</t>
  </si>
  <si>
    <t>(kNm)</t>
  </si>
  <si>
    <r>
      <t>w</t>
    </r>
    <r>
      <rPr>
        <vertAlign val="subscript"/>
        <sz val="11"/>
        <color theme="1"/>
        <rFont val="Calibri"/>
        <family val="2"/>
        <scheme val="minor"/>
      </rPr>
      <t>1</t>
    </r>
  </si>
  <si>
    <r>
      <t>w</t>
    </r>
    <r>
      <rPr>
        <vertAlign val="subscript"/>
        <sz val="11"/>
        <color theme="1"/>
        <rFont val="Calibri"/>
        <family val="2"/>
        <scheme val="minor"/>
      </rPr>
      <t>2</t>
    </r>
  </si>
  <si>
    <r>
      <t>W</t>
    </r>
    <r>
      <rPr>
        <b/>
        <vertAlign val="subscript"/>
        <sz val="11"/>
        <color theme="1"/>
        <rFont val="Calibri"/>
        <family val="2"/>
        <scheme val="minor"/>
      </rPr>
      <t xml:space="preserve">s </t>
    </r>
    <r>
      <rPr>
        <b/>
        <sz val="11"/>
        <color theme="1"/>
        <rFont val="Calibri"/>
        <family val="2"/>
        <scheme val="minor"/>
      </rPr>
      <t>=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</si>
  <si>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 xml:space="preserve"> =</t>
    </r>
  </si>
  <si>
    <t>Faktor beban ultimit</t>
  </si>
  <si>
    <t>K =</t>
  </si>
  <si>
    <t>Momen ultimit akibat berat pile cap</t>
  </si>
  <si>
    <t>kNm</t>
  </si>
  <si>
    <t>Jarak tiang terhadap pusat</t>
  </si>
  <si>
    <t>Lengan thd. Sisi luar dinding</t>
  </si>
  <si>
    <t>X (m)</t>
  </si>
  <si>
    <r>
      <t>X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(m)</t>
    </r>
  </si>
  <si>
    <t>Momen max. pada pile-cap akibat reaksi tiang bor</t>
  </si>
  <si>
    <r>
      <t>M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</t>
    </r>
  </si>
  <si>
    <t>Momen ultimit rencana Pile Cap</t>
  </si>
  <si>
    <r>
      <t>M</t>
    </r>
    <r>
      <rPr>
        <vertAlign val="subscript"/>
        <sz val="11"/>
        <color theme="1"/>
        <rFont val="Calibri"/>
        <family val="2"/>
        <scheme val="minor"/>
      </rPr>
      <t>ur</t>
    </r>
    <r>
      <rPr>
        <sz val="11"/>
        <color theme="1"/>
        <rFont val="Calibri"/>
        <family val="2"/>
        <scheme val="minor"/>
      </rPr>
      <t xml:space="preserve"> = M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- M</t>
    </r>
    <r>
      <rPr>
        <vertAlign val="subscript"/>
        <sz val="11"/>
        <color theme="1"/>
        <rFont val="Calibri"/>
        <family val="2"/>
        <scheme val="minor"/>
      </rPr>
      <t>us</t>
    </r>
    <r>
      <rPr>
        <sz val="11"/>
        <color theme="1"/>
        <rFont val="Calibri"/>
        <family val="2"/>
        <scheme val="minor"/>
      </rPr>
      <t xml:space="preserve"> =</t>
    </r>
  </si>
  <si>
    <t>Momen ultimit rencana per meter lebar</t>
  </si>
  <si>
    <t xml:space="preserve">Faktor bentuk distribusi tegangan beton,            </t>
  </si>
  <si>
    <r>
      <t xml:space="preserve">Rasio tulangan pada kondisi </t>
    </r>
    <r>
      <rPr>
        <i/>
        <sz val="11"/>
        <rFont val="Calibri"/>
        <family val="2"/>
        <scheme val="minor"/>
      </rPr>
      <t>balance</t>
    </r>
    <r>
      <rPr>
        <sz val="11"/>
        <rFont val="Calibri"/>
        <family val="2"/>
        <scheme val="minor"/>
      </rPr>
      <t>,</t>
    </r>
  </si>
  <si>
    <r>
      <t>ρ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 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* 0,85 *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'/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* 600 / ( 600 +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)  =                  </t>
    </r>
  </si>
  <si>
    <t>Rasio tulangan maksimum,</t>
  </si>
  <si>
    <r>
      <t>ρ</t>
    </r>
    <r>
      <rPr>
        <vertAlign val="subscript"/>
        <sz val="11"/>
        <rFont val="Calibri"/>
        <family val="2"/>
        <scheme val="minor"/>
      </rPr>
      <t>maks</t>
    </r>
    <r>
      <rPr>
        <sz val="11"/>
        <rFont val="Calibri"/>
        <family val="2"/>
        <scheme val="minor"/>
      </rPr>
      <t xml:space="preserve"> = 0,75 * ρ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 =                  </t>
    </r>
  </si>
  <si>
    <t>Rasio tulangan minimum,</t>
  </si>
  <si>
    <r>
      <rPr>
        <sz val="11"/>
        <rFont val="Calibri"/>
        <family val="2"/>
      </rPr>
      <t>φ</t>
    </r>
    <r>
      <rPr>
        <sz val="11"/>
        <rFont val="Calibri"/>
        <family val="2"/>
        <scheme val="minor"/>
      </rPr>
      <t xml:space="preserve">  =</t>
    </r>
  </si>
  <si>
    <t>Kontrol nilai rasio tulangan perlu,</t>
  </si>
  <si>
    <r>
      <t>ρ</t>
    </r>
    <r>
      <rPr>
        <vertAlign val="subscript"/>
        <sz val="11"/>
        <rFont val="Calibri"/>
        <family val="2"/>
        <scheme val="minor"/>
      </rPr>
      <t>min</t>
    </r>
  </si>
  <si>
    <t>ρ</t>
  </si>
  <si>
    <r>
      <t>ρ</t>
    </r>
    <r>
      <rPr>
        <vertAlign val="subscript"/>
        <sz val="11"/>
        <rFont val="Calibri"/>
        <family val="2"/>
        <scheme val="minor"/>
      </rPr>
      <t>maks</t>
    </r>
  </si>
  <si>
    <t>Luas tulangan yang diperlukan,</t>
  </si>
  <si>
    <r>
      <t>mm</t>
    </r>
    <r>
      <rPr>
        <vertAlign val="superscript"/>
        <sz val="11"/>
        <rFont val="Calibri"/>
        <family val="2"/>
        <scheme val="minor"/>
      </rPr>
      <t>2</t>
    </r>
  </si>
  <si>
    <t>Jarak tulangan yang diperlukan,</t>
  </si>
  <si>
    <t>Jarak tulangan maksimum,</t>
  </si>
  <si>
    <r>
      <t>s</t>
    </r>
    <r>
      <rPr>
        <vertAlign val="subscript"/>
        <sz val="11"/>
        <rFont val="Calibri"/>
        <family val="2"/>
        <scheme val="minor"/>
      </rPr>
      <t>max</t>
    </r>
    <r>
      <rPr>
        <sz val="11"/>
        <rFont val="Calibri"/>
        <family val="2"/>
        <scheme val="minor"/>
      </rPr>
      <t xml:space="preserve"> = </t>
    </r>
  </si>
  <si>
    <t>Jarak sengkang yang  harus digunakan,</t>
  </si>
  <si>
    <t>Diambil jarak sengkang :</t>
  </si>
  <si>
    <t>Digunakan tulangan,</t>
  </si>
  <si>
    <t>Faktor reduksi kekuatan geser,</t>
  </si>
  <si>
    <r>
      <t>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=</t>
    </r>
  </si>
  <si>
    <r>
      <rPr>
        <sz val="11"/>
        <rFont val="Calibri"/>
        <family val="2"/>
      </rPr>
      <t>φ</t>
    </r>
    <r>
      <rPr>
        <sz val="11"/>
        <rFont val="Calibri"/>
        <family val="2"/>
        <scheme val="minor"/>
      </rPr>
      <t xml:space="preserve"> * 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</si>
  <si>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t>≥</t>
  </si>
  <si>
    <t>Faktor reduksi kekuatan geser</t>
  </si>
  <si>
    <t>ɸ =</t>
  </si>
  <si>
    <t>Jarak antara tiang bor arah x</t>
  </si>
  <si>
    <t>X =</t>
  </si>
  <si>
    <t>Jarak antara tiang bor arah y</t>
  </si>
  <si>
    <t>Jarak tiang bor terhadap tepi</t>
  </si>
  <si>
    <t>r = X/2 =</t>
  </si>
  <si>
    <t>r = Y/2 =</t>
  </si>
  <si>
    <t>r =</t>
  </si>
  <si>
    <r>
      <t>h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=</t>
    </r>
  </si>
  <si>
    <t>Tebal bidang kritis geser pons</t>
  </si>
  <si>
    <t>Tebal efektif bidang kritis geser pons</t>
  </si>
  <si>
    <t>d = h - d' =</t>
  </si>
  <si>
    <t>Panjang total bidang kritis</t>
  </si>
  <si>
    <r>
      <t>L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 [ 2 * (r + a) + π / 2 * r ]*10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=</t>
    </r>
  </si>
  <si>
    <t>Luas bidang kritis geser pons</t>
  </si>
  <si>
    <r>
      <t>A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 L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* h =</t>
    </r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</si>
  <si>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</si>
  <si>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Gaya geser pons nominal</t>
  </si>
  <si>
    <t>Kapasitas geser pons</t>
  </si>
  <si>
    <r>
      <t>ɸ * P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=</t>
    </r>
  </si>
  <si>
    <t>Reaksi ultimit satu tiang bor</t>
  </si>
  <si>
    <r>
      <t>P</t>
    </r>
    <r>
      <rPr>
        <vertAlign val="subscript"/>
        <sz val="11"/>
        <color theme="1"/>
        <rFont val="Calibri"/>
        <family val="2"/>
        <scheme val="minor"/>
      </rPr>
      <t>umax</t>
    </r>
  </si>
  <si>
    <r>
      <t>ɸ * P</t>
    </r>
    <r>
      <rPr>
        <vertAlign val="subscript"/>
        <sz val="11"/>
        <color theme="1"/>
        <rFont val="Calibri"/>
        <family val="2"/>
        <scheme val="minor"/>
      </rPr>
      <t>n</t>
    </r>
  </si>
  <si>
    <t>NO.</t>
  </si>
  <si>
    <t>EXPLANATORY</t>
  </si>
  <si>
    <t>FORMULA</t>
  </si>
  <si>
    <t>VALUE</t>
  </si>
  <si>
    <t>UNIT</t>
  </si>
  <si>
    <t>NILAI GESER DAN MOMEN ARAH X DAN ARAH Y</t>
  </si>
  <si>
    <t>Nilai geser pada pilecap untuk arah X</t>
  </si>
  <si>
    <t>Jarak pusat tulangan terhadap sisi luar beton,</t>
  </si>
  <si>
    <r>
      <t>d' = 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+ 3/2 * D =</t>
    </r>
  </si>
  <si>
    <t>Tebal efektif pilecap,</t>
  </si>
  <si>
    <r>
      <t>d = h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- d' =</t>
    </r>
  </si>
  <si>
    <t>Jarak bid. kritis terhadap sisi luar,</t>
  </si>
  <si>
    <t>Berat beton pilecap,</t>
  </si>
  <si>
    <t xml:space="preserve">kN </t>
  </si>
  <si>
    <t>Besar gaya aksial pada fondasi yang berada di bidang kritis,</t>
  </si>
  <si>
    <r>
      <t>X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 xml:space="preserve"> &gt; 0,5 * L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- C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</si>
  <si>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u</t>
    </r>
  </si>
  <si>
    <r>
      <t>n</t>
    </r>
    <r>
      <rPr>
        <b/>
        <vertAlign val="subscript"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 xml:space="preserve"> * P</t>
    </r>
    <r>
      <rPr>
        <b/>
        <vertAlign val="subscript"/>
        <sz val="11"/>
        <color theme="1"/>
        <rFont val="Calibri"/>
        <family val="2"/>
        <scheme val="minor"/>
      </rPr>
      <t>u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</si>
  <si>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 xml:space="preserve"> (m)</t>
    </r>
  </si>
  <si>
    <r>
      <t>Σ (n</t>
    </r>
    <r>
      <rPr>
        <b/>
        <vertAlign val="subscript"/>
        <sz val="11"/>
        <color theme="1"/>
        <rFont val="Calibri"/>
        <family val="2"/>
      </rPr>
      <t>a</t>
    </r>
    <r>
      <rPr>
        <b/>
        <sz val="11"/>
        <color theme="1"/>
        <rFont val="Calibri"/>
        <family val="2"/>
      </rPr>
      <t xml:space="preserve"> * P</t>
    </r>
    <r>
      <rPr>
        <b/>
        <vertAlign val="subscript"/>
        <sz val="11"/>
        <color theme="1"/>
        <rFont val="Calibri"/>
        <family val="2"/>
      </rPr>
      <t>u</t>
    </r>
    <r>
      <rPr>
        <b/>
        <sz val="11"/>
        <color theme="1"/>
        <rFont val="Calibri"/>
        <family val="2"/>
      </rPr>
      <t>) =</t>
    </r>
  </si>
  <si>
    <t>Gaya geser arah x,</t>
  </si>
  <si>
    <t>Nilai momen pada pilecap untuk arah X</t>
  </si>
  <si>
    <r>
      <t>L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</si>
  <si>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Calibri"/>
        <family val="2"/>
      </rPr>
      <t>Σ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umax</t>
    </r>
    <r>
      <rPr>
        <sz val="11"/>
        <color theme="1"/>
        <rFont val="Calibri"/>
        <family val="2"/>
        <scheme val="minor"/>
      </rPr>
      <t xml:space="preserve"> =</t>
    </r>
  </si>
  <si>
    <r>
      <t>b (L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)</t>
    </r>
  </si>
  <si>
    <r>
      <t>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</si>
  <si>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M</t>
    </r>
    <r>
      <rPr>
        <vertAlign val="subscript"/>
        <sz val="11"/>
        <color theme="1"/>
        <rFont val="Calibri"/>
        <family val="2"/>
        <scheme val="minor"/>
      </rPr>
      <t>us</t>
    </r>
    <r>
      <rPr>
        <sz val="11"/>
        <color theme="1"/>
        <rFont val="Calibri"/>
        <family val="2"/>
        <scheme val="minor"/>
      </rPr>
      <t xml:space="preserve"> = K * M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+ 0,5 * L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* L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* q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=</t>
    </r>
  </si>
  <si>
    <r>
      <t xml:space="preserve">M = </t>
    </r>
    <r>
      <rPr>
        <sz val="11"/>
        <color theme="1"/>
        <rFont val="Calibri"/>
        <family val="2"/>
      </rPr>
      <t>∑</t>
    </r>
    <r>
      <rPr>
        <sz val="11"/>
        <color theme="1"/>
        <rFont val="Calibri"/>
        <family val="2"/>
        <scheme val="minor"/>
      </rPr>
      <t xml:space="preserve"> P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* X</t>
    </r>
    <r>
      <rPr>
        <vertAlign val="subscript"/>
        <sz val="11"/>
        <color theme="1"/>
        <rFont val="Calibri"/>
        <family val="2"/>
        <scheme val="minor"/>
      </rPr>
      <t>p</t>
    </r>
  </si>
  <si>
    <r>
      <t>X</t>
    </r>
    <r>
      <rPr>
        <vertAlign val="subscript"/>
        <sz val="11"/>
        <rFont val="Calibri"/>
        <family val="2"/>
        <scheme val="minor"/>
      </rPr>
      <t>p1</t>
    </r>
    <r>
      <rPr>
        <sz val="11"/>
        <rFont val="Calibri"/>
        <family val="2"/>
        <scheme val="minor"/>
      </rPr>
      <t xml:space="preserve"> = X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- b / 2 =</t>
    </r>
  </si>
  <si>
    <r>
      <t>X</t>
    </r>
    <r>
      <rPr>
        <vertAlign val="subscript"/>
        <sz val="11"/>
        <rFont val="Calibri"/>
        <family val="2"/>
        <scheme val="minor"/>
      </rPr>
      <t>p2</t>
    </r>
    <r>
      <rPr>
        <sz val="11"/>
        <rFont val="Calibri"/>
        <family val="2"/>
        <scheme val="minor"/>
      </rPr>
      <t xml:space="preserve"> = X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- b / 2 =</t>
    </r>
  </si>
  <si>
    <r>
      <t>X</t>
    </r>
    <r>
      <rPr>
        <vertAlign val="subscript"/>
        <sz val="11"/>
        <rFont val="Calibri"/>
        <family val="2"/>
        <scheme val="minor"/>
      </rPr>
      <t>p3</t>
    </r>
    <r>
      <rPr>
        <sz val="11"/>
        <rFont val="Calibri"/>
        <family val="2"/>
        <scheme val="minor"/>
      </rPr>
      <t xml:space="preserve"> = X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- b / 2 =</t>
    </r>
  </si>
  <si>
    <r>
      <t>X</t>
    </r>
    <r>
      <rPr>
        <vertAlign val="subscript"/>
        <sz val="11"/>
        <rFont val="Calibri"/>
        <family val="2"/>
        <scheme val="minor"/>
      </rPr>
      <t>p4</t>
    </r>
    <r>
      <rPr>
        <sz val="11"/>
        <rFont val="Calibri"/>
        <family val="2"/>
        <scheme val="minor"/>
      </rPr>
      <t xml:space="preserve"> = X</t>
    </r>
    <r>
      <rPr>
        <vertAlign val="sub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- b / 2 =</t>
    </r>
  </si>
  <si>
    <r>
      <t>untuk lebar pile-cap (L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) =</t>
    </r>
  </si>
  <si>
    <r>
      <t>M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= M</t>
    </r>
    <r>
      <rPr>
        <vertAlign val="subscript"/>
        <sz val="11"/>
        <color theme="1"/>
        <rFont val="Calibri"/>
        <family val="2"/>
        <scheme val="minor"/>
      </rPr>
      <t xml:space="preserve">ur </t>
    </r>
    <r>
      <rPr>
        <sz val="11"/>
        <color theme="1"/>
        <rFont val="Calibri"/>
        <family val="2"/>
        <scheme val="minor"/>
      </rPr>
      <t>/ L</t>
    </r>
    <r>
      <rPr>
        <vertAlign val="subscript"/>
        <sz val="11"/>
        <color theme="1"/>
        <rFont val="Calibri"/>
        <family val="2"/>
        <scheme val="minor"/>
      </rPr>
      <t xml:space="preserve">y </t>
    </r>
    <r>
      <rPr>
        <sz val="11"/>
        <color theme="1"/>
        <rFont val="Calibri"/>
        <family val="2"/>
        <scheme val="minor"/>
      </rPr>
      <t>=</t>
    </r>
  </si>
  <si>
    <t>KONTROL GESER PADA PILECAP</t>
  </si>
  <si>
    <t>E.1.</t>
  </si>
  <si>
    <t>Tinjauan Geser Arah X</t>
  </si>
  <si>
    <r>
      <t>V</t>
    </r>
    <r>
      <rPr>
        <vertAlign val="subscript"/>
        <sz val="11"/>
        <rFont val="Calibri"/>
        <family val="2"/>
        <scheme val="minor"/>
      </rPr>
      <t>ux</t>
    </r>
    <r>
      <rPr>
        <sz val="11"/>
        <rFont val="Calibri"/>
        <family val="2"/>
        <scheme val="minor"/>
      </rPr>
      <t xml:space="preserve"> =</t>
    </r>
  </si>
  <si>
    <t>Lebar bidang geser untuk tinjauan arah x,</t>
  </si>
  <si>
    <t>Rasio sisi panjang thd. sisi pendek kolom,</t>
  </si>
  <si>
    <r>
      <rPr>
        <sz val="11"/>
        <rFont val="Calibri"/>
        <family val="2"/>
      </rPr>
      <t>β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</si>
  <si>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t>Kuat geser pilecap arah x,</t>
  </si>
  <si>
    <r>
      <t>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 [ 1 + 2 / </t>
    </r>
    <r>
      <rPr>
        <sz val="11"/>
        <rFont val="Calibri"/>
        <family val="2"/>
      </rPr>
      <t>β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] * √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* b * d  / 6 * 10</t>
    </r>
    <r>
      <rPr>
        <vertAlign val="superscript"/>
        <sz val="11"/>
        <rFont val="Calibri"/>
        <family val="2"/>
        <scheme val="minor"/>
      </rPr>
      <t>-3</t>
    </r>
    <r>
      <rPr>
        <sz val="1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</si>
  <si>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 [ </t>
    </r>
    <r>
      <rPr>
        <sz val="11"/>
        <rFont val="Calibri"/>
        <family val="2"/>
      </rPr>
      <t>α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* d / b + 2 ] * √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* b * d  / 12 =</t>
    </r>
  </si>
  <si>
    <r>
      <t>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 1 / 3 * √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* b * d =</t>
    </r>
  </si>
  <si>
    <t>Diambil, kuat geser pilecap,</t>
  </si>
  <si>
    <r>
      <t>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</si>
  <si>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t>Kuat geser pilecap,</t>
  </si>
  <si>
    <t>Kontrol kapasitas geser terhadap gaya geser ultimit arah x,</t>
  </si>
  <si>
    <t xml:space="preserve">Syarat : </t>
  </si>
  <si>
    <r>
      <rPr>
        <sz val="11"/>
        <rFont val="Calibri"/>
        <family val="2"/>
      </rPr>
      <t>φ</t>
    </r>
    <r>
      <rPr>
        <sz val="11"/>
        <rFont val="Calibri"/>
        <family val="2"/>
        <scheme val="minor"/>
      </rPr>
      <t xml:space="preserve"> * V</t>
    </r>
    <r>
      <rPr>
        <vertAlign val="subscript"/>
        <sz val="11"/>
        <rFont val="Calibri"/>
        <family val="2"/>
        <scheme val="minor"/>
      </rPr>
      <t>c</t>
    </r>
  </si>
  <si>
    <r>
      <t>V</t>
    </r>
    <r>
      <rPr>
        <vertAlign val="subscript"/>
        <sz val="11"/>
        <rFont val="Calibri"/>
        <family val="2"/>
        <scheme val="minor"/>
      </rPr>
      <t xml:space="preserve">ux  </t>
    </r>
  </si>
  <si>
    <t xml:space="preserve">Tegangan geser pons, </t>
  </si>
  <si>
    <r>
      <t>σ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 [ 1 + 2 / </t>
    </r>
    <r>
      <rPr>
        <sz val="11"/>
        <rFont val="Calibri"/>
        <family val="2"/>
      </rPr>
      <t>β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] * √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/ 6 =</t>
    </r>
  </si>
  <si>
    <r>
      <t>σ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 1 / 3 * √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=</t>
    </r>
  </si>
  <si>
    <t>Tegangan geser pons yang disyaratkan,</t>
  </si>
  <si>
    <t>E.4.</t>
  </si>
  <si>
    <t>Tinjauan geser pons pada fondasi tiang dalam pojok</t>
  </si>
  <si>
    <r>
      <rPr>
        <sz val="11"/>
        <color theme="1"/>
        <rFont val="Calibri"/>
        <family val="2"/>
      </rPr>
      <t>σ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</si>
  <si>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</si>
  <si>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 xml:space="preserve">n </t>
    </r>
    <r>
      <rPr>
        <sz val="11"/>
        <color theme="1"/>
        <rFont val="Calibri"/>
        <family val="2"/>
        <scheme val="minor"/>
      </rPr>
      <t>= A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* </t>
    </r>
    <r>
      <rPr>
        <sz val="11"/>
        <color theme="1"/>
        <rFont val="Calibri"/>
        <family val="2"/>
      </rPr>
      <t>σ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</si>
  <si>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t>Kontrol kapasitas geser pons pada tiang ujung,</t>
  </si>
  <si>
    <t>PEMBESIAN PILECAP</t>
  </si>
  <si>
    <t>F.1.</t>
  </si>
  <si>
    <t>Tulangan Lentur Arah X</t>
  </si>
  <si>
    <t>Momen yang terjadi pada pilecap,</t>
  </si>
  <si>
    <r>
      <t>M</t>
    </r>
    <r>
      <rPr>
        <vertAlign val="subscript"/>
        <sz val="11"/>
        <rFont val="Calibri"/>
        <family val="2"/>
        <scheme val="minor"/>
      </rPr>
      <t>ux</t>
    </r>
    <r>
      <rPr>
        <sz val="11"/>
        <rFont val="Calibri"/>
        <family val="2"/>
        <scheme val="minor"/>
      </rPr>
      <t xml:space="preserve"> =</t>
    </r>
  </si>
  <si>
    <t>Lebar pilecap yang ditinjau,</t>
  </si>
  <si>
    <t>Jarak pusat tulangan thd. sisi luar beton,</t>
  </si>
  <si>
    <t>Tebal efektif plat,</t>
  </si>
  <si>
    <t xml:space="preserve">Kuat tekan beton,         </t>
  </si>
  <si>
    <r>
      <t>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=</t>
    </r>
  </si>
  <si>
    <t xml:space="preserve">Kuat leleh baja tulangan,  </t>
  </si>
  <si>
    <r>
      <t>E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</si>
  <si>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r>
      <t>Untuk   :  17  ≤ 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 ≤  28 MPa,</t>
    </r>
  </si>
  <si>
    <r>
      <t>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          </t>
    </r>
  </si>
  <si>
    <r>
      <t>Untuk   :  28  &lt; 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 &lt;  55 MPa,</t>
    </r>
  </si>
  <si>
    <r>
      <t>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 0,85 - 0,05 * (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- 28) / 7 =</t>
    </r>
  </si>
  <si>
    <r>
      <t>Untuk   : 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'  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 xml:space="preserve">  55 MPa,</t>
    </r>
  </si>
  <si>
    <t>Asumsi faktor reduksi kekuatan gaya momen,</t>
  </si>
  <si>
    <r>
      <rPr>
        <i/>
        <sz val="11"/>
        <rFont val="Calibri"/>
        <family val="2"/>
        <scheme val="minor"/>
      </rPr>
      <t>φ</t>
    </r>
    <r>
      <rPr>
        <sz val="11"/>
        <rFont val="Calibri"/>
        <family val="2"/>
        <scheme val="minor"/>
      </rPr>
      <t xml:space="preserve"> =</t>
    </r>
  </si>
  <si>
    <t>Nilai minimum momen rencana,</t>
  </si>
  <si>
    <r>
      <t>M</t>
    </r>
    <r>
      <rPr>
        <vertAlign val="subscript"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= M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/ </t>
    </r>
    <r>
      <rPr>
        <i/>
        <sz val="11"/>
        <rFont val="Calibri"/>
        <family val="2"/>
        <scheme val="minor"/>
      </rPr>
      <t>φ</t>
    </r>
    <r>
      <rPr>
        <sz val="11"/>
        <rFont val="Calibri"/>
        <family val="2"/>
        <scheme val="minor"/>
      </rPr>
      <t xml:space="preserve"> =</t>
    </r>
  </si>
  <si>
    <t>faktor tahanan momen,</t>
  </si>
  <si>
    <r>
      <t>R</t>
    </r>
    <r>
      <rPr>
        <i/>
        <vertAlign val="subscript"/>
        <sz val="11"/>
        <rFont val="Calibri"/>
        <family val="2"/>
        <scheme val="minor"/>
      </rPr>
      <t>n</t>
    </r>
    <r>
      <rPr>
        <i/>
        <sz val="11"/>
        <rFont val="Calibri"/>
        <family val="2"/>
        <scheme val="minor"/>
      </rPr>
      <t xml:space="preserve">  = M</t>
    </r>
    <r>
      <rPr>
        <i/>
        <vertAlign val="subscript"/>
        <sz val="11"/>
        <rFont val="Calibri"/>
        <family val="2"/>
        <scheme val="minor"/>
      </rPr>
      <t>n</t>
    </r>
    <r>
      <rPr>
        <i/>
        <sz val="11"/>
        <rFont val="Calibri"/>
        <family val="2"/>
        <scheme val="minor"/>
      </rPr>
      <t xml:space="preserve"> / (</t>
    </r>
    <r>
      <rPr>
        <sz val="11"/>
        <rFont val="Calibri"/>
        <family val="2"/>
        <scheme val="minor"/>
      </rPr>
      <t xml:space="preserve"> b * d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) =</t>
    </r>
  </si>
  <si>
    <t>Rasio tegangan leleh baja dengan kuat tekan efektif beton,</t>
  </si>
  <si>
    <r>
      <t>m =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/ ( 0,85 *f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) =</t>
    </r>
  </si>
  <si>
    <t>Rasio tulangan perlu,</t>
  </si>
  <si>
    <r>
      <t>ρ</t>
    </r>
    <r>
      <rPr>
        <sz val="11"/>
        <rFont val="Calibri"/>
        <family val="2"/>
        <scheme val="minor"/>
      </rPr>
      <t xml:space="preserve"> = 1 / m * ( 1 - [ 1 - 2 * m * Rn / fy ]</t>
    </r>
    <r>
      <rPr>
        <vertAlign val="superscript"/>
        <sz val="11"/>
        <rFont val="Calibri"/>
        <family val="2"/>
        <scheme val="minor"/>
      </rPr>
      <t>0,5</t>
    </r>
    <r>
      <rPr>
        <sz val="11"/>
        <rFont val="Calibri"/>
        <family val="2"/>
        <scheme val="minor"/>
      </rPr>
      <t xml:space="preserve"> ) =</t>
    </r>
  </si>
  <si>
    <t>Nilai rasio tulangan pakai,</t>
  </si>
  <si>
    <t>ρ =</t>
  </si>
  <si>
    <r>
      <t>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 ρ * b * d = </t>
    </r>
  </si>
  <si>
    <r>
      <t xml:space="preserve">s = 1 / 4 * </t>
    </r>
    <r>
      <rPr>
        <sz val="11"/>
        <rFont val="Calibri"/>
        <family val="2"/>
      </rPr>
      <t>π</t>
    </r>
    <r>
      <rPr>
        <sz val="11"/>
        <rFont val="Calibri"/>
        <family val="2"/>
        <scheme val="minor"/>
      </rPr>
      <t xml:space="preserve"> * D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* b / 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</si>
  <si>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r>
      <t>s</t>
    </r>
    <r>
      <rPr>
        <vertAlign val="subscript"/>
        <sz val="11"/>
        <rFont val="Calibri"/>
        <family val="2"/>
        <scheme val="minor"/>
      </rPr>
      <t>max</t>
    </r>
    <r>
      <rPr>
        <sz val="11"/>
        <rFont val="Calibri"/>
        <family val="2"/>
        <scheme val="minor"/>
      </rPr>
      <t xml:space="preserve"> = 3 * h =</t>
    </r>
  </si>
  <si>
    <t>Luas tulangan terpakai,</t>
  </si>
  <si>
    <r>
      <t xml:space="preserve">     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1 / 4 * </t>
    </r>
    <r>
      <rPr>
        <sz val="11"/>
        <rFont val="Calibri"/>
        <family val="2"/>
      </rPr>
      <t xml:space="preserve">π </t>
    </r>
    <r>
      <rPr>
        <sz val="11"/>
        <rFont val="Calibri"/>
        <family val="2"/>
        <scheme val="minor"/>
      </rPr>
      <t>* D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* b / s</t>
    </r>
    <r>
      <rPr>
        <vertAlign val="sub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=</t>
    </r>
  </si>
  <si>
    <t>Gaya dalam kondisi tarik pada tulangan tarik sudah leleh,</t>
  </si>
  <si>
    <r>
      <t>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*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=</t>
    </r>
  </si>
  <si>
    <t>Gaya dalam kondisi tekan pada beton,</t>
  </si>
  <si>
    <r>
      <t>C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  0,85 * fc' * 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* c * b =</t>
    </r>
  </si>
  <si>
    <t>Kesetimbangan gaya dalam,</t>
  </si>
  <si>
    <t>Cc =</t>
  </si>
  <si>
    <t xml:space="preserve"> Ts</t>
  </si>
  <si>
    <t>Nilai c berdasarkan persamaan linier,</t>
  </si>
  <si>
    <t>c =</t>
  </si>
  <si>
    <r>
      <t>C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</si>
  <si>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r>
      <t>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</si>
  <si>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Pengecekan hasil perhitungan terhadap asumsi awal,</t>
  </si>
  <si>
    <t>Syarat untuk tulangan tarik:</t>
  </si>
  <si>
    <r>
      <t>ε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(d - c)/c * ε</t>
    </r>
    <r>
      <rPr>
        <vertAlign val="subscript"/>
        <sz val="11"/>
        <rFont val="Calibri"/>
        <family val="2"/>
        <scheme val="minor"/>
      </rPr>
      <t>cu</t>
    </r>
  </si>
  <si>
    <r>
      <t>ε</t>
    </r>
    <r>
      <rPr>
        <vertAlign val="subscript"/>
        <sz val="11"/>
        <rFont val="Calibri"/>
        <family val="2"/>
        <scheme val="minor"/>
      </rPr>
      <t>s-yield</t>
    </r>
    <r>
      <rPr>
        <sz val="11"/>
        <rFont val="Calibri"/>
        <family val="2"/>
        <scheme val="minor"/>
      </rPr>
      <t xml:space="preserve"> =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/ E</t>
    </r>
    <r>
      <rPr>
        <vertAlign val="subscript"/>
        <sz val="11"/>
        <rFont val="Calibri"/>
        <family val="2"/>
        <scheme val="minor"/>
      </rPr>
      <t>s</t>
    </r>
  </si>
  <si>
    <t>Klasifikasi regangan tarik netto,</t>
  </si>
  <si>
    <t>Faktor reduksi kekuatan gaya momen,</t>
  </si>
  <si>
    <t>Kapasitas momen terhadap T,</t>
  </si>
  <si>
    <r>
      <t>M</t>
    </r>
    <r>
      <rPr>
        <vertAlign val="subscript"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= C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* (d - 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* c/2) =</t>
    </r>
  </si>
  <si>
    <r>
      <rPr>
        <i/>
        <sz val="11"/>
        <rFont val="Calibri"/>
        <family val="2"/>
        <scheme val="minor"/>
      </rPr>
      <t>φ</t>
    </r>
    <r>
      <rPr>
        <sz val="11"/>
        <rFont val="Calibri"/>
        <family val="2"/>
        <scheme val="minor"/>
      </rPr>
      <t xml:space="preserve"> * M</t>
    </r>
    <r>
      <rPr>
        <vertAlign val="subscript"/>
        <sz val="11"/>
        <rFont val="Calibri"/>
        <family val="2"/>
        <scheme val="minor"/>
      </rPr>
      <t>n</t>
    </r>
  </si>
  <si>
    <r>
      <t>M</t>
    </r>
    <r>
      <rPr>
        <vertAlign val="subscript"/>
        <sz val="11"/>
        <rFont val="Calibri"/>
        <family val="2"/>
        <scheme val="minor"/>
      </rPr>
      <t>u</t>
    </r>
  </si>
  <si>
    <t>F.3.</t>
  </si>
  <si>
    <t>Tulangan susut</t>
  </si>
  <si>
    <t>Rasio tulangan susut minimum,</t>
  </si>
  <si>
    <r>
      <rPr>
        <sz val="11"/>
        <rFont val="Calibri"/>
        <family val="2"/>
      </rPr>
      <t>ρ</t>
    </r>
    <r>
      <rPr>
        <vertAlign val="subscript"/>
        <sz val="11"/>
        <rFont val="Calibri"/>
        <family val="2"/>
        <scheme val="minor"/>
      </rPr>
      <t>smin</t>
    </r>
    <r>
      <rPr>
        <sz val="11"/>
        <rFont val="Calibri"/>
        <family val="2"/>
        <scheme val="minor"/>
      </rPr>
      <t xml:space="preserve"> = </t>
    </r>
  </si>
  <si>
    <t>Diameter tulangan yang digunakan,</t>
  </si>
  <si>
    <t>Digunakan tulangan susut arah x,</t>
  </si>
  <si>
    <t>Digunakan tulangan susut arah y,</t>
  </si>
  <si>
    <t>Tebal total pilecap,</t>
  </si>
  <si>
    <r>
      <t>h</t>
    </r>
    <r>
      <rPr>
        <vertAlign val="subscript"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 xml:space="preserve"> = h</t>
    </r>
    <r>
      <rPr>
        <vertAlign val="subscript"/>
        <sz val="11"/>
        <rFont val="Calibri"/>
        <family val="2"/>
        <scheme val="minor"/>
      </rPr>
      <t>5</t>
    </r>
    <r>
      <rPr>
        <sz val="11"/>
        <rFont val="Calibri"/>
        <family val="2"/>
        <scheme val="minor"/>
      </rPr>
      <t xml:space="preserve"> + h</t>
    </r>
    <r>
      <rPr>
        <vertAlign val="subscript"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=</t>
    </r>
  </si>
  <si>
    <r>
      <t>c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= ( B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- b - d ) / 2 =</t>
    </r>
  </si>
  <si>
    <r>
      <t>W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 c</t>
    </r>
    <r>
      <rPr>
        <vertAlign val="subscript"/>
        <sz val="11"/>
        <rFont val="Calibri"/>
        <family val="2"/>
        <scheme val="minor"/>
      </rPr>
      <t xml:space="preserve">x </t>
    </r>
    <r>
      <rPr>
        <sz val="11"/>
        <rFont val="Calibri"/>
        <family val="2"/>
        <scheme val="minor"/>
      </rPr>
      <t>* L</t>
    </r>
    <r>
      <rPr>
        <vertAlign val="sub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* h</t>
    </r>
    <r>
      <rPr>
        <vertAlign val="subscript"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* w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</si>
  <si>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r>
      <t>W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 0,5 * c</t>
    </r>
    <r>
      <rPr>
        <vertAlign val="subscript"/>
        <sz val="11"/>
        <rFont val="Calibri"/>
        <family val="2"/>
        <scheme val="minor"/>
      </rPr>
      <t xml:space="preserve">x </t>
    </r>
    <r>
      <rPr>
        <sz val="11"/>
        <rFont val="Calibri"/>
        <family val="2"/>
        <scheme val="minor"/>
      </rPr>
      <t>* L</t>
    </r>
    <r>
      <rPr>
        <vertAlign val="sub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* h</t>
    </r>
    <r>
      <rPr>
        <vertAlign val="subscript"/>
        <sz val="11"/>
        <rFont val="Calibri"/>
        <family val="2"/>
        <scheme val="minor"/>
      </rPr>
      <t>5</t>
    </r>
    <r>
      <rPr>
        <sz val="11"/>
        <rFont val="Calibri"/>
        <family val="2"/>
        <scheme val="minor"/>
      </rPr>
      <t xml:space="preserve"> * w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</si>
  <si>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rFont val="Calibri"/>
        <family val="2"/>
        <scheme val="minor"/>
      </rPr>
      <t>ux</t>
    </r>
    <r>
      <rPr>
        <sz val="11"/>
        <rFont val="Calibri"/>
        <family val="2"/>
        <scheme val="minor"/>
      </rPr>
      <t xml:space="preserve"> = </t>
    </r>
    <r>
      <rPr>
        <sz val="11"/>
        <rFont val="Calibri"/>
        <family val="2"/>
      </rPr>
      <t>Σ</t>
    </r>
    <r>
      <rPr>
        <sz val="11"/>
        <rFont val="Calibri"/>
        <family val="2"/>
        <scheme val="minor"/>
      </rPr>
      <t>(n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* P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>) - W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- W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</si>
  <si>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t>b = L =</t>
  </si>
  <si>
    <t>Tebal efektif pilecap yang ditinjau,</t>
  </si>
  <si>
    <r>
      <t>σ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 [ </t>
    </r>
    <r>
      <rPr>
        <sz val="11"/>
        <rFont val="Calibri"/>
        <family val="2"/>
      </rPr>
      <t>α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* d / L</t>
    </r>
    <r>
      <rPr>
        <vertAlign val="subscript"/>
        <sz val="11"/>
        <rFont val="Calibri"/>
        <family val="2"/>
        <scheme val="minor"/>
      </rPr>
      <t>v</t>
    </r>
    <r>
      <rPr>
        <sz val="11"/>
        <rFont val="Calibri"/>
        <family val="2"/>
        <scheme val="minor"/>
      </rPr>
      <t xml:space="preserve"> + 2 ] * √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/ 12 =</t>
    </r>
  </si>
  <si>
    <t>Panjang (L)</t>
  </si>
  <si>
    <r>
      <t>b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=</t>
    </r>
  </si>
  <si>
    <r>
      <t>X</t>
    </r>
    <r>
      <rPr>
        <vertAlign val="subscript"/>
        <sz val="11"/>
        <rFont val="Calibri"/>
        <family val="2"/>
        <scheme val="minor"/>
      </rPr>
      <t>p5</t>
    </r>
    <r>
      <rPr>
        <sz val="11"/>
        <rFont val="Calibri"/>
        <family val="2"/>
        <scheme val="minor"/>
      </rPr>
      <t xml:space="preserve"> = X</t>
    </r>
    <r>
      <rPr>
        <vertAlign val="subscript"/>
        <sz val="11"/>
        <rFont val="Calibri"/>
        <family val="2"/>
        <scheme val="minor"/>
      </rPr>
      <t>5</t>
    </r>
    <r>
      <rPr>
        <sz val="11"/>
        <rFont val="Calibri"/>
        <family val="2"/>
        <scheme val="minor"/>
      </rPr>
      <t xml:space="preserve"> - b / 2 =</t>
    </r>
  </si>
  <si>
    <r>
      <t>X</t>
    </r>
    <r>
      <rPr>
        <vertAlign val="subscript"/>
        <sz val="11"/>
        <rFont val="Calibri"/>
        <family val="2"/>
        <scheme val="minor"/>
      </rPr>
      <t>p6</t>
    </r>
    <r>
      <rPr>
        <sz val="11"/>
        <rFont val="Calibri"/>
        <family val="2"/>
        <scheme val="minor"/>
      </rPr>
      <t xml:space="preserve"> = X</t>
    </r>
    <r>
      <rPr>
        <vertAlign val="subscript"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- b / 2 =</t>
    </r>
  </si>
  <si>
    <r>
      <t>X</t>
    </r>
    <r>
      <rPr>
        <vertAlign val="subscript"/>
        <sz val="11"/>
        <rFont val="Calibri"/>
        <family val="2"/>
        <scheme val="minor"/>
      </rPr>
      <t>p7</t>
    </r>
    <r>
      <rPr>
        <sz val="11"/>
        <rFont val="Calibri"/>
        <family val="2"/>
        <scheme val="minor"/>
      </rPr>
      <t xml:space="preserve"> = X</t>
    </r>
    <r>
      <rPr>
        <vertAlign val="subscript"/>
        <sz val="11"/>
        <rFont val="Calibri"/>
        <family val="2"/>
        <scheme val="minor"/>
      </rPr>
      <t>7</t>
    </r>
    <r>
      <rPr>
        <sz val="11"/>
        <rFont val="Calibri"/>
        <family val="2"/>
        <scheme val="minor"/>
      </rPr>
      <t xml:space="preserve"> - b / 2 =</t>
    </r>
  </si>
  <si>
    <r>
      <t>X</t>
    </r>
    <r>
      <rPr>
        <vertAlign val="subscript"/>
        <sz val="11"/>
        <rFont val="Calibri"/>
        <family val="2"/>
        <scheme val="minor"/>
      </rPr>
      <t>p8</t>
    </r>
    <r>
      <rPr>
        <sz val="11"/>
        <rFont val="Calibri"/>
        <family val="2"/>
        <scheme val="minor"/>
      </rPr>
      <t xml:space="preserve"> = X</t>
    </r>
    <r>
      <rPr>
        <vertAlign val="subscript"/>
        <sz val="11"/>
        <rFont val="Calibri"/>
        <family val="2"/>
        <scheme val="minor"/>
      </rPr>
      <t>8</t>
    </r>
    <r>
      <rPr>
        <sz val="11"/>
        <rFont val="Calibri"/>
        <family val="2"/>
        <scheme val="minor"/>
      </rPr>
      <t xml:space="preserve"> - b / 2 =</t>
    </r>
  </si>
  <si>
    <r>
      <t>h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 h</t>
    </r>
    <r>
      <rPr>
        <vertAlign val="subscript"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=</t>
    </r>
  </si>
  <si>
    <r>
      <t xml:space="preserve">     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</t>
    </r>
    <r>
      <rPr>
        <sz val="11"/>
        <rFont val="Calibri"/>
        <family val="2"/>
      </rPr>
      <t>ρ</t>
    </r>
    <r>
      <rPr>
        <vertAlign val="subscript"/>
        <sz val="11"/>
        <rFont val="Calibri"/>
        <family val="2"/>
        <scheme val="minor"/>
      </rPr>
      <t>smin</t>
    </r>
    <r>
      <rPr>
        <sz val="11"/>
        <rFont val="Calibri"/>
        <family val="2"/>
        <scheme val="minor"/>
      </rPr>
      <t>* b * d =</t>
    </r>
  </si>
  <si>
    <t>Luas tulangan susut perlu,</t>
  </si>
  <si>
    <t>Jarak tulangan susut,</t>
  </si>
  <si>
    <t>Jarak tulangan susut maksimum,</t>
  </si>
  <si>
    <t>Jarak tulangan susut yang digunakan,</t>
  </si>
  <si>
    <r>
      <t xml:space="preserve">     s = </t>
    </r>
    <r>
      <rPr>
        <sz val="11"/>
        <rFont val="Calibri"/>
        <family val="2"/>
      </rPr>
      <t>π</t>
    </r>
    <r>
      <rPr>
        <sz val="11"/>
        <rFont val="Calibri"/>
        <family val="2"/>
        <scheme val="minor"/>
      </rPr>
      <t xml:space="preserve"> / 4 * P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* b / 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</si>
  <si>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r>
      <t>s</t>
    </r>
    <r>
      <rPr>
        <vertAlign val="subscript"/>
        <sz val="11"/>
        <rFont val="Calibri"/>
        <family val="2"/>
        <scheme val="minor"/>
      </rPr>
      <t>max</t>
    </r>
    <r>
      <rPr>
        <sz val="11"/>
        <rFont val="Calibri"/>
        <family val="2"/>
        <scheme val="minor"/>
      </rPr>
      <t xml:space="preserve"> =</t>
    </r>
  </si>
  <si>
    <t xml:space="preserve">s = </t>
  </si>
  <si>
    <r>
      <t>H</t>
    </r>
    <r>
      <rPr>
        <b/>
        <vertAlign val="subscript"/>
        <sz val="11"/>
        <color theme="0"/>
        <rFont val="Calibri Light"/>
        <family val="2"/>
        <scheme val="major"/>
      </rPr>
      <t>X</t>
    </r>
    <r>
      <rPr>
        <b/>
        <sz val="11"/>
        <color theme="0"/>
        <rFont val="Calibri Light"/>
        <family val="2"/>
        <scheme val="major"/>
      </rPr>
      <t xml:space="preserve"> </t>
    </r>
  </si>
  <si>
    <r>
      <t>H</t>
    </r>
    <r>
      <rPr>
        <b/>
        <vertAlign val="subscript"/>
        <sz val="11"/>
        <color theme="0"/>
        <rFont val="Calibri Light"/>
        <family val="2"/>
        <scheme val="major"/>
      </rPr>
      <t>Y</t>
    </r>
  </si>
  <si>
    <t>Pembebanan pada Breast Wall</t>
  </si>
  <si>
    <r>
      <t>W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</si>
  <si>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t>Pembebanan Akibat Tekanan Tanah Aktif</t>
  </si>
  <si>
    <t>Pembebanan Akibat Beban Sendiri</t>
  </si>
  <si>
    <t>Tinggi total puncak ke dasar breastwall,</t>
  </si>
  <si>
    <t>Pembebanan Akibat Tekanan Tanah Seismik</t>
  </si>
  <si>
    <r>
      <t>K</t>
    </r>
    <r>
      <rPr>
        <vertAlign val="subscript"/>
        <sz val="11"/>
        <color theme="1"/>
        <rFont val="Calibri"/>
        <family val="2"/>
        <scheme val="minor"/>
      </rPr>
      <t>AE</t>
    </r>
    <r>
      <rPr>
        <sz val="11"/>
        <color theme="1"/>
        <rFont val="Calibri"/>
        <family val="2"/>
        <scheme val="minor"/>
      </rPr>
      <t xml:space="preserve"> =</t>
    </r>
  </si>
  <si>
    <t>H' =</t>
  </si>
  <si>
    <r>
      <t>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H' * Q</t>
    </r>
    <r>
      <rPr>
        <vertAlign val="subscript"/>
        <sz val="11"/>
        <color theme="1"/>
        <rFont val="Calibri"/>
        <family val="2"/>
        <scheme val="minor"/>
      </rPr>
      <t>P1</t>
    </r>
    <r>
      <rPr>
        <sz val="11"/>
        <color theme="1"/>
        <rFont val="Calibri"/>
        <family val="2"/>
        <scheme val="minor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</si>
  <si>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  <scheme val="minor"/>
      </rPr>
      <t>P1</t>
    </r>
    <r>
      <rPr>
        <sz val="11"/>
        <color theme="1"/>
        <rFont val="Calibri"/>
        <family val="2"/>
        <scheme val="minor"/>
      </rPr>
      <t xml:space="preserve"> = H' / 2 =</t>
    </r>
  </si>
  <si>
    <r>
      <t>Q</t>
    </r>
    <r>
      <rPr>
        <vertAlign val="subscript"/>
        <sz val="11"/>
        <color theme="1"/>
        <rFont val="Calibri"/>
        <family val="2"/>
        <scheme val="minor"/>
      </rPr>
      <t>P2</t>
    </r>
    <r>
      <rPr>
        <sz val="11"/>
        <color theme="1"/>
        <rFont val="Calibri"/>
        <family val="2"/>
        <scheme val="minor"/>
      </rPr>
      <t xml:space="preserve"> = H' * W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* K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</si>
  <si>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0,5 * H' * Q</t>
    </r>
    <r>
      <rPr>
        <vertAlign val="subscript"/>
        <sz val="11"/>
        <color theme="1"/>
        <rFont val="Calibri"/>
        <family val="2"/>
        <scheme val="minor"/>
      </rPr>
      <t>P2</t>
    </r>
    <r>
      <rPr>
        <sz val="11"/>
        <color theme="1"/>
        <rFont val="Calibri"/>
        <family val="2"/>
        <scheme val="minor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</si>
  <si>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  <scheme val="minor"/>
      </rPr>
      <t>P2</t>
    </r>
    <r>
      <rPr>
        <sz val="11"/>
        <color theme="1"/>
        <rFont val="Calibri"/>
        <family val="2"/>
        <scheme val="minor"/>
      </rPr>
      <t xml:space="preserve"> = 1/3 * H' =</t>
    </r>
  </si>
  <si>
    <r>
      <t>M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* 2/3 * H' =</t>
    </r>
  </si>
  <si>
    <r>
      <t>Q</t>
    </r>
    <r>
      <rPr>
        <vertAlign val="subscript"/>
        <sz val="11"/>
        <color theme="1"/>
        <rFont val="Calibri"/>
        <family val="2"/>
        <scheme val="minor"/>
      </rPr>
      <t>SEIS-2</t>
    </r>
    <r>
      <rPr>
        <sz val="11"/>
        <color theme="1"/>
        <rFont val="Calibri"/>
        <family val="2"/>
        <scheme val="minor"/>
      </rPr>
      <t xml:space="preserve"> = W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* H' * 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K</t>
    </r>
    <r>
      <rPr>
        <vertAlign val="subscript"/>
        <sz val="11"/>
        <color theme="1"/>
        <rFont val="Calibri"/>
        <family val="2"/>
        <scheme val="minor"/>
      </rPr>
      <t>AE</t>
    </r>
    <r>
      <rPr>
        <sz val="11"/>
        <color theme="1"/>
        <rFont val="Calibri"/>
        <family val="2"/>
        <scheme val="minor"/>
      </rPr>
      <t xml:space="preserve"> =</t>
    </r>
  </si>
  <si>
    <t>Tekanan tanah seismik di bagian atas breast wall,</t>
  </si>
  <si>
    <r>
      <t>Q</t>
    </r>
    <r>
      <rPr>
        <vertAlign val="subscript"/>
        <sz val="11"/>
        <color theme="1"/>
        <rFont val="Calibri"/>
        <family val="2"/>
        <scheme val="minor"/>
      </rPr>
      <t>SEIS-1</t>
    </r>
    <r>
      <rPr>
        <sz val="11"/>
        <color theme="1"/>
        <rFont val="Calibri"/>
        <family val="2"/>
        <scheme val="minor"/>
      </rPr>
      <t xml:space="preserve"> = W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* (h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+ h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) * 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K</t>
    </r>
    <r>
      <rPr>
        <vertAlign val="subscript"/>
        <sz val="11"/>
        <color theme="1"/>
        <rFont val="Calibri"/>
        <family val="2"/>
        <scheme val="minor"/>
      </rPr>
      <t>AE</t>
    </r>
    <r>
      <rPr>
        <sz val="11"/>
        <color theme="1"/>
        <rFont val="Calibri"/>
        <family val="2"/>
        <scheme val="minor"/>
      </rPr>
      <t xml:space="preserve"> =</t>
    </r>
  </si>
  <si>
    <t>Besar gaya geser pada titik O,</t>
  </si>
  <si>
    <t>Besar momen pada titik O,</t>
  </si>
  <si>
    <t>Jumlah gaya pada titik O</t>
  </si>
  <si>
    <r>
      <t>M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* 0,5 * H' =</t>
    </r>
  </si>
  <si>
    <t>Besar jumlah gaya geser pada titik O,</t>
  </si>
  <si>
    <r>
      <t>P</t>
    </r>
    <r>
      <rPr>
        <vertAlign val="subscript"/>
        <sz val="11"/>
        <color theme="1"/>
        <rFont val="Calibri"/>
        <family val="2"/>
        <scheme val="minor"/>
      </rPr>
      <t>KA</t>
    </r>
    <r>
      <rPr>
        <sz val="11"/>
        <color theme="1"/>
        <rFont val="Calibri"/>
        <family val="2"/>
        <scheme val="minor"/>
      </rPr>
      <t xml:space="preserve"> = (P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* (L) =</t>
    </r>
  </si>
  <si>
    <r>
      <t>M</t>
    </r>
    <r>
      <rPr>
        <vertAlign val="subscript"/>
        <sz val="11"/>
        <color theme="1"/>
        <rFont val="Calibri"/>
        <family val="2"/>
        <scheme val="minor"/>
      </rPr>
      <t>KA</t>
    </r>
    <r>
      <rPr>
        <sz val="11"/>
        <color theme="1"/>
        <rFont val="Calibri"/>
        <family val="2"/>
        <scheme val="minor"/>
      </rPr>
      <t xml:space="preserve"> = (M</t>
    </r>
    <r>
      <rPr>
        <vertAlign val="subscript"/>
        <sz val="11"/>
        <color theme="1"/>
        <rFont val="Calibri"/>
        <family val="2"/>
        <scheme val="minor"/>
      </rPr>
      <t>P1</t>
    </r>
    <r>
      <rPr>
        <sz val="11"/>
        <color theme="1"/>
        <rFont val="Calibri"/>
        <family val="2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P2</t>
    </r>
    <r>
      <rPr>
        <sz val="11"/>
        <color theme="1"/>
        <rFont val="Calibri"/>
        <family val="2"/>
        <scheme val="minor"/>
      </rPr>
      <t>) * (L) =</t>
    </r>
  </si>
  <si>
    <r>
      <t>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H' * Q</t>
    </r>
    <r>
      <rPr>
        <vertAlign val="subscript"/>
        <sz val="11"/>
        <color theme="1"/>
        <rFont val="Calibri"/>
        <family val="2"/>
        <scheme val="minor"/>
      </rPr>
      <t>seis-1</t>
    </r>
    <r>
      <rPr>
        <sz val="11"/>
        <color theme="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</si>
  <si>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0,5 * H' * Q</t>
    </r>
    <r>
      <rPr>
        <vertAlign val="subscript"/>
        <sz val="11"/>
        <color theme="1"/>
        <rFont val="Calibri"/>
        <family val="2"/>
        <scheme val="minor"/>
      </rPr>
      <t>seis-2</t>
    </r>
    <r>
      <rPr>
        <sz val="11"/>
        <color theme="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</si>
  <si>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KAE</t>
    </r>
    <r>
      <rPr>
        <sz val="11"/>
        <color theme="1"/>
        <rFont val="Calibri"/>
        <family val="2"/>
        <scheme val="minor"/>
      </rPr>
      <t xml:space="preserve"> = (P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* (L) =</t>
    </r>
  </si>
  <si>
    <r>
      <t>M</t>
    </r>
    <r>
      <rPr>
        <vertAlign val="subscript"/>
        <sz val="11"/>
        <color theme="1"/>
        <rFont val="Calibri"/>
        <family val="2"/>
        <scheme val="minor"/>
      </rPr>
      <t>KAE</t>
    </r>
    <r>
      <rPr>
        <sz val="11"/>
        <color theme="1"/>
        <rFont val="Calibri"/>
        <family val="2"/>
        <scheme val="minor"/>
      </rPr>
      <t xml:space="preserve"> = (M</t>
    </r>
    <r>
      <rPr>
        <vertAlign val="subscript"/>
        <sz val="11"/>
        <color theme="1"/>
        <rFont val="Calibri"/>
        <family val="2"/>
        <scheme val="minor"/>
      </rPr>
      <t>P1</t>
    </r>
    <r>
      <rPr>
        <sz val="11"/>
        <color theme="1"/>
        <rFont val="Calibri"/>
        <family val="2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P2</t>
    </r>
    <r>
      <rPr>
        <sz val="11"/>
        <color theme="1"/>
        <rFont val="Calibri"/>
        <family val="2"/>
        <scheme val="minor"/>
      </rPr>
      <t>) * (L) =</t>
    </r>
  </si>
  <si>
    <t>Pembebanan Akibat Gempa</t>
  </si>
  <si>
    <t>Berat Seis</t>
  </si>
  <si>
    <r>
      <t>h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 xml:space="preserve"> =</t>
    </r>
  </si>
  <si>
    <t>Rekapitulasi beban dan momen pada titik O</t>
  </si>
  <si>
    <t>Tinggi titik beban bangunan atas thd dasar breast wall,</t>
  </si>
  <si>
    <r>
      <t>H</t>
    </r>
    <r>
      <rPr>
        <vertAlign val="subscript"/>
        <sz val="11"/>
        <color theme="1"/>
        <rFont val="Calibri"/>
        <family val="2"/>
        <scheme val="minor"/>
      </rPr>
      <t xml:space="preserve">p </t>
    </r>
    <r>
      <rPr>
        <sz val="11"/>
        <color theme="1"/>
        <rFont val="Calibri"/>
        <family val="2"/>
        <scheme val="minor"/>
      </rPr>
      <t>=</t>
    </r>
  </si>
  <si>
    <r>
      <t>H</t>
    </r>
    <r>
      <rPr>
        <b/>
        <vertAlign val="subscript"/>
        <sz val="11"/>
        <rFont val="Calibri Light"/>
        <family val="2"/>
        <scheme val="major"/>
      </rPr>
      <t>O</t>
    </r>
    <r>
      <rPr>
        <b/>
        <sz val="11"/>
        <rFont val="Calibri Light"/>
        <family val="2"/>
        <scheme val="major"/>
      </rPr>
      <t xml:space="preserve"> </t>
    </r>
  </si>
  <si>
    <r>
      <t>M</t>
    </r>
    <r>
      <rPr>
        <b/>
        <vertAlign val="subscript"/>
        <sz val="11"/>
        <rFont val="Calibri Light"/>
        <family val="2"/>
        <scheme val="major"/>
      </rPr>
      <t>O</t>
    </r>
  </si>
  <si>
    <t>Gaya momen acuan untuk perencanaan tulangan breast wall,</t>
  </si>
  <si>
    <r>
      <t>H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</si>
  <si>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=</t>
    </r>
  </si>
  <si>
    <t>BREAST WALL</t>
  </si>
  <si>
    <t>Pembebanan pada Back Wall Bawah</t>
  </si>
  <si>
    <t>Eksentrisitas P dengan titik O,</t>
  </si>
  <si>
    <r>
      <t>Q</t>
    </r>
    <r>
      <rPr>
        <vertAlign val="subscript"/>
        <sz val="11"/>
        <color theme="1"/>
        <rFont val="Calibri"/>
        <family val="2"/>
        <scheme val="minor"/>
      </rPr>
      <t>SEIS-1</t>
    </r>
    <r>
      <rPr>
        <sz val="11"/>
        <color theme="1"/>
        <rFont val="Calibri"/>
        <family val="2"/>
        <scheme val="minor"/>
      </rPr>
      <t xml:space="preserve"> = W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* (H - h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) * 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K</t>
    </r>
    <r>
      <rPr>
        <vertAlign val="subscript"/>
        <sz val="11"/>
        <color theme="1"/>
        <rFont val="Calibri"/>
        <family val="2"/>
        <scheme val="minor"/>
      </rPr>
      <t>AE</t>
    </r>
    <r>
      <rPr>
        <sz val="11"/>
        <color theme="1"/>
        <rFont val="Calibri"/>
        <family val="2"/>
        <scheme val="minor"/>
      </rPr>
      <t xml:space="preserve"> =</t>
    </r>
  </si>
  <si>
    <t>Gaya geser acuan untuk perencanaan tulangan breast wall,</t>
  </si>
  <si>
    <t>Pembebanan pada Back Wall Atas</t>
  </si>
  <si>
    <t>+ = menjauh (searah jarum jam)</t>
  </si>
  <si>
    <t>- = mendekat (berlawanan arah jarum jam)</t>
  </si>
  <si>
    <t>(Layan)</t>
  </si>
  <si>
    <t>(Seismik)</t>
  </si>
  <si>
    <t>Gaya geser acuan untuk perencanaan tulangan back wall bawah,</t>
  </si>
  <si>
    <t>Gaya momen acuan untuk perencanaan tulangan back wall bawah,</t>
  </si>
  <si>
    <r>
      <t>Q</t>
    </r>
    <r>
      <rPr>
        <vertAlign val="subscript"/>
        <sz val="11"/>
        <color theme="1"/>
        <rFont val="Calibri"/>
        <family val="2"/>
        <scheme val="minor"/>
      </rPr>
      <t>SEIS-1</t>
    </r>
    <r>
      <rPr>
        <sz val="11"/>
        <color theme="1"/>
        <rFont val="Calibri"/>
        <family val="2"/>
        <scheme val="minor"/>
      </rPr>
      <t xml:space="preserve"> = W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* (H - h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) * 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K</t>
    </r>
    <r>
      <rPr>
        <vertAlign val="subscript"/>
        <sz val="11"/>
        <color theme="1"/>
        <rFont val="Calibri"/>
        <family val="2"/>
        <scheme val="minor"/>
      </rPr>
      <t>AE</t>
    </r>
    <r>
      <rPr>
        <sz val="11"/>
        <color theme="1"/>
        <rFont val="Calibri"/>
        <family val="2"/>
        <scheme val="minor"/>
      </rPr>
      <t xml:space="preserve"> =</t>
    </r>
  </si>
  <si>
    <t>Gaya geser acuan untuk perencanaan tulangan back wall atas,</t>
  </si>
  <si>
    <t>Gaya momen acuan untuk perencanaan tulangan back wall atas,</t>
  </si>
  <si>
    <t>Pembebanan pada Konson Jacking</t>
  </si>
  <si>
    <t>Besar nilai beban pada konsol,</t>
  </si>
  <si>
    <r>
      <t>P</t>
    </r>
    <r>
      <rPr>
        <vertAlign val="subscript"/>
        <sz val="11"/>
        <color theme="1"/>
        <rFont val="Calibri"/>
        <family val="2"/>
        <scheme val="minor"/>
      </rPr>
      <t>jack</t>
    </r>
    <r>
      <rPr>
        <sz val="11"/>
        <color theme="1"/>
        <rFont val="Calibri"/>
        <family val="2"/>
        <scheme val="minor"/>
      </rPr>
      <t xml:space="preserve"> = 1,3 * MS + 2,0 * MA =</t>
    </r>
  </si>
  <si>
    <t>Pembebanan pada Wings Wall</t>
  </si>
  <si>
    <t>Ilustrasi titik yang ditinjau pada wings wall :</t>
  </si>
  <si>
    <t>Tinggi total puncak ke dasar wings wall,</t>
  </si>
  <si>
    <r>
      <t>a. Untuk P</t>
    </r>
    <r>
      <rPr>
        <b/>
        <vertAlign val="subscript"/>
        <sz val="11"/>
        <color theme="1"/>
        <rFont val="Calibri"/>
        <family val="2"/>
        <scheme val="minor"/>
      </rPr>
      <t>O1</t>
    </r>
    <r>
      <rPr>
        <b/>
        <sz val="11"/>
        <color theme="1"/>
        <rFont val="Calibri"/>
        <family val="2"/>
        <scheme val="minor"/>
      </rPr>
      <t xml:space="preserve"> dan M</t>
    </r>
    <r>
      <rPr>
        <b/>
        <vertAlign val="subscript"/>
        <sz val="11"/>
        <color theme="1"/>
        <rFont val="Calibri"/>
        <family val="2"/>
        <scheme val="minor"/>
      </rPr>
      <t>O1</t>
    </r>
  </si>
  <si>
    <r>
      <t>b. Untuk P</t>
    </r>
    <r>
      <rPr>
        <b/>
        <vertAlign val="subscript"/>
        <sz val="11"/>
        <color theme="1"/>
        <rFont val="Calibri"/>
        <family val="2"/>
        <scheme val="minor"/>
      </rPr>
      <t>O2</t>
    </r>
    <r>
      <rPr>
        <b/>
        <sz val="11"/>
        <color theme="1"/>
        <rFont val="Calibri"/>
        <family val="2"/>
        <scheme val="minor"/>
      </rPr>
      <t xml:space="preserve"> dan M</t>
    </r>
    <r>
      <rPr>
        <b/>
        <vertAlign val="subscript"/>
        <sz val="11"/>
        <color theme="1"/>
        <rFont val="Calibri"/>
        <family val="2"/>
        <scheme val="minor"/>
      </rPr>
      <t>O2</t>
    </r>
  </si>
  <si>
    <r>
      <t>Y</t>
    </r>
    <r>
      <rPr>
        <vertAlign val="subscript"/>
        <sz val="11"/>
        <color theme="1"/>
        <rFont val="Calibri"/>
        <family val="2"/>
        <scheme val="minor"/>
      </rPr>
      <t>P1</t>
    </r>
    <r>
      <rPr>
        <sz val="11"/>
        <color theme="1"/>
        <rFont val="Calibri"/>
        <family val="2"/>
        <scheme val="minor"/>
      </rPr>
      <t xml:space="preserve"> = B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/ 2 =</t>
    </r>
  </si>
  <si>
    <r>
      <t>Y</t>
    </r>
    <r>
      <rPr>
        <vertAlign val="subscript"/>
        <sz val="11"/>
        <color theme="1"/>
        <rFont val="Calibri"/>
        <family val="2"/>
        <scheme val="minor"/>
      </rPr>
      <t>P2</t>
    </r>
    <r>
      <rPr>
        <sz val="11"/>
        <color theme="1"/>
        <rFont val="Calibri"/>
        <family val="2"/>
        <scheme val="minor"/>
      </rPr>
      <t xml:space="preserve"> = B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/ 2 =</t>
    </r>
  </si>
  <si>
    <r>
      <t>Q</t>
    </r>
    <r>
      <rPr>
        <vertAlign val="subscript"/>
        <sz val="11"/>
        <color theme="1"/>
        <rFont val="Calibri"/>
        <family val="2"/>
        <scheme val="minor"/>
      </rPr>
      <t>SEIS-1</t>
    </r>
    <r>
      <rPr>
        <sz val="11"/>
        <color theme="1"/>
        <rFont val="Calibri"/>
        <family val="2"/>
        <scheme val="minor"/>
      </rPr>
      <t xml:space="preserve"> = W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* h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* 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K</t>
    </r>
    <r>
      <rPr>
        <vertAlign val="subscript"/>
        <sz val="11"/>
        <color theme="1"/>
        <rFont val="Calibri"/>
        <family val="2"/>
        <scheme val="minor"/>
      </rPr>
      <t>AE</t>
    </r>
    <r>
      <rPr>
        <sz val="11"/>
        <color theme="1"/>
        <rFont val="Calibri"/>
        <family val="2"/>
        <scheme val="minor"/>
      </rPr>
      <t xml:space="preserve"> =</t>
    </r>
  </si>
  <si>
    <t>M1</t>
  </si>
  <si>
    <t>M2</t>
  </si>
  <si>
    <r>
      <t>M</t>
    </r>
    <r>
      <rPr>
        <b/>
        <vertAlign val="subscript"/>
        <sz val="11"/>
        <rFont val="Calibri Light"/>
        <family val="2"/>
        <scheme val="major"/>
      </rPr>
      <t>O1</t>
    </r>
  </si>
  <si>
    <r>
      <t>H</t>
    </r>
    <r>
      <rPr>
        <b/>
        <vertAlign val="subscript"/>
        <sz val="11"/>
        <rFont val="Calibri Light"/>
        <family val="2"/>
        <scheme val="major"/>
      </rPr>
      <t>O1</t>
    </r>
    <r>
      <rPr>
        <b/>
        <sz val="11"/>
        <rFont val="Calibri Light"/>
        <family val="2"/>
        <scheme val="major"/>
      </rPr>
      <t xml:space="preserve"> </t>
    </r>
  </si>
  <si>
    <r>
      <t>H</t>
    </r>
    <r>
      <rPr>
        <b/>
        <vertAlign val="subscript"/>
        <sz val="11"/>
        <rFont val="Calibri Light"/>
        <family val="2"/>
        <scheme val="major"/>
      </rPr>
      <t>O2</t>
    </r>
  </si>
  <si>
    <r>
      <t>M</t>
    </r>
    <r>
      <rPr>
        <b/>
        <vertAlign val="subscript"/>
        <sz val="11"/>
        <rFont val="Calibri Light"/>
        <family val="2"/>
        <scheme val="major"/>
      </rPr>
      <t>O2</t>
    </r>
  </si>
  <si>
    <r>
      <t>H</t>
    </r>
    <r>
      <rPr>
        <vertAlign val="subscript"/>
        <sz val="11"/>
        <color theme="1"/>
        <rFont val="Calibri"/>
        <family val="2"/>
        <scheme val="minor"/>
      </rPr>
      <t>O1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</si>
  <si>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O1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</si>
  <si>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O2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</si>
  <si>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O2</t>
    </r>
    <r>
      <rPr>
        <sz val="11"/>
        <color theme="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</si>
  <si>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EQ</t>
    </r>
    <r>
      <rPr>
        <sz val="11"/>
        <color theme="1"/>
        <rFont val="Calibri"/>
        <family val="2"/>
        <scheme val="minor"/>
      </rPr>
      <t xml:space="preserve"> = B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/ ( H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+ B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) * Berat Seismik =</t>
    </r>
  </si>
  <si>
    <r>
      <t>M</t>
    </r>
    <r>
      <rPr>
        <vertAlign val="subscript"/>
        <sz val="11"/>
        <color theme="1"/>
        <rFont val="Calibri"/>
        <family val="2"/>
        <scheme val="minor"/>
      </rPr>
      <t>EQ</t>
    </r>
    <r>
      <rPr>
        <sz val="11"/>
        <color theme="1"/>
        <rFont val="Calibri"/>
        <family val="2"/>
        <scheme val="minor"/>
      </rPr>
      <t xml:space="preserve"> = Momen =</t>
    </r>
  </si>
  <si>
    <t>PEMBESIAN BREAST WALL</t>
  </si>
  <si>
    <r>
      <t>M</t>
    </r>
    <r>
      <rPr>
        <vertAlign val="sub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</si>
  <si>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 b</t>
    </r>
    <r>
      <rPr>
        <vertAlign val="subscript"/>
        <sz val="11"/>
        <rFont val="Calibri"/>
        <family val="2"/>
        <scheme val="minor"/>
      </rPr>
      <t>5</t>
    </r>
    <r>
      <rPr>
        <sz val="11"/>
        <rFont val="Calibri"/>
        <family val="2"/>
        <scheme val="minor"/>
      </rPr>
      <t xml:space="preserve"> =</t>
    </r>
  </si>
  <si>
    <t>Tulangan Lentur</t>
  </si>
  <si>
    <t>Pengecekan Geser</t>
  </si>
  <si>
    <r>
      <t>V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 H</t>
    </r>
    <r>
      <rPr>
        <vertAlign val="sub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=</t>
    </r>
  </si>
  <si>
    <r>
      <t>d = b</t>
    </r>
    <r>
      <rPr>
        <vertAlign val="subscript"/>
        <sz val="11"/>
        <rFont val="Calibri"/>
        <family val="2"/>
        <scheme val="minor"/>
      </rPr>
      <t>5</t>
    </r>
    <r>
      <rPr>
        <sz val="11"/>
        <rFont val="Calibri"/>
        <family val="2"/>
        <scheme val="minor"/>
      </rPr>
      <t xml:space="preserve"> - d' =</t>
    </r>
  </si>
  <si>
    <t>PEMBESIAN BACK WALL BAWAH</t>
  </si>
  <si>
    <r>
      <t>h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 b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</si>
  <si>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t>Diameter tulangan utama breast wall,</t>
  </si>
  <si>
    <t>Diameter tulangan susut breast wall,</t>
  </si>
  <si>
    <t>PEMBESIAN BACK WALL ATAS</t>
  </si>
  <si>
    <r>
      <t>h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 b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</t>
    </r>
  </si>
  <si>
    <t>Diameter tulangan utama back wall bawah,</t>
  </si>
  <si>
    <t>Diameter tulangan susut back wall bawah,</t>
  </si>
  <si>
    <t>Diameter tulangan utama back wall atas,</t>
  </si>
  <si>
    <t>Diameter tulangan susut back wall atas,</t>
  </si>
  <si>
    <t>PEMBESIAN WINGS WALL ARAH VERTIKAL</t>
  </si>
  <si>
    <r>
      <t>b = B</t>
    </r>
    <r>
      <rPr>
        <vertAlign val="subscript"/>
        <sz val="11"/>
        <rFont val="Calibri"/>
        <family val="2"/>
        <scheme val="minor"/>
      </rPr>
      <t>W</t>
    </r>
    <r>
      <rPr>
        <sz val="1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</si>
  <si>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 T</t>
    </r>
    <r>
      <rPr>
        <vertAlign val="subscript"/>
        <sz val="11"/>
        <rFont val="Calibri"/>
        <family val="2"/>
        <scheme val="minor"/>
      </rPr>
      <t>W</t>
    </r>
    <r>
      <rPr>
        <sz val="11"/>
        <rFont val="Calibri"/>
        <family val="2"/>
        <scheme val="minor"/>
      </rPr>
      <t xml:space="preserve"> =</t>
    </r>
  </si>
  <si>
    <t>Diameter tulangan utama Wings Wall Vertikal,</t>
  </si>
  <si>
    <t>Diameter tulangan utama Wings Wall Horizontal,</t>
  </si>
  <si>
    <t>d = b - d' =</t>
  </si>
  <si>
    <t>PEMBESIAN WINGS WALL ARAH HORIZONTAL</t>
  </si>
  <si>
    <t>Faktor pengali panjang wilayah wings wall,</t>
  </si>
  <si>
    <r>
      <t>a = h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+ 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+h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=</t>
    </r>
  </si>
  <si>
    <r>
      <t>b = b</t>
    </r>
    <r>
      <rPr>
        <vertAlign val="subscript"/>
        <sz val="11"/>
        <color theme="1"/>
        <rFont val="Calibri"/>
        <family val="2"/>
        <scheme val="minor"/>
      </rPr>
      <t>6a</t>
    </r>
    <r>
      <rPr>
        <sz val="11"/>
        <color theme="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</si>
  <si>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EQ</t>
    </r>
    <r>
      <rPr>
        <sz val="11"/>
        <color theme="1"/>
        <rFont val="Calibri"/>
        <family val="2"/>
        <scheme val="minor"/>
      </rPr>
      <t xml:space="preserve"> = b / (a + b) * Berat Seismik =</t>
    </r>
  </si>
  <si>
    <r>
      <t>M</t>
    </r>
    <r>
      <rPr>
        <vertAlign val="subscript"/>
        <sz val="11"/>
        <color theme="1"/>
        <rFont val="Calibri"/>
        <family val="2"/>
        <scheme val="minor"/>
      </rPr>
      <t>EQ</t>
    </r>
    <r>
      <rPr>
        <sz val="11"/>
        <color theme="1"/>
        <rFont val="Calibri"/>
        <family val="2"/>
        <scheme val="minor"/>
      </rPr>
      <t xml:space="preserve"> = b / (a + b) * M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</si>
  <si>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EQ</t>
    </r>
    <r>
      <rPr>
        <sz val="11"/>
        <color theme="1"/>
        <rFont val="Calibri"/>
        <family val="2"/>
        <scheme val="minor"/>
      </rPr>
      <t xml:space="preserve"> = a / (a + b) * Berat Seismik =</t>
    </r>
  </si>
  <si>
    <r>
      <t>M</t>
    </r>
    <r>
      <rPr>
        <vertAlign val="subscript"/>
        <sz val="11"/>
        <color theme="1"/>
        <rFont val="Calibri"/>
        <family val="2"/>
        <scheme val="minor"/>
      </rPr>
      <t>EQ</t>
    </r>
    <r>
      <rPr>
        <sz val="11"/>
        <color theme="1"/>
        <rFont val="Calibri"/>
        <family val="2"/>
        <scheme val="minor"/>
      </rPr>
      <t xml:space="preserve"> = a / (a + b) * M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</si>
  <si>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t>Lebar wings wall,</t>
  </si>
  <si>
    <r>
      <t>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=</t>
    </r>
  </si>
  <si>
    <r>
      <t>b = b</t>
    </r>
    <r>
      <rPr>
        <vertAlign val="subscript"/>
        <sz val="11"/>
        <rFont val="Calibri"/>
        <family val="2"/>
        <scheme val="minor"/>
      </rPr>
      <t>6a</t>
    </r>
    <r>
      <rPr>
        <sz val="11"/>
        <rFont val="Calibri"/>
        <family val="2"/>
        <scheme val="minor"/>
      </rPr>
      <t xml:space="preserve"> =</t>
    </r>
  </si>
  <si>
    <r>
      <t>b = 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+ h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+ h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+ h</t>
    </r>
    <r>
      <rPr>
        <vertAlign val="sub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+h</t>
    </r>
    <r>
      <rPr>
        <vertAlign val="subscript"/>
        <sz val="11"/>
        <rFont val="Calibri"/>
        <family val="2"/>
        <scheme val="minor"/>
      </rPr>
      <t>5</t>
    </r>
    <r>
      <rPr>
        <sz val="11"/>
        <rFont val="Calibri"/>
        <family val="2"/>
        <scheme val="minor"/>
      </rPr>
      <t xml:space="preserve"> =</t>
    </r>
  </si>
  <si>
    <t>Area</t>
  </si>
  <si>
    <t>Lebar ekivalen dari wings wall,</t>
  </si>
  <si>
    <r>
      <t>Luas total wings wall (A</t>
    </r>
    <r>
      <rPr>
        <b/>
        <vertAlign val="subscript"/>
        <sz val="11"/>
        <color theme="1"/>
        <rFont val="Calibri"/>
        <family val="2"/>
        <scheme val="minor"/>
      </rPr>
      <t>W</t>
    </r>
    <r>
      <rPr>
        <b/>
        <sz val="11"/>
        <color theme="1"/>
        <rFont val="Calibri"/>
        <family val="2"/>
        <scheme val="minor"/>
      </rPr>
      <t>)</t>
    </r>
  </si>
  <si>
    <r>
      <t>L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= A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/ (h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+ 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+ h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 =</t>
    </r>
  </si>
  <si>
    <r>
      <t>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H' * Q</t>
    </r>
    <r>
      <rPr>
        <vertAlign val="subscript"/>
        <sz val="11"/>
        <color theme="1"/>
        <rFont val="Calibri"/>
        <family val="2"/>
        <scheme val="minor"/>
      </rPr>
      <t>P1</t>
    </r>
    <r>
      <rPr>
        <sz val="11"/>
        <color theme="1"/>
        <rFont val="Calibri"/>
        <family val="2"/>
        <scheme val="minor"/>
      </rPr>
      <t xml:space="preserve"> * L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</si>
  <si>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0,5 * H' * Q</t>
    </r>
    <r>
      <rPr>
        <vertAlign val="subscript"/>
        <sz val="11"/>
        <color theme="1"/>
        <rFont val="Calibri"/>
        <family val="2"/>
        <scheme val="minor"/>
      </rPr>
      <t>P2</t>
    </r>
    <r>
      <rPr>
        <sz val="11"/>
        <color theme="1"/>
        <rFont val="Calibri"/>
        <family val="2"/>
        <scheme val="minor"/>
      </rPr>
      <t xml:space="preserve"> * L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</si>
  <si>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KA</t>
    </r>
    <r>
      <rPr>
        <sz val="11"/>
        <color theme="1"/>
        <rFont val="Calibri"/>
        <family val="2"/>
        <scheme val="minor"/>
      </rPr>
      <t xml:space="preserve"> = b / (a + b) * (P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=</t>
    </r>
  </si>
  <si>
    <r>
      <t>M</t>
    </r>
    <r>
      <rPr>
        <vertAlign val="subscript"/>
        <sz val="11"/>
        <color theme="1"/>
        <rFont val="Calibri"/>
        <family val="2"/>
        <scheme val="minor"/>
      </rPr>
      <t>KA</t>
    </r>
    <r>
      <rPr>
        <sz val="11"/>
        <color theme="1"/>
        <rFont val="Calibri"/>
        <family val="2"/>
        <scheme val="minor"/>
      </rPr>
      <t xml:space="preserve"> = b / (a + b) * (M</t>
    </r>
    <r>
      <rPr>
        <vertAlign val="subscript"/>
        <sz val="11"/>
        <color theme="1"/>
        <rFont val="Calibri"/>
        <family val="2"/>
        <scheme val="minor"/>
      </rPr>
      <t>P1</t>
    </r>
    <r>
      <rPr>
        <sz val="11"/>
        <color theme="1"/>
        <rFont val="Calibri"/>
        <family val="2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P2</t>
    </r>
    <r>
      <rPr>
        <sz val="11"/>
        <color theme="1"/>
        <rFont val="Calibri"/>
        <family val="2"/>
        <scheme val="minor"/>
      </rPr>
      <t>) =</t>
    </r>
  </si>
  <si>
    <r>
      <t>P</t>
    </r>
    <r>
      <rPr>
        <vertAlign val="subscript"/>
        <sz val="11"/>
        <color theme="1"/>
        <rFont val="Calibri"/>
        <family val="2"/>
        <scheme val="minor"/>
      </rPr>
      <t>KA</t>
    </r>
    <r>
      <rPr>
        <sz val="11"/>
        <color theme="1"/>
        <rFont val="Calibri"/>
        <family val="2"/>
        <scheme val="minor"/>
      </rPr>
      <t xml:space="preserve"> = a / (a + b) * (P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=</t>
    </r>
  </si>
  <si>
    <r>
      <t>M</t>
    </r>
    <r>
      <rPr>
        <vertAlign val="subscript"/>
        <sz val="11"/>
        <color theme="1"/>
        <rFont val="Calibri"/>
        <family val="2"/>
        <scheme val="minor"/>
      </rPr>
      <t>KA</t>
    </r>
    <r>
      <rPr>
        <sz val="11"/>
        <color theme="1"/>
        <rFont val="Calibri"/>
        <family val="2"/>
        <scheme val="minor"/>
      </rPr>
      <t xml:space="preserve"> = a / (a + b) * (M</t>
    </r>
    <r>
      <rPr>
        <vertAlign val="subscript"/>
        <sz val="11"/>
        <color theme="1"/>
        <rFont val="Calibri"/>
        <family val="2"/>
        <scheme val="minor"/>
      </rPr>
      <t>P1</t>
    </r>
    <r>
      <rPr>
        <sz val="11"/>
        <color theme="1"/>
        <rFont val="Calibri"/>
        <family val="2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P2</t>
    </r>
    <r>
      <rPr>
        <sz val="11"/>
        <color theme="1"/>
        <rFont val="Calibri"/>
        <family val="2"/>
        <scheme val="minor"/>
      </rPr>
      <t>) =</t>
    </r>
  </si>
  <si>
    <r>
      <t>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H' * Q</t>
    </r>
    <r>
      <rPr>
        <vertAlign val="subscript"/>
        <sz val="11"/>
        <color theme="1"/>
        <rFont val="Calibri"/>
        <family val="2"/>
        <scheme val="minor"/>
      </rPr>
      <t>seis-1</t>
    </r>
    <r>
      <rPr>
        <sz val="11"/>
        <color theme="1"/>
        <rFont val="Calibri"/>
        <family val="2"/>
        <scheme val="minor"/>
      </rPr>
      <t xml:space="preserve"> * L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</si>
  <si>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0,5 * H' * Q</t>
    </r>
    <r>
      <rPr>
        <vertAlign val="subscript"/>
        <sz val="11"/>
        <color theme="1"/>
        <rFont val="Calibri"/>
        <family val="2"/>
        <scheme val="minor"/>
      </rPr>
      <t>seis-2</t>
    </r>
    <r>
      <rPr>
        <sz val="11"/>
        <color theme="1"/>
        <rFont val="Calibri"/>
        <family val="2"/>
        <scheme val="minor"/>
      </rPr>
      <t xml:space="preserve"> * L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</si>
  <si>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KAE</t>
    </r>
    <r>
      <rPr>
        <sz val="11"/>
        <color theme="1"/>
        <rFont val="Calibri"/>
        <family val="2"/>
        <scheme val="minor"/>
      </rPr>
      <t xml:space="preserve"> = b / (a + b) * (P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=</t>
    </r>
  </si>
  <si>
    <r>
      <t>M</t>
    </r>
    <r>
      <rPr>
        <vertAlign val="subscript"/>
        <sz val="11"/>
        <color theme="1"/>
        <rFont val="Calibri"/>
        <family val="2"/>
        <scheme val="minor"/>
      </rPr>
      <t>KAE</t>
    </r>
    <r>
      <rPr>
        <sz val="11"/>
        <color theme="1"/>
        <rFont val="Calibri"/>
        <family val="2"/>
        <scheme val="minor"/>
      </rPr>
      <t xml:space="preserve"> = b / (a + b) * (M</t>
    </r>
    <r>
      <rPr>
        <vertAlign val="subscript"/>
        <sz val="11"/>
        <color theme="1"/>
        <rFont val="Calibri"/>
        <family val="2"/>
        <scheme val="minor"/>
      </rPr>
      <t>P1</t>
    </r>
    <r>
      <rPr>
        <sz val="11"/>
        <color theme="1"/>
        <rFont val="Calibri"/>
        <family val="2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P2</t>
    </r>
    <r>
      <rPr>
        <sz val="11"/>
        <color theme="1"/>
        <rFont val="Calibri"/>
        <family val="2"/>
        <scheme val="minor"/>
      </rPr>
      <t>) =</t>
    </r>
  </si>
  <si>
    <r>
      <t>P</t>
    </r>
    <r>
      <rPr>
        <vertAlign val="subscript"/>
        <sz val="11"/>
        <color theme="1"/>
        <rFont val="Calibri"/>
        <family val="2"/>
        <scheme val="minor"/>
      </rPr>
      <t>KAE</t>
    </r>
    <r>
      <rPr>
        <sz val="11"/>
        <color theme="1"/>
        <rFont val="Calibri"/>
        <family val="2"/>
        <scheme val="minor"/>
      </rPr>
      <t xml:space="preserve"> = a / (a + b) * (P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=</t>
    </r>
  </si>
  <si>
    <r>
      <t>M</t>
    </r>
    <r>
      <rPr>
        <vertAlign val="subscript"/>
        <sz val="11"/>
        <color theme="1"/>
        <rFont val="Calibri"/>
        <family val="2"/>
        <scheme val="minor"/>
      </rPr>
      <t>KAE</t>
    </r>
    <r>
      <rPr>
        <sz val="11"/>
        <color theme="1"/>
        <rFont val="Calibri"/>
        <family val="2"/>
        <scheme val="minor"/>
      </rPr>
      <t xml:space="preserve"> = a / (a + b) * (M</t>
    </r>
    <r>
      <rPr>
        <vertAlign val="subscript"/>
        <sz val="11"/>
        <color theme="1"/>
        <rFont val="Calibri"/>
        <family val="2"/>
        <scheme val="minor"/>
      </rPr>
      <t>P1</t>
    </r>
    <r>
      <rPr>
        <sz val="11"/>
        <color theme="1"/>
        <rFont val="Calibri"/>
        <family val="2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P2</t>
    </r>
    <r>
      <rPr>
        <sz val="11"/>
        <color theme="1"/>
        <rFont val="Calibri"/>
        <family val="2"/>
        <scheme val="minor"/>
      </rPr>
      <t>) =</t>
    </r>
  </si>
  <si>
    <t>Tinggi efektif penampang beton,</t>
  </si>
  <si>
    <t>Luas penampang beton yang menahan penyaluran geser,</t>
  </si>
  <si>
    <r>
      <t>A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 b * d =</t>
    </r>
  </si>
  <si>
    <t>Koefisien friksi,</t>
  </si>
  <si>
    <t>μ =</t>
  </si>
  <si>
    <t>Faktor reduksi untuk gaya momen, geser, &amp; tarik,</t>
  </si>
  <si>
    <r>
      <rPr>
        <i/>
        <sz val="11"/>
        <color theme="1"/>
        <rFont val="Calibri"/>
        <family val="2"/>
      </rPr>
      <t>φ</t>
    </r>
    <r>
      <rPr>
        <sz val="11"/>
        <color theme="1"/>
        <rFont val="Calibri"/>
        <family val="2"/>
      </rPr>
      <t xml:space="preserve"> =</t>
    </r>
  </si>
  <si>
    <t>Kontrol dimensi penampang balok konsol,</t>
  </si>
  <si>
    <t>&lt;</t>
  </si>
  <si>
    <t>Kebutuhan Tulangan Utama Berdasarkan Gaya Momen</t>
  </si>
  <si>
    <t>Nilai momen negatif maksimum pada daerah tumpuan,</t>
  </si>
  <si>
    <t>Faktor tahanan momen,</t>
  </si>
  <si>
    <r>
      <t>R</t>
    </r>
    <r>
      <rPr>
        <i/>
        <vertAlign val="subscript"/>
        <sz val="11"/>
        <rFont val="Calibri"/>
        <family val="2"/>
        <scheme val="minor"/>
      </rPr>
      <t>n</t>
    </r>
    <r>
      <rPr>
        <i/>
        <sz val="11"/>
        <rFont val="Calibri"/>
        <family val="2"/>
        <scheme val="minor"/>
      </rPr>
      <t xml:space="preserve">  = M</t>
    </r>
    <r>
      <rPr>
        <i/>
        <vertAlign val="subscript"/>
        <sz val="11"/>
        <rFont val="Calibri"/>
        <family val="2"/>
        <scheme val="minor"/>
      </rPr>
      <t>u</t>
    </r>
    <r>
      <rPr>
        <i/>
        <sz val="11"/>
        <rFont val="Calibri"/>
        <family val="2"/>
        <scheme val="minor"/>
      </rPr>
      <t xml:space="preserve"> / ( φ</t>
    </r>
    <r>
      <rPr>
        <sz val="11"/>
        <rFont val="Calibri"/>
        <family val="2"/>
        <scheme val="minor"/>
      </rPr>
      <t xml:space="preserve"> * b * d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) =</t>
    </r>
  </si>
  <si>
    <r>
      <t>ρ</t>
    </r>
    <r>
      <rPr>
        <i/>
        <vertAlign val="subscript"/>
        <sz val="11"/>
        <rFont val="Calibri"/>
        <family val="2"/>
        <scheme val="minor"/>
      </rPr>
      <t>min</t>
    </r>
  </si>
  <si>
    <r>
      <t>ρ</t>
    </r>
    <r>
      <rPr>
        <i/>
        <vertAlign val="subscript"/>
        <sz val="11"/>
        <rFont val="Calibri"/>
        <family val="2"/>
        <scheme val="minor"/>
      </rPr>
      <t>maks</t>
    </r>
  </si>
  <si>
    <t>Rasio tulangan pakai,</t>
  </si>
  <si>
    <r>
      <t>ρ</t>
    </r>
    <r>
      <rPr>
        <sz val="1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</si>
  <si>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rFont val="Calibri"/>
        <family val="2"/>
        <scheme val="minor"/>
      </rPr>
      <t>f</t>
    </r>
    <r>
      <rPr>
        <sz val="11"/>
        <rFont val="Calibri"/>
        <family val="2"/>
        <scheme val="minor"/>
      </rPr>
      <t xml:space="preserve"> = </t>
    </r>
    <r>
      <rPr>
        <i/>
        <sz val="11"/>
        <rFont val="Calibri"/>
        <family val="2"/>
        <scheme val="minor"/>
      </rPr>
      <t>ρ</t>
    </r>
    <r>
      <rPr>
        <sz val="11"/>
        <rFont val="Calibri"/>
        <family val="2"/>
        <scheme val="minor"/>
      </rPr>
      <t xml:space="preserve"> * b * d = </t>
    </r>
  </si>
  <si>
    <t>Kebutuhan Tulangan Utama Berdasarkan Gaya Geser Friksi</t>
  </si>
  <si>
    <t>Gaya geser ultimit akibat beban terfaktor,</t>
  </si>
  <si>
    <t>Faktor reduksi kekuatan gaya geser,</t>
  </si>
  <si>
    <t>Gaya geser rencana perlu,</t>
  </si>
  <si>
    <r>
      <t>V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= V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theme="1"/>
        <rFont val="Calibri"/>
        <family val="2"/>
      </rPr>
      <t>φ</t>
    </r>
    <r>
      <rPr>
        <sz val="11"/>
        <color theme="1"/>
        <rFont val="Calibri"/>
        <family val="2"/>
      </rPr>
      <t xml:space="preserve"> =</t>
    </r>
  </si>
  <si>
    <t>Gaya geser rencana maksimum,</t>
  </si>
  <si>
    <t>Kondisi I :</t>
  </si>
  <si>
    <r>
      <t>V</t>
    </r>
    <r>
      <rPr>
        <vertAlign val="subscript"/>
        <sz val="11"/>
        <color theme="1"/>
        <rFont val="Calibri"/>
        <family val="2"/>
        <scheme val="minor"/>
      </rPr>
      <t>n-max</t>
    </r>
    <r>
      <rPr>
        <sz val="11"/>
        <color theme="1"/>
        <rFont val="Calibri"/>
        <family val="2"/>
        <scheme val="minor"/>
      </rPr>
      <t xml:space="preserve"> = 0,2 * fc' * A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</si>
  <si>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t>Kondisi II :</t>
  </si>
  <si>
    <r>
      <t>V</t>
    </r>
    <r>
      <rPr>
        <vertAlign val="subscript"/>
        <sz val="11"/>
        <color theme="1"/>
        <rFont val="Calibri"/>
        <family val="2"/>
        <scheme val="minor"/>
      </rPr>
      <t>n-max</t>
    </r>
    <r>
      <rPr>
        <sz val="11"/>
        <color theme="1"/>
        <rFont val="Calibri"/>
        <family val="2"/>
        <scheme val="minor"/>
      </rPr>
      <t xml:space="preserve"> = (3,3 + 0,08 * fc') * A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</si>
  <si>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t>Kondisi III :</t>
  </si>
  <si>
    <r>
      <t>V</t>
    </r>
    <r>
      <rPr>
        <vertAlign val="subscript"/>
        <sz val="11"/>
        <color theme="1"/>
        <rFont val="Calibri"/>
        <family val="2"/>
        <scheme val="minor"/>
      </rPr>
      <t>n-max</t>
    </r>
    <r>
      <rPr>
        <sz val="11"/>
        <color theme="1"/>
        <rFont val="Calibri"/>
        <family val="2"/>
        <scheme val="minor"/>
      </rPr>
      <t xml:space="preserve"> = 11 * A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</si>
  <si>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  <scheme val="minor"/>
      </rPr>
      <t>n-max</t>
    </r>
    <r>
      <rPr>
        <sz val="11"/>
        <color theme="1"/>
        <rFont val="Calibri"/>
        <family val="2"/>
        <scheme val="minor"/>
      </rPr>
      <t xml:space="preserve"> =</t>
    </r>
  </si>
  <si>
    <t>Kontrol nilai gaya geser perlu terhadap gaya geser rencana,</t>
  </si>
  <si>
    <r>
      <t>V</t>
    </r>
    <r>
      <rPr>
        <vertAlign val="subscript"/>
        <sz val="11"/>
        <color theme="1"/>
        <rFont val="Calibri"/>
        <family val="2"/>
        <scheme val="minor"/>
      </rPr>
      <t>n</t>
    </r>
  </si>
  <si>
    <r>
      <t>V</t>
    </r>
    <r>
      <rPr>
        <vertAlign val="subscript"/>
        <sz val="11"/>
        <color theme="1"/>
        <rFont val="Calibri"/>
        <family val="2"/>
        <scheme val="minor"/>
      </rPr>
      <t>n-max</t>
    </r>
  </si>
  <si>
    <r>
      <t>A</t>
    </r>
    <r>
      <rPr>
        <vertAlign val="subscript"/>
        <sz val="11"/>
        <rFont val="Calibri"/>
        <family val="2"/>
        <scheme val="minor"/>
      </rPr>
      <t>vf</t>
    </r>
    <r>
      <rPr>
        <sz val="11"/>
        <rFont val="Calibri"/>
        <family val="2"/>
        <scheme val="minor"/>
      </rPr>
      <t xml:space="preserve"> = V</t>
    </r>
    <r>
      <rPr>
        <vertAlign val="subscript"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/ (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* </t>
    </r>
    <r>
      <rPr>
        <sz val="11"/>
        <rFont val="Calibri"/>
        <family val="2"/>
      </rPr>
      <t>μ )</t>
    </r>
    <r>
      <rPr>
        <sz val="11"/>
        <rFont val="Calibri"/>
        <family val="2"/>
        <scheme val="minor"/>
      </rPr>
      <t xml:space="preserve"> = </t>
    </r>
  </si>
  <si>
    <t>Perhitungan Tulangan Utama &amp; Tulangan Sengkang</t>
  </si>
  <si>
    <t>Luas tulangan tarik utama,</t>
  </si>
  <si>
    <r>
      <t>A</t>
    </r>
    <r>
      <rPr>
        <vertAlign val="subscript"/>
        <sz val="11"/>
        <color theme="1"/>
        <rFont val="Calibri"/>
        <family val="2"/>
        <scheme val="minor"/>
      </rPr>
      <t>sc</t>
    </r>
    <r>
      <rPr>
        <sz val="11"/>
        <color theme="1"/>
        <rFont val="Calibri"/>
        <family val="2"/>
        <scheme val="minor"/>
      </rPr>
      <t xml:space="preserve"> = 0,04 * fc'/f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* A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</si>
  <si>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sc</t>
    </r>
    <r>
      <rPr>
        <sz val="11"/>
        <color theme="1"/>
        <rFont val="Calibri"/>
        <family val="2"/>
        <scheme val="minor"/>
      </rPr>
      <t xml:space="preserve">  =</t>
    </r>
  </si>
  <si>
    <t>Jarak tulangan terhadap sisi luar beton,</t>
  </si>
  <si>
    <t>Jumlah tulangan dlm satu baris,</t>
  </si>
  <si>
    <r>
      <t>n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( b - 2 * d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>) / ( 25 + D ) + 1 =</t>
    </r>
  </si>
  <si>
    <t>Digunakan jumlah tulangan dalam satu baris,</t>
  </si>
  <si>
    <r>
      <t>n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</si>
  <si>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bh</t>
  </si>
  <si>
    <t>Jarak horisontal pusat ke pusat antara tulangan,</t>
  </si>
  <si>
    <r>
      <t>x = ( b - 2 * d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) / ( n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- 1 ) =</t>
    </r>
  </si>
  <si>
    <t>Jumlah tulangan yang diperlukan,</t>
  </si>
  <si>
    <r>
      <t>n</t>
    </r>
    <r>
      <rPr>
        <vertAlign val="subscript"/>
        <sz val="11"/>
        <rFont val="Calibri"/>
        <family val="2"/>
        <scheme val="minor"/>
      </rPr>
      <t>sc</t>
    </r>
    <r>
      <rPr>
        <sz val="11"/>
        <rFont val="Calibri"/>
        <family val="2"/>
        <scheme val="minor"/>
      </rPr>
      <t xml:space="preserve"> = A</t>
    </r>
    <r>
      <rPr>
        <vertAlign val="subscript"/>
        <sz val="11"/>
        <rFont val="Calibri"/>
        <family val="2"/>
        <scheme val="minor"/>
      </rPr>
      <t>sc</t>
    </r>
    <r>
      <rPr>
        <sz val="11"/>
        <rFont val="Calibri"/>
        <family val="2"/>
        <scheme val="minor"/>
      </rPr>
      <t xml:space="preserve"> / ( π / 4 * D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) =</t>
    </r>
  </si>
  <si>
    <r>
      <t>A</t>
    </r>
    <r>
      <rPr>
        <vertAlign val="subscript"/>
        <sz val="11"/>
        <rFont val="Calibri"/>
        <family val="2"/>
        <scheme val="minor"/>
      </rPr>
      <t>sc</t>
    </r>
    <r>
      <rPr>
        <sz val="11"/>
        <rFont val="Calibri"/>
        <family val="2"/>
        <scheme val="minor"/>
      </rPr>
      <t xml:space="preserve"> = n * π / 4 * D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=</t>
    </r>
  </si>
  <si>
    <t>Jumlah baris tulangan,</t>
  </si>
  <si>
    <r>
      <t>n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 n / n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</si>
  <si>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Syarat:</t>
  </si>
  <si>
    <r>
      <t>n</t>
    </r>
    <r>
      <rPr>
        <vertAlign val="subscript"/>
        <sz val="11"/>
        <rFont val="Calibri"/>
        <family val="2"/>
        <scheme val="minor"/>
      </rPr>
      <t>b</t>
    </r>
  </si>
  <si>
    <t>&lt;    1</t>
  </si>
  <si>
    <t>Luas tulangan sengkang,</t>
  </si>
  <si>
    <t>Jumlah tulangan sengkang per tulangan utama,</t>
  </si>
  <si>
    <r>
      <t>n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 n / n</t>
    </r>
    <r>
      <rPr>
        <vertAlign val="subscript"/>
        <sz val="11"/>
        <color theme="1"/>
        <rFont val="Calibri"/>
        <family val="2"/>
        <scheme val="minor"/>
      </rPr>
      <t>sc</t>
    </r>
    <r>
      <rPr>
        <sz val="11"/>
        <color theme="1"/>
        <rFont val="Calibri"/>
        <family val="2"/>
        <scheme val="minor"/>
      </rPr>
      <t xml:space="preserve"> =</t>
    </r>
  </si>
  <si>
    <t>jarak antar tulangan sengkang per tulangan utama,</t>
  </si>
  <si>
    <r>
      <t>y = (2/3 * d) / n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</t>
    </r>
  </si>
  <si>
    <t>Panjang Penyaluran</t>
  </si>
  <si>
    <r>
      <t>Kebutuhan volume total panjang penyaluran untuk 1/3 A</t>
    </r>
    <r>
      <rPr>
        <vertAlign val="subscript"/>
        <sz val="11"/>
        <color theme="1"/>
        <rFont val="Calibri"/>
        <family val="2"/>
        <scheme val="minor"/>
      </rPr>
      <t>sc</t>
    </r>
    <r>
      <rPr>
        <sz val="11"/>
        <color theme="1"/>
        <rFont val="Calibri"/>
        <family val="2"/>
        <scheme val="minor"/>
      </rPr>
      <t>,</t>
    </r>
  </si>
  <si>
    <r>
      <t>V</t>
    </r>
    <r>
      <rPr>
        <vertAlign val="subscript"/>
        <sz val="11"/>
        <color theme="1"/>
        <rFont val="Calibri"/>
        <family val="2"/>
        <scheme val="minor"/>
      </rPr>
      <t>ldh</t>
    </r>
    <r>
      <rPr>
        <sz val="11"/>
        <color theme="1"/>
        <rFont val="Calibri"/>
        <family val="2"/>
        <scheme val="minor"/>
      </rPr>
      <t xml:space="preserve">  = </t>
    </r>
    <r>
      <rPr>
        <sz val="11"/>
        <color theme="1"/>
        <rFont val="Calibri"/>
        <family val="2"/>
      </rPr>
      <t>1/3 * A</t>
    </r>
    <r>
      <rPr>
        <vertAlign val="subscript"/>
        <sz val="11"/>
        <color theme="1"/>
        <rFont val="Calibri"/>
        <family val="2"/>
      </rPr>
      <t>sc</t>
    </r>
    <r>
      <rPr>
        <sz val="11"/>
        <color theme="1"/>
        <rFont val="Calibri"/>
        <family val="2"/>
      </rPr>
      <t xml:space="preserve"> * d</t>
    </r>
    <r>
      <rPr>
        <sz val="11"/>
        <color theme="1"/>
        <rFont val="Calibri"/>
        <family val="2"/>
        <scheme val="minor"/>
      </rPr>
      <t xml:space="preserve"> =</t>
    </r>
  </si>
  <si>
    <r>
      <t>mm</t>
    </r>
    <r>
      <rPr>
        <vertAlign val="superscript"/>
        <sz val="11"/>
        <rFont val="Calibri"/>
        <family val="2"/>
        <scheme val="minor"/>
      </rPr>
      <t>3</t>
    </r>
  </si>
  <si>
    <r>
      <t>V</t>
    </r>
    <r>
      <rPr>
        <vertAlign val="subscript"/>
        <sz val="11"/>
        <color theme="1"/>
        <rFont val="Calibri"/>
        <family val="2"/>
        <scheme val="minor"/>
      </rPr>
      <t>ldh</t>
    </r>
    <r>
      <rPr>
        <sz val="11"/>
        <color theme="1"/>
        <rFont val="Calibri"/>
        <family val="2"/>
        <scheme val="minor"/>
      </rPr>
      <t xml:space="preserve">  = 4 * </t>
    </r>
    <r>
      <rPr>
        <sz val="11"/>
        <color theme="1"/>
        <rFont val="Calibri"/>
        <family val="2"/>
      </rPr>
      <t>A</t>
    </r>
    <r>
      <rPr>
        <vertAlign val="subscript"/>
        <sz val="11"/>
        <color theme="1"/>
        <rFont val="Calibri"/>
        <family val="2"/>
      </rPr>
      <t>sc</t>
    </r>
    <r>
      <rPr>
        <sz val="11"/>
        <color theme="1"/>
        <rFont val="Calibri"/>
        <family val="2"/>
      </rPr>
      <t xml:space="preserve"> * D</t>
    </r>
    <r>
      <rPr>
        <sz val="11"/>
        <color theme="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</si>
  <si>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  <scheme val="minor"/>
      </rPr>
      <t>ldh</t>
    </r>
    <r>
      <rPr>
        <sz val="11"/>
        <color theme="1"/>
        <rFont val="Calibri"/>
        <family val="2"/>
        <scheme val="minor"/>
      </rPr>
      <t xml:space="preserve">  =</t>
    </r>
  </si>
  <si>
    <t>Panjang penyaluran perlu,</t>
  </si>
  <si>
    <r>
      <t>l</t>
    </r>
    <r>
      <rPr>
        <vertAlign val="subscript"/>
        <sz val="11"/>
        <color theme="1"/>
        <rFont val="Calibri"/>
        <family val="2"/>
        <scheme val="minor"/>
      </rPr>
      <t>dh</t>
    </r>
    <r>
      <rPr>
        <sz val="11"/>
        <color theme="1"/>
        <rFont val="Calibri"/>
        <family val="2"/>
        <scheme val="minor"/>
      </rPr>
      <t xml:space="preserve"> = V</t>
    </r>
    <r>
      <rPr>
        <vertAlign val="subscript"/>
        <sz val="11"/>
        <color theme="1"/>
        <rFont val="Calibri"/>
        <family val="2"/>
        <scheme val="minor"/>
      </rPr>
      <t>ldh</t>
    </r>
    <r>
      <rPr>
        <sz val="11"/>
        <color theme="1"/>
        <rFont val="Calibri"/>
        <family val="2"/>
        <scheme val="minor"/>
      </rPr>
      <t xml:space="preserve"> / A</t>
    </r>
    <r>
      <rPr>
        <vertAlign val="subscript"/>
        <sz val="11"/>
        <color theme="1"/>
        <rFont val="Calibri"/>
        <family val="2"/>
        <scheme val="minor"/>
      </rPr>
      <t>sc</t>
    </r>
    <r>
      <rPr>
        <sz val="11"/>
        <color theme="1"/>
        <rFont val="Calibri"/>
        <family val="2"/>
        <scheme val="minor"/>
      </rPr>
      <t xml:space="preserve"> =</t>
    </r>
  </si>
  <si>
    <t>Panjang penyaluran minimum,</t>
  </si>
  <si>
    <r>
      <t>l</t>
    </r>
    <r>
      <rPr>
        <vertAlign val="subscript"/>
        <sz val="11"/>
        <color theme="1"/>
        <rFont val="Calibri"/>
        <family val="2"/>
        <scheme val="minor"/>
      </rPr>
      <t>dh-min</t>
    </r>
    <r>
      <rPr>
        <sz val="11"/>
        <color theme="1"/>
        <rFont val="Calibri"/>
        <family val="2"/>
        <scheme val="minor"/>
      </rPr>
      <t xml:space="preserve"> =</t>
    </r>
  </si>
  <si>
    <t>Panjang penyaluran pakai,</t>
  </si>
  <si>
    <r>
      <t>l</t>
    </r>
    <r>
      <rPr>
        <vertAlign val="subscript"/>
        <sz val="11"/>
        <color theme="1"/>
        <rFont val="Calibri"/>
        <family val="2"/>
        <scheme val="minor"/>
      </rPr>
      <t>dh</t>
    </r>
    <r>
      <rPr>
        <sz val="11"/>
        <color theme="1"/>
        <rFont val="Calibri"/>
        <family val="2"/>
        <scheme val="minor"/>
      </rPr>
      <t xml:space="preserve"> =</t>
    </r>
  </si>
  <si>
    <r>
      <t>Panjang kait 90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perlu,</t>
    </r>
  </si>
  <si>
    <r>
      <t>l</t>
    </r>
    <r>
      <rPr>
        <vertAlign val="subscript"/>
        <sz val="11"/>
        <color theme="1"/>
        <rFont val="Calibri"/>
        <family val="2"/>
        <scheme val="minor"/>
      </rPr>
      <t>90</t>
    </r>
    <r>
      <rPr>
        <sz val="11"/>
        <color theme="1"/>
        <rFont val="Calibri"/>
        <family val="2"/>
        <scheme val="minor"/>
      </rPr>
      <t xml:space="preserve"> = 12 * D =</t>
    </r>
  </si>
  <si>
    <r>
      <t>Panjang kait 90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pakai,</t>
    </r>
  </si>
  <si>
    <r>
      <t>l</t>
    </r>
    <r>
      <rPr>
        <vertAlign val="subscript"/>
        <sz val="11"/>
        <color theme="1"/>
        <rFont val="Calibri"/>
        <family val="2"/>
        <scheme val="minor"/>
      </rPr>
      <t>90</t>
    </r>
    <r>
      <rPr>
        <sz val="11"/>
        <color theme="1"/>
        <rFont val="Calibri"/>
        <family val="2"/>
        <scheme val="minor"/>
      </rPr>
      <t xml:space="preserve"> =</t>
    </r>
  </si>
  <si>
    <r>
      <t>d = (h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+ h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) - t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- 0,5 * D =</t>
    </r>
  </si>
  <si>
    <r>
      <t>0,5 * b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/ d</t>
    </r>
  </si>
  <si>
    <r>
      <t>ρ</t>
    </r>
    <r>
      <rPr>
        <vertAlign val="subscript"/>
        <sz val="11"/>
        <rFont val="Calibri"/>
        <family val="2"/>
        <scheme val="minor"/>
      </rPr>
      <t>min</t>
    </r>
    <r>
      <rPr>
        <sz val="1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</si>
  <si>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 P</t>
    </r>
    <r>
      <rPr>
        <vertAlign val="subscript"/>
        <sz val="11"/>
        <rFont val="Calibri"/>
        <family val="2"/>
        <scheme val="minor"/>
      </rPr>
      <t>jack</t>
    </r>
    <r>
      <rPr>
        <sz val="11"/>
        <rFont val="Calibri"/>
        <family val="2"/>
        <scheme val="minor"/>
      </rPr>
      <t xml:space="preserve"> * 0,5 * b</t>
    </r>
    <r>
      <rPr>
        <vertAlign val="subscript"/>
        <sz val="11"/>
        <rFont val="Calibri"/>
        <family val="2"/>
        <scheme val="minor"/>
      </rPr>
      <t>5</t>
    </r>
    <r>
      <rPr>
        <sz val="11"/>
        <rFont val="Calibri"/>
        <family val="2"/>
        <scheme val="minor"/>
      </rPr>
      <t xml:space="preserve"> / L =</t>
    </r>
  </si>
  <si>
    <r>
      <t>P</t>
    </r>
    <r>
      <rPr>
        <vertAlign val="subscript"/>
        <sz val="11"/>
        <rFont val="Calibri"/>
        <family val="2"/>
        <scheme val="minor"/>
      </rPr>
      <t>jack</t>
    </r>
    <r>
      <rPr>
        <sz val="11"/>
        <rFont val="Calibri"/>
        <family val="2"/>
        <scheme val="minor"/>
      </rPr>
      <t xml:space="preserve"> / L =</t>
    </r>
  </si>
  <si>
    <r>
      <t>A</t>
    </r>
    <r>
      <rPr>
        <vertAlign val="subscript"/>
        <sz val="11"/>
        <color theme="1"/>
        <rFont val="Calibri"/>
        <family val="2"/>
        <scheme val="minor"/>
      </rPr>
      <t>sc</t>
    </r>
    <r>
      <rPr>
        <sz val="11"/>
        <color theme="1"/>
        <rFont val="Calibri"/>
        <family val="2"/>
        <scheme val="minor"/>
      </rPr>
      <t xml:space="preserve">  = A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</si>
  <si>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sc</t>
    </r>
    <r>
      <rPr>
        <sz val="11"/>
        <color theme="1"/>
        <rFont val="Calibri"/>
        <family val="2"/>
        <scheme val="minor"/>
      </rPr>
      <t xml:space="preserve">  = 2/3 * A</t>
    </r>
    <r>
      <rPr>
        <vertAlign val="subscript"/>
        <sz val="11"/>
        <color theme="1"/>
        <rFont val="Calibri"/>
        <family val="2"/>
        <scheme val="minor"/>
      </rPr>
      <t>vf</t>
    </r>
    <r>
      <rPr>
        <sz val="11"/>
        <color theme="1"/>
        <rFont val="Calibri"/>
        <family val="2"/>
        <scheme val="minor"/>
      </rPr>
      <t xml:space="preserve"> =</t>
    </r>
  </si>
  <si>
    <r>
      <t>d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+ 0,5 * D =</t>
    </r>
  </si>
  <si>
    <r>
      <t>A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 = 0,5 * A</t>
    </r>
    <r>
      <rPr>
        <vertAlign val="subscript"/>
        <sz val="11"/>
        <color theme="1"/>
        <rFont val="Calibri"/>
        <family val="2"/>
        <scheme val="minor"/>
      </rPr>
      <t>sc</t>
    </r>
    <r>
      <rPr>
        <sz val="11"/>
        <color theme="1"/>
        <rFont val="Calibri"/>
        <family val="2"/>
        <scheme val="minor"/>
      </rPr>
      <t xml:space="preserve"> =</t>
    </r>
  </si>
  <si>
    <t>Diameter tulangan konsol jacking utama,</t>
  </si>
  <si>
    <t>Diameter tulangan konsol jacking sengkang,</t>
  </si>
  <si>
    <r>
      <t>n = A</t>
    </r>
    <r>
      <rPr>
        <vertAlign val="subscript"/>
        <sz val="11"/>
        <rFont val="Calibri"/>
        <family val="2"/>
        <scheme val="minor"/>
      </rPr>
      <t>h</t>
    </r>
    <r>
      <rPr>
        <sz val="11"/>
        <rFont val="Calibri"/>
        <family val="2"/>
        <scheme val="minor"/>
      </rPr>
      <t xml:space="preserve"> / ( π / 4 * D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) =</t>
    </r>
  </si>
  <si>
    <t>A.8.</t>
  </si>
  <si>
    <t>E.2.</t>
  </si>
  <si>
    <t>E.3.</t>
  </si>
  <si>
    <t>E.5.</t>
  </si>
  <si>
    <t>F.2.</t>
  </si>
  <si>
    <t>F.4.</t>
  </si>
  <si>
    <t>F.5.</t>
  </si>
  <si>
    <t>G.1.</t>
  </si>
  <si>
    <t>G.2.</t>
  </si>
  <si>
    <t>G.3.</t>
  </si>
  <si>
    <t>G.4.</t>
  </si>
  <si>
    <t>G.5.</t>
  </si>
  <si>
    <t>G.6.</t>
  </si>
  <si>
    <t>Perencanaan tulangan konsol jacking</t>
  </si>
  <si>
    <t>H.1.</t>
  </si>
  <si>
    <t>H.2.</t>
  </si>
  <si>
    <t>H.3.</t>
  </si>
  <si>
    <t>I.1.</t>
  </si>
  <si>
    <t>I.2.</t>
  </si>
  <si>
    <t>I.3.</t>
  </si>
  <si>
    <t>I.4.</t>
  </si>
  <si>
    <t>Safety Factor tahanan friksi tiang,</t>
  </si>
  <si>
    <r>
      <t>b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</si>
  <si>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=</t>
    </r>
  </si>
  <si>
    <t>Safety Factor tahanan ujung tiang,</t>
  </si>
  <si>
    <t>Tahanan aksial tekan tiang fondasi dalam,</t>
  </si>
  <si>
    <t>Nilai gaya ijin dengan faktor effisien:</t>
  </si>
  <si>
    <t>Nilai gaya ijin tiang pondasi tunggal:</t>
  </si>
  <si>
    <t>Nilai gaya ijin tiang group:</t>
  </si>
  <si>
    <r>
      <t>h = h</t>
    </r>
    <r>
      <rPr>
        <vertAlign val="subscript"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+ r / B</t>
    </r>
    <r>
      <rPr>
        <vertAlign val="subscript"/>
        <sz val="11"/>
        <rFont val="Calibri"/>
        <family val="2"/>
        <scheme val="minor"/>
      </rPr>
      <t>7</t>
    </r>
    <r>
      <rPr>
        <sz val="11"/>
        <rFont val="Calibri"/>
        <family val="2"/>
        <scheme val="minor"/>
      </rPr>
      <t xml:space="preserve"> * h</t>
    </r>
    <r>
      <rPr>
        <vertAlign val="subscript"/>
        <sz val="11"/>
        <rFont val="Calibri"/>
        <family val="2"/>
        <scheme val="minor"/>
      </rPr>
      <t>5</t>
    </r>
    <r>
      <rPr>
        <sz val="11"/>
        <rFont val="Calibri"/>
        <family val="2"/>
        <scheme val="minor"/>
      </rPr>
      <t xml:space="preserve"> =</t>
    </r>
  </si>
  <si>
    <r>
      <t>d = (h</t>
    </r>
    <r>
      <rPr>
        <vertAlign val="subscript"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+ c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/ B</t>
    </r>
    <r>
      <rPr>
        <vertAlign val="subscript"/>
        <sz val="11"/>
        <rFont val="Calibri"/>
        <family val="2"/>
        <scheme val="minor"/>
      </rPr>
      <t>7</t>
    </r>
    <r>
      <rPr>
        <sz val="11"/>
        <rFont val="Calibri"/>
        <family val="2"/>
        <scheme val="minor"/>
      </rPr>
      <t xml:space="preserve"> * h</t>
    </r>
    <r>
      <rPr>
        <vertAlign val="subscript"/>
        <sz val="11"/>
        <rFont val="Calibri"/>
        <family val="2"/>
        <scheme val="minor"/>
      </rPr>
      <t>5</t>
    </r>
    <r>
      <rPr>
        <sz val="11"/>
        <rFont val="Calibri"/>
        <family val="2"/>
        <scheme val="minor"/>
      </rPr>
      <t>) - d' =</t>
    </r>
  </si>
  <si>
    <t>INPUT DATA DIMENSI ABUTMEN</t>
  </si>
  <si>
    <t>Dimensi Abutmen</t>
  </si>
  <si>
    <r>
      <t>b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</si>
  <si>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</si>
  <si>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</si>
  <si>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rFont val="Calibri"/>
        <family val="2"/>
        <scheme val="minor"/>
      </rPr>
      <t>5</t>
    </r>
    <r>
      <rPr>
        <sz val="1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</si>
  <si>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</si>
  <si>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rFont val="Calibri"/>
        <family val="2"/>
        <scheme val="minor"/>
      </rPr>
      <t>7</t>
    </r>
    <r>
      <rPr>
        <sz val="1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</si>
  <si>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rFont val="Calibri"/>
        <family val="2"/>
        <scheme val="minor"/>
      </rPr>
      <t>9</t>
    </r>
    <r>
      <rPr>
        <sz val="1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</si>
  <si>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</si>
  <si>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</si>
  <si>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rFont val="Calibri"/>
        <family val="2"/>
        <scheme val="minor"/>
      </rPr>
      <t>W</t>
    </r>
    <r>
      <rPr>
        <sz val="11"/>
        <rFont val="Calibri"/>
        <family val="2"/>
        <scheme val="minor"/>
      </rPr>
      <t xml:space="preserve"> =</t>
    </r>
  </si>
  <si>
    <t>KONTROL GAYA AKSIAL PADA TIANG TIANG FONDASI DALAM</t>
  </si>
  <si>
    <t>Kontrol gaya aksial pada fondasi tiang dalam</t>
  </si>
  <si>
    <t>Penulangan pada Abutmen dan Pilecap</t>
  </si>
  <si>
    <t xml:space="preserve">Utama </t>
  </si>
  <si>
    <t xml:space="preserve">Sengkang </t>
  </si>
  <si>
    <t>Penulangan pada konsol jacking,</t>
  </si>
  <si>
    <t>:</t>
  </si>
  <si>
    <t>Penulangan utama pada back wings wall (Horizontal),</t>
  </si>
  <si>
    <t>Penulangan utama pada back wings wall (vertikal),</t>
  </si>
  <si>
    <t>Penulangan utama pada back wall atas,</t>
  </si>
  <si>
    <t>Penulangan utama pada back wall bawah,</t>
  </si>
  <si>
    <t>Penulangan utama pada breast wall,</t>
  </si>
  <si>
    <t>Rekapitulasi Kontrol Geser pada Abutmen dan Pilecap</t>
  </si>
  <si>
    <t>Penulangan utama pada pilecap,</t>
  </si>
  <si>
    <t>Kontrol geser pada breast wall,</t>
  </si>
  <si>
    <t>Kontrol geser pada back wall bawah,</t>
  </si>
  <si>
    <t>Kontrol geser pada back wall atas,</t>
  </si>
  <si>
    <t>Kontrol geser pada wings wall (vertikal),</t>
  </si>
  <si>
    <t>Kontrol geser pada wings wall (horizontal),</t>
  </si>
  <si>
    <t>Kontrol geser pada konsol jacking,</t>
  </si>
  <si>
    <r>
      <t>V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theme="1"/>
        <rFont val="Calibri"/>
        <family val="2"/>
      </rPr>
      <t>φ</t>
    </r>
  </si>
  <si>
    <r>
      <t>V</t>
    </r>
    <r>
      <rPr>
        <vertAlign val="subscript"/>
        <sz val="11"/>
        <rFont val="Calibri"/>
        <family val="2"/>
        <scheme val="minor"/>
      </rPr>
      <t>n-max</t>
    </r>
  </si>
  <si>
    <t>Kontrol geser pada pilecap tinjauan arah X,</t>
  </si>
  <si>
    <t>Kontrol geser pada pilecap tinjauan geser pons tiang pojok,</t>
  </si>
  <si>
    <r>
      <t>V</t>
    </r>
    <r>
      <rPr>
        <vertAlign val="subscript"/>
        <sz val="11"/>
        <rFont val="Calibri"/>
        <family val="2"/>
        <scheme val="minor"/>
      </rPr>
      <t>u</t>
    </r>
  </si>
  <si>
    <t>Rekapitulasi Kontrol Kestabilan Geser &amp; Guling Abutmen</t>
  </si>
  <si>
    <t>Kontrol guling akibat kombinasi beban arah melintang jembatan,</t>
  </si>
  <si>
    <t>Kontrol geser akibat kombinasi beban arah melintang jembatan,</t>
  </si>
  <si>
    <t xml:space="preserve">REPORT OUTPUT EXCEL SPREADSHEET </t>
  </si>
  <si>
    <t>• Nama Program</t>
  </si>
  <si>
    <t xml:space="preserve">• Versi </t>
  </si>
  <si>
    <t>• Penyusun</t>
  </si>
  <si>
    <t>Indra K Raj Suweda</t>
  </si>
  <si>
    <t>indrakrajsuweda@gmail.com</t>
  </si>
  <si>
    <t>A.</t>
  </si>
  <si>
    <t>DATA PERENCANAAN</t>
  </si>
  <si>
    <t>B.</t>
  </si>
  <si>
    <t>C.</t>
  </si>
  <si>
    <t>HASIL PERHITUNGAN PROGRAM BANTU SPREADSHEET</t>
  </si>
  <si>
    <t>C.1.</t>
  </si>
  <si>
    <t>C.2.</t>
  </si>
  <si>
    <t>C.3.</t>
  </si>
  <si>
    <t>D.</t>
  </si>
  <si>
    <t>E.</t>
  </si>
  <si>
    <t>F.</t>
  </si>
  <si>
    <t>DATA DIMENSI TULANGAN ABUTMEN &amp; PILECAP</t>
  </si>
  <si>
    <t>DATA MATERIAL BETON &amp; TULANGAN ABUTMEN</t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</si>
  <si>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</si>
  <si>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</si>
  <si>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</si>
  <si>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</si>
  <si>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rFont val="Calibri"/>
        <family val="2"/>
        <scheme val="minor"/>
      </rPr>
      <t>5</t>
    </r>
    <r>
      <rPr>
        <sz val="1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</si>
  <si>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</si>
  <si>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rFont val="Calibri"/>
        <family val="2"/>
        <scheme val="minor"/>
      </rPr>
      <t>7</t>
    </r>
    <r>
      <rPr>
        <sz val="1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</si>
  <si>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rFont val="Calibri"/>
        <family val="2"/>
        <scheme val="minor"/>
      </rPr>
      <t>8</t>
    </r>
    <r>
      <rPr>
        <sz val="1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</si>
  <si>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rFont val="Calibri"/>
        <family val="2"/>
        <scheme val="minor"/>
      </rPr>
      <t>9</t>
    </r>
    <r>
      <rPr>
        <sz val="1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</si>
  <si>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</si>
  <si>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rFont val="Calibri"/>
        <family val="2"/>
        <scheme val="minor"/>
      </rPr>
      <t>11</t>
    </r>
    <r>
      <rPr>
        <sz val="1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</si>
  <si>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rFont val="Calibri"/>
        <family val="2"/>
        <scheme val="minor"/>
      </rPr>
      <t>W</t>
    </r>
    <r>
      <rPr>
        <sz val="11"/>
        <rFont val="Calibri"/>
        <family val="2"/>
        <scheme val="minor"/>
      </rPr>
      <t xml:space="preserve"> =</t>
    </r>
  </si>
  <si>
    <r>
      <t>t</t>
    </r>
    <r>
      <rPr>
        <vertAlign val="subscript"/>
        <sz val="11"/>
        <rFont val="Calibri"/>
        <family val="2"/>
        <scheme val="minor"/>
      </rPr>
      <t>W</t>
    </r>
    <r>
      <rPr>
        <sz val="11"/>
        <rFont val="Calibri"/>
        <family val="2"/>
        <scheme val="minor"/>
      </rPr>
      <t xml:space="preserve"> =</t>
    </r>
  </si>
  <si>
    <t>A.4.</t>
  </si>
  <si>
    <t>DATA RENCANA GAYA REAKSI DARI BANGUNAN ATAS</t>
  </si>
  <si>
    <t>INPUT GAYA REAKSI DARI BANGUNAN ATAS JEMBATAN</t>
  </si>
  <si>
    <t>REKAPITULASI DIMENSI ABUTMEN</t>
  </si>
  <si>
    <t>REKAPITULASI KONTROL GAYA AKSIAL PADA FONDASI TIANG DALAM</t>
  </si>
  <si>
    <t xml:space="preserve">Pada bagian ini menunjukan dimensi dari penampang abutmen yang digunakan dalam </t>
  </si>
  <si>
    <t>perencanaan :</t>
  </si>
  <si>
    <t>Berdasarkan hasil perhitungan pada program bantu ini didapatkan rekapitulasi kontrol</t>
  </si>
  <si>
    <t>gaya aksial pada fondasi tiang dalam adalah sebagai berikut :</t>
  </si>
  <si>
    <t>REKAPITULASI PENULANGAN PADA ABUTMEN DAN PILECAP</t>
  </si>
  <si>
    <t>C.4.</t>
  </si>
  <si>
    <t>REKAPITULASI HASIL KONTROL GESER PADA ABUTMEN DAN PILECAP</t>
  </si>
  <si>
    <t>C.5.</t>
  </si>
  <si>
    <t>REKAPITULASI HASIL KONTROL KESTABILAN GESER DAN GULING PADA ABUTMEN</t>
  </si>
  <si>
    <t>PERHITUNGAN GAYA REAKSI PADA DASAR ABUTMEN</t>
  </si>
  <si>
    <r>
      <t>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=</t>
    </r>
  </si>
  <si>
    <t>PERHITUNGAN GAYA AKSIAL PADA FONDASI TIANG DALAM</t>
  </si>
  <si>
    <t>Gaya geser untuk perencanaan tulangan back wall atas,</t>
  </si>
  <si>
    <t>Gaya momen untuk perencanaan tulangan back wall atas,</t>
  </si>
  <si>
    <t>Gaya geser untuk perencanaan tulangan breast wall,</t>
  </si>
  <si>
    <t>Gaya geser untuk perencanaan tulangan back wall bawah,</t>
  </si>
  <si>
    <t>Gaya momen untuk perencanaan tulangan breast wall,</t>
  </si>
  <si>
    <t>Gaya momen untuk perencanaan tulangan back wall bawah,</t>
  </si>
  <si>
    <t>G.</t>
  </si>
  <si>
    <t>PENULANGAN PADA ELEMEN STRUKTUR ABUTMEN</t>
  </si>
  <si>
    <t>GAYA MOMEN DAN GESER PADA ELEMEN STRUKTUR ABUTMEN</t>
  </si>
  <si>
    <t>H.</t>
  </si>
  <si>
    <t>KONTROL DAN PENULANGAN PADA PILECAP</t>
  </si>
  <si>
    <r>
      <t>b (L</t>
    </r>
    <r>
      <rPr>
        <b/>
        <vertAlign val="sub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>)</t>
    </r>
  </si>
  <si>
    <r>
      <t>(m</t>
    </r>
    <r>
      <rPr>
        <b/>
        <vertAlign val="superscript"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>)</t>
    </r>
  </si>
  <si>
    <r>
      <t xml:space="preserve">M = </t>
    </r>
    <r>
      <rPr>
        <sz val="8"/>
        <color theme="1"/>
        <rFont val="Calibri"/>
        <family val="2"/>
      </rPr>
      <t>∑</t>
    </r>
    <r>
      <rPr>
        <sz val="8"/>
        <color theme="1"/>
        <rFont val="Calibri"/>
        <family val="2"/>
        <scheme val="minor"/>
      </rPr>
      <t xml:space="preserve"> P</t>
    </r>
    <r>
      <rPr>
        <vertAlign val="subscript"/>
        <sz val="8"/>
        <color theme="1"/>
        <rFont val="Calibri"/>
        <family val="2"/>
        <scheme val="minor"/>
      </rPr>
      <t>u</t>
    </r>
    <r>
      <rPr>
        <sz val="8"/>
        <color theme="1"/>
        <rFont val="Calibri"/>
        <family val="2"/>
        <scheme val="minor"/>
      </rPr>
      <t xml:space="preserve"> * X</t>
    </r>
    <r>
      <rPr>
        <vertAlign val="subscript"/>
        <sz val="8"/>
        <color theme="1"/>
        <rFont val="Calibri"/>
        <family val="2"/>
        <scheme val="minor"/>
      </rPr>
      <t>p</t>
    </r>
  </si>
  <si>
    <r>
      <t>X</t>
    </r>
    <r>
      <rPr>
        <vertAlign val="subscript"/>
        <sz val="8"/>
        <color theme="1"/>
        <rFont val="Calibri"/>
        <family val="2"/>
        <scheme val="minor"/>
      </rPr>
      <t>p</t>
    </r>
    <r>
      <rPr>
        <sz val="8"/>
        <color theme="1"/>
        <rFont val="Calibri"/>
        <family val="2"/>
        <scheme val="minor"/>
      </rPr>
      <t xml:space="preserve"> (m)</t>
    </r>
  </si>
  <si>
    <t>KONTROL KESTABILAN GESER DAN GULING ABUTMEN</t>
  </si>
  <si>
    <t>I.</t>
  </si>
  <si>
    <t>Judul Program</t>
  </si>
  <si>
    <t>Versi Program</t>
  </si>
  <si>
    <t>Update ke 0</t>
  </si>
  <si>
    <t>Penyusun</t>
  </si>
  <si>
    <t>Indra Kusuma Jati Raj Suweda</t>
  </si>
  <si>
    <t>Email</t>
  </si>
  <si>
    <t>Selalu cek versi terbaru dan juga program - program lainnya hanya di :</t>
  </si>
  <si>
    <t xml:space="preserve">"Terima kasih sudah membeli program ini sebagai bentuk dukungan kepada salah satu visi Inpetra ID </t>
  </si>
  <si>
    <t>mengembangkan program bantu yang berkualitas dan sesuai dengan kebutuhan kondisi di Indonesia"</t>
  </si>
  <si>
    <t xml:space="preserve">Ada permintaan program? Hubungi kami di : </t>
  </si>
  <si>
    <t>info@inpetra.id</t>
  </si>
  <si>
    <t>X</t>
  </si>
  <si>
    <t>Y</t>
  </si>
  <si>
    <t>S</t>
  </si>
  <si>
    <t>B'</t>
  </si>
  <si>
    <t>H'</t>
  </si>
  <si>
    <t>rek. min :</t>
  </si>
  <si>
    <t>Pilecap</t>
  </si>
  <si>
    <t>X1</t>
  </si>
  <si>
    <t>Y1</t>
  </si>
  <si>
    <t>X2</t>
  </si>
  <si>
    <t>X3</t>
  </si>
  <si>
    <t>X4</t>
  </si>
  <si>
    <t>X5</t>
  </si>
  <si>
    <t>X6</t>
  </si>
  <si>
    <t>X7</t>
  </si>
  <si>
    <t>X8</t>
  </si>
  <si>
    <t>Y2</t>
  </si>
  <si>
    <t>Y3</t>
  </si>
  <si>
    <t>Y4</t>
  </si>
  <si>
    <t>Y5</t>
  </si>
  <si>
    <t>Y6</t>
  </si>
  <si>
    <t>Y7</t>
  </si>
  <si>
    <t>Y8</t>
  </si>
  <si>
    <t>Jarak antar tiang pakai searah Y:</t>
  </si>
  <si>
    <t>X'</t>
  </si>
  <si>
    <t>Y'</t>
  </si>
  <si>
    <t>Fondasi Dalam</t>
  </si>
  <si>
    <t>Abutmen dimensi</t>
  </si>
  <si>
    <t>Lebar perlu pilecap searah x,</t>
  </si>
  <si>
    <t>Lebar perlu pilecap searah y,</t>
  </si>
  <si>
    <t xml:space="preserve"> </t>
  </si>
  <si>
    <t>*Tampak Samping</t>
  </si>
  <si>
    <t>*Tampak atas</t>
  </si>
  <si>
    <t>X"</t>
  </si>
  <si>
    <t>Y"</t>
  </si>
  <si>
    <t>AKIBAT BEBAN GEMPA METODE SPEKTRA MODE TUNGGAL (SM)</t>
  </si>
  <si>
    <t>Kuat tekan beton untuk abutmen,</t>
  </si>
  <si>
    <t>Modulus elastisitas beton,</t>
  </si>
  <si>
    <r>
      <t>f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' =</t>
    </r>
  </si>
  <si>
    <r>
      <t>E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 4700 * </t>
    </r>
    <r>
      <rPr>
        <sz val="11"/>
        <color theme="1"/>
        <rFont val="Calibri"/>
        <family val="2"/>
      </rPr>
      <t>√(f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') =</t>
    </r>
  </si>
  <si>
    <t>Gaya satu satuan beban merata,</t>
  </si>
  <si>
    <t>Momen inersia penampang,</t>
  </si>
  <si>
    <t>m4</t>
  </si>
  <si>
    <t>mm4</t>
  </si>
  <si>
    <t>Momen inersia penampang efektif,</t>
  </si>
  <si>
    <t>Gaya satu satuan,</t>
  </si>
  <si>
    <t>Perpindahan struktur akibat beban 1 satuan arah long,</t>
  </si>
  <si>
    <r>
      <rPr>
        <sz val="11"/>
        <color theme="1"/>
        <rFont val="Calibri"/>
        <family val="2"/>
      </rPr>
      <t>δ</t>
    </r>
    <r>
      <rPr>
        <vertAlign val="subscript"/>
        <sz val="11"/>
        <color theme="1"/>
        <rFont val="Calibri"/>
        <family val="2"/>
        <scheme val="minor"/>
      </rPr>
      <t>long</t>
    </r>
    <r>
      <rPr>
        <sz val="11"/>
        <color theme="1"/>
        <rFont val="Calibri"/>
        <family val="2"/>
        <scheme val="minor"/>
      </rPr>
      <t xml:space="preserve"> = 1/3 * P * h</t>
    </r>
    <r>
      <rPr>
        <vertAlign val="subscript"/>
        <sz val="11"/>
        <color theme="1"/>
        <rFont val="Calibri"/>
        <family val="2"/>
        <scheme val="minor"/>
      </rPr>
      <t>abt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/ (E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* I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) + 3 * P *h</t>
    </r>
    <r>
      <rPr>
        <vertAlign val="subscript"/>
        <sz val="11"/>
        <color theme="1"/>
        <rFont val="Calibri"/>
        <family val="2"/>
        <scheme val="minor"/>
      </rPr>
      <t>abt</t>
    </r>
    <r>
      <rPr>
        <sz val="11"/>
        <color theme="1"/>
        <rFont val="Calibri"/>
        <family val="2"/>
        <scheme val="minor"/>
      </rPr>
      <t xml:space="preserve"> / (E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* L * b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 =</t>
    </r>
  </si>
  <si>
    <t>Tinggi abutmen,</t>
  </si>
  <si>
    <r>
      <t>h</t>
    </r>
    <r>
      <rPr>
        <vertAlign val="subscript"/>
        <sz val="11"/>
        <color theme="1"/>
        <rFont val="Calibri"/>
        <family val="2"/>
        <scheme val="minor"/>
      </rPr>
      <t>abt</t>
    </r>
    <r>
      <rPr>
        <sz val="11"/>
        <color theme="1"/>
        <rFont val="Calibri"/>
        <family val="2"/>
        <scheme val="minor"/>
      </rPr>
      <t xml:space="preserve"> = h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+ h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+ h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+ h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 xml:space="preserve"> =</t>
    </r>
  </si>
  <si>
    <r>
      <t>I</t>
    </r>
    <r>
      <rPr>
        <vertAlign val="sub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= 1/12 * L * b</t>
    </r>
    <r>
      <rPr>
        <vertAlign val="subscript"/>
        <sz val="11"/>
        <color theme="1"/>
        <rFont val="Calibri"/>
        <family val="2"/>
        <scheme val="minor"/>
      </rPr>
      <t>5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=</t>
    </r>
  </si>
  <si>
    <r>
      <t>I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 0,7 * Ig =</t>
    </r>
  </si>
  <si>
    <t>m/kN</t>
  </si>
  <si>
    <t>Kekakuan struktur arah memanjang,</t>
  </si>
  <si>
    <r>
      <t>K</t>
    </r>
    <r>
      <rPr>
        <vertAlign val="subscript"/>
        <sz val="11"/>
        <color theme="1"/>
        <rFont val="Calibri"/>
        <family val="2"/>
        <scheme val="minor"/>
      </rPr>
      <t>long</t>
    </r>
    <r>
      <rPr>
        <sz val="11"/>
        <color theme="1"/>
        <rFont val="Calibri"/>
        <family val="2"/>
        <scheme val="minor"/>
      </rPr>
      <t xml:space="preserve"> = 1 / </t>
    </r>
    <r>
      <rPr>
        <sz val="11"/>
        <color theme="1"/>
        <rFont val="Calibri"/>
        <family val="2"/>
      </rPr>
      <t>δ</t>
    </r>
    <r>
      <rPr>
        <vertAlign val="subscript"/>
        <sz val="11"/>
        <color theme="1"/>
        <rFont val="Calibri"/>
        <family val="2"/>
      </rPr>
      <t>long</t>
    </r>
    <r>
      <rPr>
        <sz val="11"/>
        <color theme="1"/>
        <rFont val="Calibri"/>
        <family val="2"/>
      </rPr>
      <t xml:space="preserve"> =</t>
    </r>
  </si>
  <si>
    <t>Perpindahan statis arah longitudinal,</t>
  </si>
  <si>
    <t>Berat total struktur atas per panjang abutmen,</t>
  </si>
  <si>
    <r>
      <t xml:space="preserve">Nilai faktor </t>
    </r>
    <r>
      <rPr>
        <sz val="11"/>
        <color theme="1"/>
        <rFont val="Calibri"/>
        <family val="2"/>
      </rPr>
      <t>α,</t>
    </r>
  </si>
  <si>
    <t>m2</t>
  </si>
  <si>
    <r>
      <t xml:space="preserve">Nilai faktor </t>
    </r>
    <r>
      <rPr>
        <sz val="11"/>
        <color theme="1"/>
        <rFont val="Calibri"/>
        <family val="2"/>
      </rPr>
      <t>β,</t>
    </r>
  </si>
  <si>
    <r>
      <t xml:space="preserve">Nilai faktor </t>
    </r>
    <r>
      <rPr>
        <sz val="11"/>
        <color theme="1"/>
        <rFont val="Calibri"/>
        <family val="2"/>
      </rPr>
      <t>γ,</t>
    </r>
  </si>
  <si>
    <r>
      <t>kN.m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</si>
  <si>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Periode fundamental abutmen arah memanjang,</t>
  </si>
  <si>
    <r>
      <t xml:space="preserve">T = 2 * </t>
    </r>
    <r>
      <rPr>
        <sz val="11"/>
        <color theme="1"/>
        <rFont val="Calibri"/>
        <family val="2"/>
      </rPr>
      <t>π * √[ γ / (P</t>
    </r>
    <r>
      <rPr>
        <vertAlign val="subscript"/>
        <sz val="11"/>
        <color theme="1"/>
        <rFont val="Calibri"/>
        <family val="2"/>
      </rPr>
      <t>o</t>
    </r>
    <r>
      <rPr>
        <sz val="11"/>
        <color theme="1"/>
        <rFont val="Calibri"/>
        <family val="2"/>
      </rPr>
      <t xml:space="preserve"> * g * α</t>
    </r>
    <r>
      <rPr>
        <sz val="11"/>
        <color theme="1"/>
        <rFont val="Calibri"/>
        <family val="2"/>
        <scheme val="minor"/>
      </rPr>
      <t>) ] =</t>
    </r>
  </si>
  <si>
    <t>s</t>
  </si>
  <si>
    <t>INPUT NILAI PERCEPATAN PUNCAK DAN RESPON SPEKTRA</t>
  </si>
  <si>
    <t>Percepatan puncak di batuan dasar untuk probabilitas 7% selama 75 tahun,</t>
  </si>
  <si>
    <t>Respon spektra percepatan 0,2 detik di batuan dasar untuk probabilitas terlampaui 7% dalam 75 tahun,</t>
  </si>
  <si>
    <r>
      <t>S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</si>
  <si>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t>Respon spektra percepatan 1 detik di batuan dasar untuk probabilitas terlampaui 7% dalam 75 tahun</t>
  </si>
  <si>
    <r>
      <t>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</si>
  <si>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t>INPUT NILAI PERIODE FUNDAMENTAL DEFLEKSI STRUKTUR</t>
  </si>
  <si>
    <t>Jenis tanah pada lokasi proyek,</t>
  </si>
  <si>
    <t>Tanah Sedang (SD)</t>
  </si>
  <si>
    <t>T =</t>
  </si>
  <si>
    <t>detik</t>
  </si>
  <si>
    <t xml:space="preserve">FAKTOR SITUS TANAH </t>
  </si>
  <si>
    <t>Faktor amplifikasi untuk PGA,</t>
  </si>
  <si>
    <t>SA</t>
  </si>
  <si>
    <t>SB</t>
  </si>
  <si>
    <t>SC</t>
  </si>
  <si>
    <t>SD</t>
  </si>
  <si>
    <t>SE</t>
  </si>
  <si>
    <t>Faktor amplifikasi untuk respon spektra percepatan 0,2 detik,</t>
  </si>
  <si>
    <r>
      <t>F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=</t>
    </r>
  </si>
  <si>
    <t>Faktor amplifikasi untuk respon spektra percepatan 1 detik,</t>
  </si>
  <si>
    <r>
      <t>F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</si>
  <si>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t>B.2.</t>
  </si>
  <si>
    <t>KOEFISIEN RESPON GEMPA ELASTIK</t>
  </si>
  <si>
    <t>Koefisien respon gempa elastik puncak,</t>
  </si>
  <si>
    <r>
      <t>S</t>
    </r>
    <r>
      <rPr>
        <vertAlign val="subscript"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scheme val="minor"/>
      </rPr>
      <t xml:space="preserve"> = F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* S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</si>
  <si>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t>Koefisien respon gempa elastik pada detik ke 1,</t>
  </si>
  <si>
    <r>
      <t>S</t>
    </r>
    <r>
      <rPr>
        <vertAlign val="subscript"/>
        <sz val="11"/>
        <color theme="1"/>
        <rFont val="Calibri"/>
        <family val="2"/>
        <scheme val="minor"/>
      </rPr>
      <t>D1</t>
    </r>
    <r>
      <rPr>
        <sz val="11"/>
        <color theme="1"/>
        <rFont val="Calibri"/>
        <family val="2"/>
        <scheme val="minor"/>
      </rPr>
      <t xml:space="preserve"> = F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* 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</si>
  <si>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t>B.3.</t>
  </si>
  <si>
    <t>PERIODE PUNCAK KOEFISIEN RESPON GEMPA</t>
  </si>
  <si>
    <t>Periode akhir koefisien respon gempa elastik puncak,</t>
  </si>
  <si>
    <r>
      <t>T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 S</t>
    </r>
    <r>
      <rPr>
        <vertAlign val="subscript"/>
        <sz val="11"/>
        <color theme="1"/>
        <rFont val="Calibri"/>
        <family val="2"/>
        <scheme val="minor"/>
      </rPr>
      <t>D1</t>
    </r>
    <r>
      <rPr>
        <sz val="11"/>
        <color theme="1"/>
        <rFont val="Calibri"/>
        <family val="2"/>
        <scheme val="minor"/>
      </rPr>
      <t xml:space="preserve"> / S</t>
    </r>
    <r>
      <rPr>
        <vertAlign val="subscript"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scheme val="minor"/>
      </rPr>
      <t xml:space="preserve"> =</t>
    </r>
  </si>
  <si>
    <t>Periode awal koefisien respon gempa elastik puncak,</t>
  </si>
  <si>
    <r>
      <t>T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= 0,2 * T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</si>
  <si>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t>t</t>
  </si>
  <si>
    <t>Csm</t>
  </si>
  <si>
    <t>KOEFISIEN GEMPA UNTUK PERENCANAAN STRUKTUR</t>
  </si>
  <si>
    <r>
      <t>T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=</t>
    </r>
  </si>
  <si>
    <r>
      <t>T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</si>
  <si>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</si>
  <si>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r>
      <t>S</t>
    </r>
    <r>
      <rPr>
        <vertAlign val="subscript"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scheme val="minor"/>
      </rPr>
      <t xml:space="preserve"> =</t>
    </r>
  </si>
  <si>
    <r>
      <t>S</t>
    </r>
    <r>
      <rPr>
        <vertAlign val="subscript"/>
        <sz val="11"/>
        <color theme="1"/>
        <rFont val="Calibri"/>
        <family val="2"/>
        <scheme val="minor"/>
      </rPr>
      <t>D1</t>
    </r>
    <r>
      <rPr>
        <sz val="11"/>
        <color theme="1"/>
        <rFont val="Calibri"/>
        <family val="2"/>
        <scheme val="minor"/>
      </rPr>
      <t xml:space="preserve"> =</t>
    </r>
  </si>
  <si>
    <t>Koefisien respon gempa elastik,</t>
  </si>
  <si>
    <t>Csm =</t>
  </si>
  <si>
    <t>Koef. X</t>
  </si>
  <si>
    <t>Bangunan atas arah memanjang</t>
  </si>
  <si>
    <r>
      <t>P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</si>
  <si>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  <scheme val="minor"/>
      </rPr>
      <t>slong</t>
    </r>
    <r>
      <rPr>
        <sz val="11"/>
        <color theme="1"/>
        <rFont val="Calibri"/>
        <family val="2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* L / K</t>
    </r>
    <r>
      <rPr>
        <vertAlign val="subscript"/>
        <sz val="11"/>
        <color theme="1"/>
        <rFont val="Calibri"/>
        <family val="2"/>
        <scheme val="minor"/>
      </rPr>
      <t>long</t>
    </r>
    <r>
      <rPr>
        <sz val="11"/>
        <color theme="1"/>
        <rFont val="Calibri"/>
        <family val="2"/>
        <scheme val="minor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</si>
  <si>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  <scheme val="minor"/>
      </rPr>
      <t>tot</t>
    </r>
    <r>
      <rPr>
        <sz val="11"/>
        <color theme="1"/>
        <rFont val="Calibri"/>
        <family val="2"/>
        <scheme val="minor"/>
      </rPr>
      <t xml:space="preserve"> = (M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 / L =</t>
    </r>
  </si>
  <si>
    <r>
      <t>α = V</t>
    </r>
    <r>
      <rPr>
        <vertAlign val="subscript"/>
        <sz val="11"/>
        <color theme="1"/>
        <rFont val="Calibri"/>
        <family val="2"/>
      </rPr>
      <t>slong</t>
    </r>
    <r>
      <rPr>
        <sz val="11"/>
        <color theme="1"/>
        <rFont val="Calibri"/>
        <family val="2"/>
      </rPr>
      <t xml:space="preserve"> * L =</t>
    </r>
  </si>
  <si>
    <r>
      <t>β = α * W</t>
    </r>
    <r>
      <rPr>
        <vertAlign val="subscript"/>
        <sz val="11"/>
        <color theme="1"/>
        <rFont val="Calibri"/>
        <family val="2"/>
      </rPr>
      <t>tot</t>
    </r>
    <r>
      <rPr>
        <sz val="11"/>
        <color theme="1"/>
        <rFont val="Calibri"/>
        <family val="2"/>
      </rPr>
      <t xml:space="preserve"> =</t>
    </r>
  </si>
  <si>
    <r>
      <t>γ = β * V</t>
    </r>
    <r>
      <rPr>
        <vertAlign val="subscript"/>
        <sz val="11"/>
        <color theme="1"/>
        <rFont val="Calibri"/>
        <family val="2"/>
      </rPr>
      <t>slong</t>
    </r>
    <r>
      <rPr>
        <sz val="11"/>
        <color theme="1"/>
        <rFont val="Calibri"/>
        <family val="2"/>
      </rPr>
      <t xml:space="preserve"> =</t>
    </r>
  </si>
  <si>
    <t>Periode fundamental abutmen arah longitudinal,</t>
  </si>
  <si>
    <t>Koefisien respon gempa elastis,</t>
  </si>
  <si>
    <t>Gaya gempa statik ekivalen,</t>
  </si>
  <si>
    <t>Faktor modifikasi respon untuk abutmen,</t>
  </si>
  <si>
    <t>Gaya gempa akibat struktur atas pada abutmen,</t>
  </si>
  <si>
    <t>Bangunan atas arah melintang</t>
  </si>
  <si>
    <r>
      <t>I</t>
    </r>
    <r>
      <rPr>
        <vertAlign val="sub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= 1/12 * b5 * L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=</t>
    </r>
  </si>
  <si>
    <t>Perpindahan struktur akibat beban 1 satuan arah trans,</t>
  </si>
  <si>
    <r>
      <rPr>
        <sz val="11"/>
        <color theme="1"/>
        <rFont val="Calibri"/>
        <family val="2"/>
      </rPr>
      <t>δ</t>
    </r>
    <r>
      <rPr>
        <vertAlign val="subscript"/>
        <sz val="11"/>
        <color theme="1"/>
        <rFont val="Calibri"/>
        <family val="2"/>
        <scheme val="minor"/>
      </rPr>
      <t>trans</t>
    </r>
    <r>
      <rPr>
        <sz val="11"/>
        <color theme="1"/>
        <rFont val="Calibri"/>
        <family val="2"/>
        <scheme val="minor"/>
      </rPr>
      <t xml:space="preserve"> = 1/3 * P * h</t>
    </r>
    <r>
      <rPr>
        <vertAlign val="subscript"/>
        <sz val="11"/>
        <color theme="1"/>
        <rFont val="Calibri"/>
        <family val="2"/>
        <scheme val="minor"/>
      </rPr>
      <t>abt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/ (E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* I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) + 3 * P *h</t>
    </r>
    <r>
      <rPr>
        <vertAlign val="subscript"/>
        <sz val="11"/>
        <color theme="1"/>
        <rFont val="Calibri"/>
        <family val="2"/>
        <scheme val="minor"/>
      </rPr>
      <t>abt</t>
    </r>
    <r>
      <rPr>
        <sz val="11"/>
        <color theme="1"/>
        <rFont val="Calibri"/>
        <family val="2"/>
        <scheme val="minor"/>
      </rPr>
      <t xml:space="preserve"> / (E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* L * b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 =</t>
    </r>
  </si>
  <si>
    <r>
      <t>K</t>
    </r>
    <r>
      <rPr>
        <vertAlign val="subscript"/>
        <sz val="11"/>
        <color theme="1"/>
        <rFont val="Calibri"/>
        <family val="2"/>
        <scheme val="minor"/>
      </rPr>
      <t>trans</t>
    </r>
    <r>
      <rPr>
        <sz val="11"/>
        <color theme="1"/>
        <rFont val="Calibri"/>
        <family val="2"/>
        <scheme val="minor"/>
      </rPr>
      <t xml:space="preserve"> = 1 / </t>
    </r>
    <r>
      <rPr>
        <sz val="11"/>
        <color theme="1"/>
        <rFont val="Calibri"/>
        <family val="2"/>
      </rPr>
      <t>δ</t>
    </r>
    <r>
      <rPr>
        <vertAlign val="subscript"/>
        <sz val="11"/>
        <color theme="1"/>
        <rFont val="Calibri"/>
        <family val="2"/>
      </rPr>
      <t>trans</t>
    </r>
    <r>
      <rPr>
        <sz val="11"/>
        <color theme="1"/>
        <rFont val="Calibri"/>
        <family val="2"/>
      </rPr>
      <t xml:space="preserve"> =</t>
    </r>
  </si>
  <si>
    <t>Kekakuan struktur arah melintang,</t>
  </si>
  <si>
    <t>Perpindahan statis arah transversal,</t>
  </si>
  <si>
    <r>
      <t>v</t>
    </r>
    <r>
      <rPr>
        <vertAlign val="subscript"/>
        <sz val="11"/>
        <color theme="1"/>
        <rFont val="Calibri"/>
        <family val="2"/>
        <scheme val="minor"/>
      </rPr>
      <t>strans</t>
    </r>
    <r>
      <rPr>
        <sz val="11"/>
        <color theme="1"/>
        <rFont val="Calibri"/>
        <family val="2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* b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/ K</t>
    </r>
    <r>
      <rPr>
        <vertAlign val="subscript"/>
        <sz val="11"/>
        <color theme="1"/>
        <rFont val="Calibri"/>
        <family val="2"/>
        <scheme val="minor"/>
      </rPr>
      <t>trans</t>
    </r>
    <r>
      <rPr>
        <sz val="11"/>
        <color theme="1"/>
        <rFont val="Calibri"/>
        <family val="2"/>
        <scheme val="minor"/>
      </rPr>
      <t xml:space="preserve"> =</t>
    </r>
  </si>
  <si>
    <t>Berat total struktur atas per lebar abutmen,</t>
  </si>
  <si>
    <r>
      <t>W</t>
    </r>
    <r>
      <rPr>
        <vertAlign val="subscript"/>
        <sz val="11"/>
        <color theme="1"/>
        <rFont val="Calibri"/>
        <family val="2"/>
        <scheme val="minor"/>
      </rPr>
      <t>tot</t>
    </r>
    <r>
      <rPr>
        <sz val="11"/>
        <color theme="1"/>
        <rFont val="Calibri"/>
        <family val="2"/>
        <scheme val="minor"/>
      </rPr>
      <t xml:space="preserve"> = (M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 / b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=</t>
    </r>
  </si>
  <si>
    <r>
      <t>α = V</t>
    </r>
    <r>
      <rPr>
        <vertAlign val="subscript"/>
        <sz val="11"/>
        <color theme="1"/>
        <rFont val="Calibri"/>
        <family val="2"/>
      </rPr>
      <t>strans</t>
    </r>
    <r>
      <rPr>
        <sz val="11"/>
        <color theme="1"/>
        <rFont val="Calibri"/>
        <family val="2"/>
      </rPr>
      <t xml:space="preserve"> * b</t>
    </r>
    <r>
      <rPr>
        <vertAlign val="subscript"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 xml:space="preserve"> =</t>
    </r>
  </si>
  <si>
    <t>Periode fundamental abutmen arah transversal,</t>
  </si>
  <si>
    <r>
      <t>C</t>
    </r>
    <r>
      <rPr>
        <vertAlign val="subscript"/>
        <sz val="11"/>
        <color theme="1"/>
        <rFont val="Calibri"/>
        <family val="2"/>
        <scheme val="minor"/>
      </rPr>
      <t>smA1</t>
    </r>
    <r>
      <rPr>
        <sz val="11"/>
        <color theme="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</si>
  <si>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elong</t>
    </r>
    <r>
      <rPr>
        <sz val="11"/>
        <color theme="1"/>
        <rFont val="Calibri"/>
        <family val="2"/>
        <scheme val="minor"/>
      </rPr>
      <t xml:space="preserve"> = ( </t>
    </r>
    <r>
      <rPr>
        <sz val="11"/>
        <color theme="1"/>
        <rFont val="Calibri"/>
        <family val="2"/>
      </rPr>
      <t>β * C</t>
    </r>
    <r>
      <rPr>
        <vertAlign val="subscript"/>
        <sz val="11"/>
        <color theme="1"/>
        <rFont val="Calibri"/>
        <family val="2"/>
      </rPr>
      <t>smA1</t>
    </r>
    <r>
      <rPr>
        <sz val="11"/>
        <color theme="1"/>
        <rFont val="Calibri"/>
        <family val="2"/>
      </rPr>
      <t xml:space="preserve"> / γ</t>
    </r>
    <r>
      <rPr>
        <sz val="11"/>
        <color theme="1"/>
        <rFont val="Calibri"/>
        <family val="2"/>
        <scheme val="minor"/>
      </rPr>
      <t xml:space="preserve"> )</t>
    </r>
    <r>
      <rPr>
        <sz val="11"/>
        <color theme="1"/>
        <rFont val="Calibri"/>
        <family val="2"/>
      </rPr>
      <t>* W</t>
    </r>
    <r>
      <rPr>
        <vertAlign val="subscript"/>
        <sz val="11"/>
        <color theme="1"/>
        <rFont val="Calibri"/>
        <family val="2"/>
      </rPr>
      <t>tot</t>
    </r>
    <r>
      <rPr>
        <sz val="11"/>
        <color theme="1"/>
        <rFont val="Calibri"/>
        <family val="2"/>
      </rPr>
      <t xml:space="preserve"> * V</t>
    </r>
    <r>
      <rPr>
        <vertAlign val="subscript"/>
        <sz val="11"/>
        <color theme="1"/>
        <rFont val="Calibri"/>
        <family val="2"/>
      </rPr>
      <t>slong</t>
    </r>
    <r>
      <rPr>
        <sz val="11"/>
        <color theme="1"/>
        <rFont val="Calibri"/>
        <family val="2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</si>
  <si>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long</t>
    </r>
    <r>
      <rPr>
        <sz val="11"/>
        <color theme="1"/>
        <rFont val="Calibri"/>
        <family val="2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elong</t>
    </r>
    <r>
      <rPr>
        <sz val="11"/>
        <color theme="1"/>
        <rFont val="Calibri"/>
        <family val="2"/>
        <scheme val="minor"/>
      </rPr>
      <t xml:space="preserve"> * L / R =</t>
    </r>
  </si>
  <si>
    <r>
      <t>P</t>
    </r>
    <r>
      <rPr>
        <vertAlign val="subscript"/>
        <sz val="11"/>
        <color theme="1"/>
        <rFont val="Calibri"/>
        <family val="2"/>
        <scheme val="minor"/>
      </rPr>
      <t>etrans</t>
    </r>
    <r>
      <rPr>
        <sz val="11"/>
        <color theme="1"/>
        <rFont val="Calibri"/>
        <family val="2"/>
        <scheme val="minor"/>
      </rPr>
      <t xml:space="preserve"> = ( </t>
    </r>
    <r>
      <rPr>
        <sz val="11"/>
        <color theme="1"/>
        <rFont val="Calibri"/>
        <family val="2"/>
      </rPr>
      <t>β * C</t>
    </r>
    <r>
      <rPr>
        <vertAlign val="subscript"/>
        <sz val="11"/>
        <color theme="1"/>
        <rFont val="Calibri"/>
        <family val="2"/>
      </rPr>
      <t>smA1</t>
    </r>
    <r>
      <rPr>
        <sz val="11"/>
        <color theme="1"/>
        <rFont val="Calibri"/>
        <family val="2"/>
      </rPr>
      <t xml:space="preserve"> / γ</t>
    </r>
    <r>
      <rPr>
        <sz val="11"/>
        <color theme="1"/>
        <rFont val="Calibri"/>
        <family val="2"/>
        <scheme val="minor"/>
      </rPr>
      <t xml:space="preserve"> )</t>
    </r>
    <r>
      <rPr>
        <sz val="11"/>
        <color theme="1"/>
        <rFont val="Calibri"/>
        <family val="2"/>
      </rPr>
      <t>* W</t>
    </r>
    <r>
      <rPr>
        <vertAlign val="subscript"/>
        <sz val="11"/>
        <color theme="1"/>
        <rFont val="Calibri"/>
        <family val="2"/>
      </rPr>
      <t>tot</t>
    </r>
    <r>
      <rPr>
        <sz val="11"/>
        <color theme="1"/>
        <rFont val="Calibri"/>
        <family val="2"/>
      </rPr>
      <t xml:space="preserve"> * V</t>
    </r>
    <r>
      <rPr>
        <vertAlign val="subscript"/>
        <sz val="11"/>
        <color theme="1"/>
        <rFont val="Calibri"/>
        <family val="2"/>
      </rPr>
      <t>trans</t>
    </r>
    <r>
      <rPr>
        <sz val="11"/>
        <color theme="1"/>
        <rFont val="Calibri"/>
        <family val="2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</si>
  <si>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trans</t>
    </r>
    <r>
      <rPr>
        <sz val="11"/>
        <color theme="1"/>
        <rFont val="Calibri"/>
        <family val="2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etrans</t>
    </r>
    <r>
      <rPr>
        <sz val="11"/>
        <color theme="1"/>
        <rFont val="Calibri"/>
        <family val="2"/>
        <scheme val="minor"/>
      </rPr>
      <t xml:space="preserve"> * b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/ R =</t>
    </r>
  </si>
  <si>
    <t>Bangunan abutmen</t>
  </si>
  <si>
    <t>Perencanaan Abutmen Jembatan dengan Struktur Beton Bertulang untuk Multispan dengan Metode Spectra Moda Tunggal (SM)</t>
  </si>
  <si>
    <t>1.0.0</t>
  </si>
  <si>
    <t>*Tampak Atas</t>
  </si>
  <si>
    <r>
      <t>S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</si>
  <si>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r>
      <t>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</si>
  <si>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t>V1.0.0</t>
  </si>
  <si>
    <t>Nopember 2021</t>
  </si>
  <si>
    <t>Perencanaan Abutmen Jembatan dengan Struktur Beton Bertulang (Multispan - Metode Spectra Moda Tunggal)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</si>
</sst>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.E+00"/>
    <numFmt numFmtId="167" formatCode="0.0000000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charset val="1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249977111117893"/>
      <name val="Calibri"/>
      <family val="2"/>
      <charset val="1"/>
      <scheme val="minor"/>
    </font>
    <font>
      <sz val="11"/>
      <color theme="1"/>
      <name val="Calibri"/>
      <family val="2"/>
      <charset val="1"/>
    </font>
    <font>
      <b/>
      <sz val="11"/>
      <name val="Calibri"/>
      <family val="2"/>
      <scheme val="minor"/>
    </font>
    <font>
      <sz val="11"/>
      <name val="Arial"/>
      <family val="2"/>
    </font>
    <font>
      <sz val="11"/>
      <color theme="0" tint="-0.14999847407452621"/>
      <name val="Calibri"/>
      <family val="2"/>
      <scheme val="minor"/>
    </font>
    <font>
      <sz val="1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name val="Calibri Light"/>
      <family val="2"/>
      <scheme val="major"/>
    </font>
    <font>
      <b/>
      <vertAlign val="subscript"/>
      <sz val="11"/>
      <name val="Calibri Light"/>
      <family val="2"/>
      <scheme val="major"/>
    </font>
    <font>
      <b/>
      <sz val="11"/>
      <color theme="4" tint="-0.249977111117893"/>
      <name val="Calibri"/>
      <family val="2"/>
      <scheme val="minor"/>
    </font>
    <font>
      <sz val="8"/>
      <name val="Calibri"/>
      <family val="2"/>
      <scheme val="minor"/>
    </font>
    <font>
      <sz val="11"/>
      <color theme="7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</font>
    <font>
      <i/>
      <sz val="11"/>
      <color theme="1"/>
      <name val="Calibri"/>
      <family val="2"/>
      <scheme val="minor"/>
    </font>
    <font>
      <sz val="14"/>
      <name val="Arial"/>
      <family val="2"/>
    </font>
    <font>
      <vertAlign val="subscript"/>
      <sz val="11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12"/>
      <color theme="0"/>
      <name val="Calibri Light"/>
      <family val="2"/>
      <charset val="1"/>
      <scheme val="major"/>
    </font>
    <font>
      <b/>
      <sz val="12"/>
      <color theme="0"/>
      <name val="Calibri Light"/>
      <family val="2"/>
      <scheme val="major"/>
    </font>
    <font>
      <b/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name val="Calibri"/>
      <family val="2"/>
      <charset val="1"/>
      <scheme val="minor"/>
    </font>
    <font>
      <i/>
      <vertAlign val="subscript"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b/>
      <vertAlign val="subscript"/>
      <sz val="11"/>
      <color theme="0"/>
      <name val="Calibri Light"/>
      <family val="2"/>
      <scheme val="major"/>
    </font>
    <font>
      <b/>
      <sz val="11"/>
      <name val="Calibri Light"/>
      <family val="2"/>
      <charset val="1"/>
      <scheme val="major"/>
    </font>
    <font>
      <b/>
      <sz val="12"/>
      <name val="Calibri Light"/>
      <family val="2"/>
      <scheme val="major"/>
    </font>
    <font>
      <i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vertAlign val="subscript"/>
      <sz val="8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Calibri"/>
      <family val="2"/>
      <charset val="1"/>
      <scheme val="minor"/>
    </font>
    <font>
      <u/>
      <sz val="12"/>
      <color theme="0"/>
      <name val="Calibri"/>
      <family val="2"/>
      <charset val="1"/>
      <scheme val="minor"/>
    </font>
    <font>
      <sz val="12"/>
      <color theme="0"/>
      <name val="Calibri Light"/>
      <family val="2"/>
      <scheme val="major"/>
    </font>
    <font>
      <u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double">
        <color theme="5"/>
      </left>
      <right style="thin">
        <color theme="0" tint="-0.24994659260841701"/>
      </right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thin">
        <color rgb="FFFFCCCC"/>
      </left>
      <right style="thin">
        <color rgb="FFFFCCCC"/>
      </right>
      <top style="thin">
        <color rgb="FFFFCCCC"/>
      </top>
      <bottom style="thin">
        <color rgb="FFFFCCCC"/>
      </bottom>
      <diagonal/>
    </border>
    <border>
      <left style="double">
        <color rgb="FFFFCCCC"/>
      </left>
      <right style="thin">
        <color theme="0" tint="-0.24994659260841701"/>
      </right>
      <top style="double">
        <color rgb="FFFFCCCC"/>
      </top>
      <bottom style="double">
        <color rgb="FFFFCCCC"/>
      </bottom>
      <diagonal/>
    </border>
    <border>
      <left/>
      <right/>
      <top style="double">
        <color rgb="FFFFCCCC"/>
      </top>
      <bottom style="double">
        <color rgb="FFFFCCCC"/>
      </bottom>
      <diagonal/>
    </border>
    <border>
      <left/>
      <right style="double">
        <color rgb="FFFFCCCC"/>
      </right>
      <top style="double">
        <color rgb="FFFFCCCC"/>
      </top>
      <bottom style="double">
        <color rgb="FFFFCCCC"/>
      </bottom>
      <diagonal/>
    </border>
    <border>
      <left style="double">
        <color rgb="FFFFCCCC"/>
      </left>
      <right/>
      <top style="double">
        <color rgb="FFFFCCCC"/>
      </top>
      <bottom style="double">
        <color rgb="FFFFCCCC"/>
      </bottom>
      <diagonal/>
    </border>
    <border diagonalUp="1" diagonalDown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rgb="FFFFCCCC"/>
      </diagonal>
    </border>
    <border>
      <left style="thin">
        <color rgb="FFFF5050"/>
      </left>
      <right style="thin">
        <color rgb="FFFF5050"/>
      </right>
      <top style="thin">
        <color rgb="FFFF5050"/>
      </top>
      <bottom style="thin">
        <color rgb="FFFF505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4">
    <xf numFmtId="0" fontId="0" fillId="0" borderId="0"/>
    <xf numFmtId="0" fontId="4" fillId="0" borderId="0"/>
    <xf numFmtId="0" fontId="57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665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8" fillId="0" borderId="0" xfId="0" applyFont="1" applyAlignment="1">
      <alignment horizontal="right" vertical="center"/>
    </xf>
    <xf numFmtId="0" fontId="5" fillId="0" borderId="0" xfId="1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0" fontId="0" fillId="0" borderId="1" xfId="0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4" xfId="0" applyBorder="1" applyAlignment="1">
      <alignment horizontal="right" vertical="center"/>
    </xf>
    <xf numFmtId="2" fontId="0" fillId="0" borderId="4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0" fontId="14" fillId="0" borderId="0" xfId="0" applyFont="1" applyAlignment="1">
      <alignment horizontal="left" vertical="center" indent="1"/>
    </xf>
    <xf numFmtId="2" fontId="15" fillId="0" borderId="0" xfId="0" applyNumberFormat="1" applyFont="1" applyAlignment="1">
      <alignment horizontal="right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17" fillId="0" borderId="0" xfId="1" applyFont="1" applyAlignment="1">
      <alignment horizontal="right" vertical="center"/>
    </xf>
    <xf numFmtId="2" fontId="17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165" fontId="22" fillId="4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0" fillId="0" borderId="0" xfId="0" quotePrefix="1"/>
    <xf numFmtId="0" fontId="26" fillId="5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1"/>
    </xf>
    <xf numFmtId="164" fontId="5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2" fontId="5" fillId="0" borderId="0" xfId="0" applyNumberFormat="1" applyFont="1" applyAlignment="1" applyProtection="1">
      <alignment horizontal="center" vertical="center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center" wrapText="1" indent="1"/>
    </xf>
    <xf numFmtId="0" fontId="22" fillId="0" borderId="0" xfId="0" applyFont="1" applyAlignment="1">
      <alignment vertical="center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2" fontId="30" fillId="0" borderId="4" xfId="0" applyNumberFormat="1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vertical="center"/>
    </xf>
    <xf numFmtId="0" fontId="17" fillId="3" borderId="9" xfId="0" applyFont="1" applyFill="1" applyBorder="1" applyAlignment="1">
      <alignment horizontal="center" vertical="center"/>
    </xf>
    <xf numFmtId="2" fontId="17" fillId="3" borderId="9" xfId="0" applyNumberFormat="1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2" fontId="17" fillId="3" borderId="10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right" vertical="center" indent="1"/>
    </xf>
    <xf numFmtId="2" fontId="17" fillId="3" borderId="1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2" fontId="5" fillId="0" borderId="1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 indent="1"/>
    </xf>
    <xf numFmtId="1" fontId="5" fillId="0" borderId="7" xfId="0" applyNumberFormat="1" applyFont="1" applyBorder="1" applyAlignment="1">
      <alignment horizontal="right" vertical="center"/>
    </xf>
    <xf numFmtId="2" fontId="17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2" fontId="5" fillId="0" borderId="12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0" fontId="5" fillId="0" borderId="12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right" vertical="center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1" fontId="28" fillId="0" borderId="0" xfId="1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left" vertical="center" indent="1"/>
    </xf>
    <xf numFmtId="0" fontId="0" fillId="0" borderId="2" xfId="0" applyBorder="1" applyAlignment="1">
      <alignment horizontal="right" vertical="center"/>
    </xf>
    <xf numFmtId="2" fontId="0" fillId="0" borderId="14" xfId="0" applyNumberFormat="1" applyBorder="1" applyAlignment="1">
      <alignment horizontal="center" vertical="center"/>
    </xf>
    <xf numFmtId="2" fontId="0" fillId="6" borderId="16" xfId="0" applyNumberFormat="1" applyFill="1" applyBorder="1" applyAlignment="1">
      <alignment horizontal="center" vertical="center"/>
    </xf>
    <xf numFmtId="0" fontId="0" fillId="6" borderId="17" xfId="0" applyFill="1" applyBorder="1" applyAlignment="1">
      <alignment horizontal="left" vertical="center" indent="1"/>
    </xf>
    <xf numFmtId="2" fontId="0" fillId="6" borderId="17" xfId="0" applyNumberForma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right" vertical="center" indent="1"/>
    </xf>
    <xf numFmtId="0" fontId="5" fillId="0" borderId="6" xfId="0" applyFont="1" applyBorder="1" applyAlignment="1">
      <alignment horizontal="right" vertical="center" indent="1"/>
    </xf>
    <xf numFmtId="164" fontId="0" fillId="0" borderId="14" xfId="0" applyNumberFormat="1" applyBorder="1" applyAlignment="1">
      <alignment horizontal="center" vertical="center"/>
    </xf>
    <xf numFmtId="0" fontId="3" fillId="0" borderId="21" xfId="0" applyFont="1" applyBorder="1" applyAlignment="1">
      <alignment horizontal="left" vertical="center" indent="1"/>
    </xf>
    <xf numFmtId="0" fontId="0" fillId="0" borderId="21" xfId="0" applyBorder="1" applyAlignment="1">
      <alignment vertical="center"/>
    </xf>
    <xf numFmtId="0" fontId="9" fillId="6" borderId="22" xfId="0" applyFont="1" applyFill="1" applyBorder="1" applyAlignment="1">
      <alignment horizontal="center" vertical="center"/>
    </xf>
    <xf numFmtId="2" fontId="0" fillId="6" borderId="23" xfId="0" applyNumberFormat="1" applyFill="1" applyBorder="1" applyAlignment="1">
      <alignment horizontal="center" vertical="center"/>
    </xf>
    <xf numFmtId="164" fontId="5" fillId="0" borderId="24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0" fontId="5" fillId="11" borderId="25" xfId="0" applyFont="1" applyFill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9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horizontal="right" vertical="center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left" vertical="center" inden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right" vertical="center"/>
    </xf>
    <xf numFmtId="0" fontId="9" fillId="8" borderId="0" xfId="0" applyFont="1" applyFill="1" applyAlignment="1">
      <alignment horizontal="left" vertical="center" indent="1"/>
    </xf>
    <xf numFmtId="0" fontId="36" fillId="0" borderId="0" xfId="0" applyFont="1" applyAlignment="1">
      <alignment vertical="center"/>
    </xf>
    <xf numFmtId="2" fontId="9" fillId="3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2" fontId="5" fillId="0" borderId="0" xfId="1" applyNumberFormat="1" applyFont="1" applyAlignment="1">
      <alignment horizontal="center" vertical="center"/>
    </xf>
    <xf numFmtId="1" fontId="5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40" fillId="0" borderId="0" xfId="1" applyFont="1" applyAlignment="1">
      <alignment vertical="center"/>
    </xf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1" fillId="15" borderId="0" xfId="1" applyFont="1" applyFill="1" applyAlignment="1">
      <alignment horizontal="center" vertical="center"/>
    </xf>
    <xf numFmtId="0" fontId="42" fillId="15" borderId="0" xfId="1" applyFont="1" applyFill="1" applyAlignment="1">
      <alignment horizontal="center" vertical="center"/>
    </xf>
    <xf numFmtId="0" fontId="43" fillId="12" borderId="26" xfId="0" applyFont="1" applyFill="1" applyBorder="1" applyAlignment="1">
      <alignment horizontal="center" vertical="center"/>
    </xf>
    <xf numFmtId="0" fontId="9" fillId="12" borderId="0" xfId="0" applyFont="1" applyFill="1"/>
    <xf numFmtId="0" fontId="0" fillId="12" borderId="0" xfId="0" applyFill="1"/>
    <xf numFmtId="0" fontId="0" fillId="12" borderId="13" xfId="0" applyFill="1" applyBorder="1"/>
    <xf numFmtId="0" fontId="43" fillId="8" borderId="26" xfId="0" applyFont="1" applyFill="1" applyBorder="1" applyAlignment="1">
      <alignment horizontal="center" vertical="center"/>
    </xf>
    <xf numFmtId="0" fontId="3" fillId="8" borderId="0" xfId="0" applyFont="1" applyFill="1" applyAlignment="1">
      <alignment vertical="center"/>
    </xf>
    <xf numFmtId="0" fontId="3" fillId="8" borderId="13" xfId="0" applyFont="1" applyFill="1" applyBorder="1" applyAlignment="1">
      <alignment vertical="center"/>
    </xf>
    <xf numFmtId="0" fontId="43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indent="1"/>
    </xf>
    <xf numFmtId="0" fontId="3" fillId="0" borderId="26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4" fillId="3" borderId="1" xfId="0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right" vertical="center"/>
    </xf>
    <xf numFmtId="164" fontId="9" fillId="10" borderId="15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9" borderId="15" xfId="0" applyFont="1" applyFill="1" applyBorder="1" applyAlignment="1">
      <alignment horizontal="right" vertical="center"/>
    </xf>
    <xf numFmtId="164" fontId="9" fillId="9" borderId="1" xfId="0" applyNumberFormat="1" applyFont="1" applyFill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 indent="1"/>
    </xf>
    <xf numFmtId="0" fontId="0" fillId="0" borderId="13" xfId="0" applyBorder="1"/>
    <xf numFmtId="0" fontId="0" fillId="0" borderId="13" xfId="0" applyBorder="1" applyAlignment="1">
      <alignment vertical="center"/>
    </xf>
    <xf numFmtId="0" fontId="17" fillId="12" borderId="0" xfId="0" applyFont="1" applyFill="1" applyAlignment="1">
      <alignment vertical="center"/>
    </xf>
    <xf numFmtId="0" fontId="5" fillId="12" borderId="0" xfId="0" applyFont="1" applyFill="1" applyAlignment="1">
      <alignment vertical="center"/>
    </xf>
    <xf numFmtId="2" fontId="5" fillId="12" borderId="0" xfId="0" applyNumberFormat="1" applyFont="1" applyFill="1" applyAlignment="1">
      <alignment horizontal="center" vertical="center"/>
    </xf>
    <xf numFmtId="0" fontId="47" fillId="12" borderId="0" xfId="0" applyFont="1" applyFill="1" applyAlignment="1">
      <alignment horizontal="center" vertical="center"/>
    </xf>
    <xf numFmtId="0" fontId="37" fillId="12" borderId="0" xfId="0" applyFont="1" applyFill="1" applyAlignment="1">
      <alignment horizontal="center" vertical="center"/>
    </xf>
    <xf numFmtId="0" fontId="37" fillId="12" borderId="0" xfId="0" applyFont="1" applyFill="1" applyAlignment="1">
      <alignment vertical="center"/>
    </xf>
    <xf numFmtId="0" fontId="5" fillId="12" borderId="13" xfId="0" applyFont="1" applyFill="1" applyBorder="1" applyAlignment="1">
      <alignment vertical="center"/>
    </xf>
    <xf numFmtId="0" fontId="17" fillId="8" borderId="0" xfId="0" applyFont="1" applyFill="1" applyAlignment="1">
      <alignment vertical="center"/>
    </xf>
    <xf numFmtId="0" fontId="5" fillId="8" borderId="0" xfId="0" applyFont="1" applyFill="1" applyAlignment="1">
      <alignment vertical="center"/>
    </xf>
    <xf numFmtId="0" fontId="5" fillId="8" borderId="13" xfId="0" applyFont="1" applyFill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1" fontId="39" fillId="0" borderId="0" xfId="0" applyNumberFormat="1" applyFont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9" fillId="0" borderId="0" xfId="1" applyFont="1" applyAlignment="1">
      <alignment horizontal="left" vertical="center"/>
    </xf>
    <xf numFmtId="165" fontId="5" fillId="0" borderId="13" xfId="1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2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1" fontId="5" fillId="0" borderId="1" xfId="0" applyNumberFormat="1" applyFont="1" applyBorder="1" applyAlignment="1">
      <alignment horizontal="center" vertical="center"/>
    </xf>
    <xf numFmtId="0" fontId="48" fillId="0" borderId="26" xfId="1" applyFont="1" applyBorder="1" applyAlignment="1">
      <alignment horizontal="center" vertical="center"/>
    </xf>
    <xf numFmtId="0" fontId="5" fillId="0" borderId="13" xfId="1" applyFont="1" applyBorder="1" applyAlignment="1">
      <alignment horizontal="left" vertical="center" indent="1"/>
    </xf>
    <xf numFmtId="165" fontId="5" fillId="0" borderId="1" xfId="1" applyNumberFormat="1" applyFont="1" applyBorder="1" applyAlignment="1">
      <alignment horizontal="center" vertical="center"/>
    </xf>
    <xf numFmtId="165" fontId="5" fillId="0" borderId="12" xfId="1" applyNumberFormat="1" applyFont="1" applyBorder="1" applyAlignment="1">
      <alignment horizontal="center" vertical="center"/>
    </xf>
    <xf numFmtId="0" fontId="38" fillId="0" borderId="0" xfId="1" applyFont="1" applyAlignment="1">
      <alignment horizontal="right" vertical="center"/>
    </xf>
    <xf numFmtId="0" fontId="50" fillId="0" borderId="26" xfId="1" applyFont="1" applyBorder="1" applyAlignment="1">
      <alignment horizontal="left" vertical="center" indent="1"/>
    </xf>
    <xf numFmtId="0" fontId="20" fillId="0" borderId="26" xfId="1" applyFont="1" applyBorder="1" applyAlignment="1">
      <alignment horizontal="left" vertical="center" indent="1"/>
    </xf>
    <xf numFmtId="0" fontId="20" fillId="0" borderId="13" xfId="1" applyFont="1" applyBorder="1" applyAlignment="1">
      <alignment horizontal="left" vertical="center" indent="1"/>
    </xf>
    <xf numFmtId="0" fontId="5" fillId="0" borderId="13" xfId="1" applyFont="1" applyBorder="1" applyAlignment="1">
      <alignment vertical="center"/>
    </xf>
    <xf numFmtId="1" fontId="5" fillId="13" borderId="1" xfId="1" applyNumberFormat="1" applyFont="1" applyFill="1" applyBorder="1" applyAlignment="1">
      <alignment horizontal="center" vertical="center"/>
    </xf>
    <xf numFmtId="1" fontId="5" fillId="0" borderId="14" xfId="1" applyNumberFormat="1" applyFont="1" applyBorder="1" applyAlignment="1">
      <alignment horizontal="center" vertical="center"/>
    </xf>
    <xf numFmtId="1" fontId="5" fillId="14" borderId="2" xfId="1" applyNumberFormat="1" applyFont="1" applyFill="1" applyBorder="1" applyAlignment="1">
      <alignment horizontal="left" vertical="center" indent="3"/>
    </xf>
    <xf numFmtId="1" fontId="5" fillId="14" borderId="3" xfId="1" applyNumberFormat="1" applyFont="1" applyFill="1" applyBorder="1" applyAlignment="1">
      <alignment horizontal="center" vertical="center"/>
    </xf>
    <xf numFmtId="2" fontId="5" fillId="0" borderId="15" xfId="1" applyNumberFormat="1" applyFont="1" applyBorder="1" applyAlignment="1">
      <alignment horizontal="center" vertical="center"/>
    </xf>
    <xf numFmtId="164" fontId="5" fillId="0" borderId="13" xfId="1" applyNumberFormat="1" applyFont="1" applyBorder="1" applyAlignment="1">
      <alignment horizontal="left" vertical="center" indent="1"/>
    </xf>
    <xf numFmtId="164" fontId="5" fillId="0" borderId="1" xfId="1" applyNumberFormat="1" applyFont="1" applyBorder="1" applyAlignment="1">
      <alignment horizontal="left" vertical="center" indent="1"/>
    </xf>
    <xf numFmtId="1" fontId="5" fillId="0" borderId="0" xfId="1" applyNumberFormat="1" applyFont="1" applyAlignment="1">
      <alignment horizontal="center" vertical="center"/>
    </xf>
    <xf numFmtId="164" fontId="19" fillId="0" borderId="0" xfId="1" applyNumberFormat="1" applyFont="1" applyAlignment="1">
      <alignment vertical="center"/>
    </xf>
    <xf numFmtId="2" fontId="5" fillId="0" borderId="0" xfId="0" applyNumberFormat="1" applyFont="1" applyAlignment="1">
      <alignment horizontal="left" vertical="center"/>
    </xf>
    <xf numFmtId="2" fontId="19" fillId="0" borderId="0" xfId="1" applyNumberFormat="1" applyFont="1" applyAlignment="1">
      <alignment vertical="center"/>
    </xf>
    <xf numFmtId="0" fontId="5" fillId="0" borderId="29" xfId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1" fontId="5" fillId="0" borderId="3" xfId="0" applyNumberFormat="1" applyFont="1" applyBorder="1" applyAlignment="1" applyProtection="1">
      <alignment horizontal="left" vertical="center" indent="1"/>
      <protection locked="0"/>
    </xf>
    <xf numFmtId="1" fontId="5" fillId="0" borderId="15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1" fontId="5" fillId="0" borderId="4" xfId="0" applyNumberFormat="1" applyFont="1" applyBorder="1" applyAlignment="1">
      <alignment horizontal="left" vertical="center" indent="3"/>
    </xf>
    <xf numFmtId="1" fontId="5" fillId="0" borderId="3" xfId="0" applyNumberFormat="1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0" fillId="0" borderId="29" xfId="0" applyBorder="1"/>
    <xf numFmtId="0" fontId="0" fillId="0" borderId="28" xfId="0" applyBorder="1"/>
    <xf numFmtId="0" fontId="43" fillId="0" borderId="0" xfId="0" applyFont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17" fillId="3" borderId="15" xfId="0" applyNumberFormat="1" applyFont="1" applyFill="1" applyBorder="1" applyAlignment="1">
      <alignment horizontal="center" vertical="center"/>
    </xf>
    <xf numFmtId="164" fontId="9" fillId="3" borderId="20" xfId="0" applyNumberFormat="1" applyFont="1" applyFill="1" applyBorder="1" applyAlignment="1">
      <alignment horizontal="center" vertical="center"/>
    </xf>
    <xf numFmtId="2" fontId="17" fillId="3" borderId="1" xfId="0" applyNumberFormat="1" applyFont="1" applyFill="1" applyBorder="1" applyAlignment="1" applyProtection="1">
      <alignment horizontal="center" vertical="center"/>
      <protection locked="0"/>
    </xf>
    <xf numFmtId="164" fontId="9" fillId="3" borderId="1" xfId="0" applyNumberFormat="1" applyFont="1" applyFill="1" applyBorder="1" applyAlignment="1">
      <alignment horizontal="center" vertical="center"/>
    </xf>
    <xf numFmtId="2" fontId="17" fillId="3" borderId="1" xfId="1" applyNumberFormat="1" applyFont="1" applyFill="1" applyBorder="1" applyAlignment="1" applyProtection="1">
      <alignment horizontal="center" vertical="center"/>
      <protection locked="0"/>
    </xf>
    <xf numFmtId="1" fontId="17" fillId="3" borderId="1" xfId="0" applyNumberFormat="1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center" vertical="center"/>
    </xf>
    <xf numFmtId="1" fontId="17" fillId="3" borderId="1" xfId="1" applyNumberFormat="1" applyFont="1" applyFill="1" applyBorder="1" applyAlignment="1" applyProtection="1">
      <alignment horizontal="center" vertical="center"/>
      <protection locked="0"/>
    </xf>
    <xf numFmtId="164" fontId="17" fillId="3" borderId="5" xfId="0" applyNumberFormat="1" applyFont="1" applyFill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0" fontId="51" fillId="16" borderId="5" xfId="0" applyFont="1" applyFill="1" applyBorder="1" applyAlignment="1">
      <alignment horizontal="center" vertical="center"/>
    </xf>
    <xf numFmtId="0" fontId="5" fillId="12" borderId="5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vertical="center"/>
    </xf>
    <xf numFmtId="0" fontId="9" fillId="8" borderId="13" xfId="0" applyFont="1" applyFill="1" applyBorder="1" applyAlignment="1">
      <alignment horizontal="left" vertical="center"/>
    </xf>
    <xf numFmtId="0" fontId="9" fillId="8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0" borderId="0" xfId="0" applyBorder="1"/>
    <xf numFmtId="0" fontId="0" fillId="0" borderId="5" xfId="0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23" fillId="17" borderId="5" xfId="0" applyFont="1" applyFill="1" applyBorder="1" applyAlignment="1">
      <alignment horizontal="center" vertical="center"/>
    </xf>
    <xf numFmtId="0" fontId="0" fillId="17" borderId="5" xfId="0" applyFill="1" applyBorder="1" applyAlignment="1">
      <alignment vertical="center"/>
    </xf>
    <xf numFmtId="164" fontId="0" fillId="0" borderId="5" xfId="0" applyNumberFormat="1" applyFill="1" applyBorder="1" applyAlignment="1">
      <alignment horizontal="right" vertical="center" indent="1"/>
    </xf>
    <xf numFmtId="164" fontId="0" fillId="0" borderId="5" xfId="0" applyNumberFormat="1" applyBorder="1" applyAlignment="1">
      <alignment horizontal="right" vertical="center" indent="1"/>
    </xf>
    <xf numFmtId="164" fontId="0" fillId="0" borderId="0" xfId="0" applyNumberFormat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right" vertical="center" indent="1"/>
    </xf>
    <xf numFmtId="164" fontId="5" fillId="0" borderId="24" xfId="0" applyNumberFormat="1" applyFont="1" applyFill="1" applyBorder="1" applyAlignment="1">
      <alignment horizontal="right" vertical="center" indent="1"/>
    </xf>
    <xf numFmtId="0" fontId="0" fillId="0" borderId="5" xfId="0" applyBorder="1" applyAlignment="1">
      <alignment horizontal="right" vertical="center" indent="1"/>
    </xf>
    <xf numFmtId="164" fontId="0" fillId="0" borderId="24" xfId="0" applyNumberFormat="1" applyBorder="1" applyAlignment="1">
      <alignment horizontal="right" vertical="center" indent="1"/>
    </xf>
    <xf numFmtId="0" fontId="26" fillId="5" borderId="5" xfId="0" applyFont="1" applyFill="1" applyBorder="1" applyAlignment="1">
      <alignment horizontal="center" vertical="center"/>
    </xf>
    <xf numFmtId="0" fontId="23" fillId="17" borderId="5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3" fillId="17" borderId="5" xfId="0" applyFont="1" applyFill="1" applyBorder="1" applyAlignment="1">
      <alignment horizontal="center" vertical="center"/>
    </xf>
    <xf numFmtId="0" fontId="42" fillId="15" borderId="0" xfId="1" applyFont="1" applyFill="1" applyAlignment="1">
      <alignment horizontal="center" vertical="center"/>
    </xf>
    <xf numFmtId="0" fontId="51" fillId="16" borderId="5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23" fillId="17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right" vertical="center" indent="1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indent="1"/>
    </xf>
    <xf numFmtId="0" fontId="0" fillId="0" borderId="0" xfId="0" applyFill="1" applyAlignment="1">
      <alignment vertical="center"/>
    </xf>
    <xf numFmtId="0" fontId="5" fillId="0" borderId="29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8" xfId="0" applyBorder="1" applyAlignment="1">
      <alignment vertical="center"/>
    </xf>
    <xf numFmtId="164" fontId="9" fillId="8" borderId="5" xfId="0" applyNumberFormat="1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vertical="center"/>
    </xf>
    <xf numFmtId="0" fontId="53" fillId="12" borderId="26" xfId="1" applyFont="1" applyFill="1" applyBorder="1" applyAlignment="1">
      <alignment horizontal="center" vertical="center"/>
    </xf>
    <xf numFmtId="0" fontId="26" fillId="12" borderId="0" xfId="1" applyFont="1" applyFill="1" applyAlignment="1">
      <alignment horizontal="left" vertical="center"/>
    </xf>
    <xf numFmtId="0" fontId="54" fillId="12" borderId="0" xfId="1" applyFont="1" applyFill="1" applyAlignment="1">
      <alignment horizontal="center" vertical="center"/>
    </xf>
    <xf numFmtId="0" fontId="54" fillId="12" borderId="0" xfId="1" applyFont="1" applyFill="1" applyAlignment="1">
      <alignment horizontal="right" vertical="center"/>
    </xf>
    <xf numFmtId="0" fontId="54" fillId="12" borderId="13" xfId="1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 indent="1"/>
    </xf>
    <xf numFmtId="0" fontId="44" fillId="0" borderId="0" xfId="0" applyFont="1" applyAlignment="1">
      <alignment horizontal="center" vertical="center"/>
    </xf>
    <xf numFmtId="0" fontId="48" fillId="8" borderId="26" xfId="1" applyFont="1" applyFill="1" applyBorder="1" applyAlignment="1">
      <alignment horizontal="center" vertical="center"/>
    </xf>
    <xf numFmtId="0" fontId="17" fillId="8" borderId="0" xfId="1" applyFont="1" applyFill="1" applyAlignment="1">
      <alignment vertical="center"/>
    </xf>
    <xf numFmtId="0" fontId="5" fillId="8" borderId="0" xfId="1" applyFont="1" applyFill="1" applyAlignment="1">
      <alignment vertical="center"/>
    </xf>
    <xf numFmtId="0" fontId="5" fillId="8" borderId="0" xfId="1" applyFont="1" applyFill="1" applyAlignment="1">
      <alignment horizontal="right" vertical="center"/>
    </xf>
    <xf numFmtId="0" fontId="5" fillId="8" borderId="0" xfId="1" applyFont="1" applyFill="1" applyAlignment="1">
      <alignment horizontal="center" vertical="center"/>
    </xf>
    <xf numFmtId="0" fontId="5" fillId="8" borderId="13" xfId="1" applyFont="1" applyFill="1" applyBorder="1" applyAlignment="1">
      <alignment horizontal="left" vertical="center" indent="1"/>
    </xf>
    <xf numFmtId="0" fontId="38" fillId="0" borderId="0" xfId="1" applyFont="1" applyAlignment="1">
      <alignment horizontal="center" vertical="center"/>
    </xf>
    <xf numFmtId="2" fontId="5" fillId="0" borderId="14" xfId="1" applyNumberFormat="1" applyFont="1" applyBorder="1" applyAlignment="1">
      <alignment horizontal="center" vertical="center"/>
    </xf>
    <xf numFmtId="164" fontId="5" fillId="0" borderId="13" xfId="1" applyNumberFormat="1" applyFont="1" applyBorder="1" applyAlignment="1">
      <alignment horizontal="left" vertical="center" indent="2"/>
    </xf>
    <xf numFmtId="1" fontId="5" fillId="0" borderId="2" xfId="1" applyNumberFormat="1" applyFont="1" applyBorder="1" applyAlignment="1">
      <alignment horizontal="right" vertical="center"/>
    </xf>
    <xf numFmtId="1" fontId="5" fillId="0" borderId="3" xfId="1" applyNumberFormat="1" applyFont="1" applyBorder="1" applyAlignment="1">
      <alignment horizontal="center" vertical="center"/>
    </xf>
    <xf numFmtId="1" fontId="5" fillId="0" borderId="2" xfId="1" applyNumberFormat="1" applyFont="1" applyBorder="1" applyAlignment="1">
      <alignment vertical="center"/>
    </xf>
    <xf numFmtId="1" fontId="5" fillId="0" borderId="4" xfId="1" applyNumberFormat="1" applyFon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0" fillId="0" borderId="29" xfId="0" applyBorder="1" applyAlignment="1">
      <alignment horizontal="left" vertical="center" indent="1"/>
    </xf>
    <xf numFmtId="0" fontId="0" fillId="0" borderId="29" xfId="0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164" fontId="5" fillId="0" borderId="1" xfId="1" applyNumberFormat="1" applyFont="1" applyBorder="1" applyAlignment="1">
      <alignment horizontal="right" vertical="center" indent="1"/>
    </xf>
    <xf numFmtId="0" fontId="17" fillId="11" borderId="25" xfId="0" applyFont="1" applyFill="1" applyBorder="1" applyAlignment="1">
      <alignment horizontal="center" vertical="center"/>
    </xf>
    <xf numFmtId="2" fontId="17" fillId="0" borderId="25" xfId="0" applyNumberFormat="1" applyFont="1" applyBorder="1" applyAlignment="1">
      <alignment horizontal="center" vertical="center"/>
    </xf>
    <xf numFmtId="164" fontId="17" fillId="0" borderId="25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2" fontId="0" fillId="0" borderId="0" xfId="0" applyNumberForma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indent="1"/>
    </xf>
    <xf numFmtId="0" fontId="5" fillId="0" borderId="4" xfId="0" applyFont="1" applyFill="1" applyBorder="1" applyAlignment="1">
      <alignment horizontal="right" vertical="center"/>
    </xf>
    <xf numFmtId="2" fontId="5" fillId="0" borderId="4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8" borderId="1" xfId="0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8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1" fontId="5" fillId="14" borderId="2" xfId="1" applyNumberFormat="1" applyFont="1" applyFill="1" applyBorder="1" applyAlignment="1">
      <alignment horizontal="left" vertical="center" indent="4"/>
    </xf>
    <xf numFmtId="0" fontId="0" fillId="0" borderId="0" xfId="0" applyAlignment="1">
      <alignment horizontal="left" vertical="center" indent="2"/>
    </xf>
    <xf numFmtId="0" fontId="50" fillId="0" borderId="37" xfId="1" applyFont="1" applyBorder="1" applyAlignment="1">
      <alignment horizontal="left" vertical="center" indent="1"/>
    </xf>
    <xf numFmtId="0" fontId="20" fillId="0" borderId="37" xfId="1" applyFont="1" applyBorder="1" applyAlignment="1">
      <alignment horizontal="left" vertical="center" indent="1"/>
    </xf>
    <xf numFmtId="1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9" fillId="12" borderId="0" xfId="0" applyFont="1" applyFill="1" applyAlignment="1">
      <alignment horizontal="center" vertical="center"/>
    </xf>
    <xf numFmtId="0" fontId="9" fillId="12" borderId="0" xfId="0" applyFont="1" applyFill="1" applyAlignment="1">
      <alignment vertical="center"/>
    </xf>
    <xf numFmtId="0" fontId="0" fillId="12" borderId="0" xfId="0" applyFill="1" applyAlignment="1">
      <alignment horizontal="right" vertical="center"/>
    </xf>
    <xf numFmtId="0" fontId="0" fillId="12" borderId="0" xfId="0" applyFill="1" applyAlignment="1">
      <alignment horizontal="left" vertical="center" indent="1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7" fillId="12" borderId="0" xfId="0" applyFont="1" applyFill="1" applyAlignment="1">
      <alignment horizontal="center" vertical="center"/>
    </xf>
    <xf numFmtId="0" fontId="3" fillId="12" borderId="0" xfId="0" applyFont="1" applyFill="1" applyAlignment="1">
      <alignment vertical="center"/>
    </xf>
    <xf numFmtId="0" fontId="0" fillId="12" borderId="0" xfId="0" applyFont="1" applyFill="1" applyAlignment="1">
      <alignment vertical="center"/>
    </xf>
    <xf numFmtId="0" fontId="3" fillId="12" borderId="0" xfId="0" applyFont="1" applyFill="1" applyAlignment="1">
      <alignment horizontal="left" vertical="center" indent="1"/>
    </xf>
    <xf numFmtId="0" fontId="5" fillId="12" borderId="0" xfId="0" applyFont="1" applyFill="1" applyAlignment="1">
      <alignment horizontal="right" vertical="center"/>
    </xf>
    <xf numFmtId="1" fontId="5" fillId="12" borderId="0" xfId="0" applyNumberFormat="1" applyFont="1" applyFill="1" applyAlignment="1" applyProtection="1">
      <alignment horizontal="center" vertical="center"/>
      <protection locked="0"/>
    </xf>
    <xf numFmtId="0" fontId="5" fillId="12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1" fontId="5" fillId="0" borderId="2" xfId="1" applyNumberFormat="1" applyFont="1" applyFill="1" applyBorder="1" applyAlignment="1">
      <alignment horizontal="left" vertical="center" indent="4"/>
    </xf>
    <xf numFmtId="1" fontId="5" fillId="0" borderId="3" xfId="1" applyNumberFormat="1" applyFont="1" applyFill="1" applyBorder="1" applyAlignment="1">
      <alignment horizontal="center" vertical="center"/>
    </xf>
    <xf numFmtId="0" fontId="23" fillId="12" borderId="5" xfId="0" applyFont="1" applyFill="1" applyBorder="1" applyAlignment="1">
      <alignment horizontal="center" vertical="center"/>
    </xf>
    <xf numFmtId="0" fontId="59" fillId="5" borderId="5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9" borderId="2" xfId="0" applyFont="1" applyFill="1" applyBorder="1" applyAlignment="1">
      <alignment vertical="center"/>
    </xf>
    <xf numFmtId="0" fontId="5" fillId="9" borderId="4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0" fontId="5" fillId="10" borderId="2" xfId="0" applyFont="1" applyFill="1" applyBorder="1" applyAlignment="1">
      <alignment vertical="center"/>
    </xf>
    <xf numFmtId="0" fontId="5" fillId="10" borderId="4" xfId="0" applyFont="1" applyFill="1" applyBorder="1" applyAlignment="1">
      <alignment vertical="center"/>
    </xf>
    <xf numFmtId="0" fontId="5" fillId="10" borderId="3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 indent="1"/>
    </xf>
    <xf numFmtId="2" fontId="5" fillId="0" borderId="0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 indent="1"/>
    </xf>
    <xf numFmtId="0" fontId="5" fillId="7" borderId="2" xfId="0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left" vertical="center" indent="1"/>
    </xf>
    <xf numFmtId="164" fontId="5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right" vertical="center" indent="1"/>
    </xf>
    <xf numFmtId="0" fontId="17" fillId="12" borderId="0" xfId="0" applyFont="1" applyFill="1" applyBorder="1" applyAlignment="1">
      <alignment vertical="center"/>
    </xf>
    <xf numFmtId="0" fontId="5" fillId="12" borderId="0" xfId="0" applyFont="1" applyFill="1" applyBorder="1" applyAlignment="1">
      <alignment vertical="center"/>
    </xf>
    <xf numFmtId="0" fontId="17" fillId="8" borderId="0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indent="1"/>
    </xf>
    <xf numFmtId="0" fontId="0" fillId="0" borderId="0" xfId="0" applyBorder="1" applyAlignment="1">
      <alignment vertical="center"/>
    </xf>
    <xf numFmtId="2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horizontal="left" vertical="center" indent="1"/>
    </xf>
    <xf numFmtId="0" fontId="17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2" fontId="5" fillId="0" borderId="0" xfId="1" applyNumberFormat="1" applyFont="1" applyBorder="1" applyAlignment="1">
      <alignment horizontal="center" vertical="center"/>
    </xf>
    <xf numFmtId="1" fontId="5" fillId="0" borderId="0" xfId="1" applyNumberFormat="1" applyFont="1" applyBorder="1" applyAlignment="1">
      <alignment horizontal="right" vertical="center"/>
    </xf>
    <xf numFmtId="0" fontId="5" fillId="0" borderId="0" xfId="1" applyFont="1" applyBorder="1" applyAlignment="1">
      <alignment horizontal="left" vertical="center"/>
    </xf>
    <xf numFmtId="0" fontId="38" fillId="0" borderId="0" xfId="1" applyFont="1" applyBorder="1" applyAlignment="1">
      <alignment horizontal="right" vertical="center"/>
    </xf>
    <xf numFmtId="165" fontId="5" fillId="0" borderId="0" xfId="1" applyNumberFormat="1" applyFont="1" applyBorder="1" applyAlignment="1">
      <alignment horizontal="center" vertical="center"/>
    </xf>
    <xf numFmtId="0" fontId="20" fillId="0" borderId="0" xfId="1" applyFont="1" applyBorder="1" applyAlignment="1">
      <alignment horizontal="left" vertical="center" indent="1"/>
    </xf>
    <xf numFmtId="0" fontId="17" fillId="0" borderId="0" xfId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left" vertical="center" indent="1"/>
    </xf>
    <xf numFmtId="1" fontId="5" fillId="0" borderId="0" xfId="1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left" vertical="center"/>
    </xf>
    <xf numFmtId="164" fontId="5" fillId="0" borderId="0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" fontId="39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6" fillId="12" borderId="0" xfId="1" applyFont="1" applyFill="1" applyBorder="1" applyAlignment="1">
      <alignment horizontal="left" vertical="center"/>
    </xf>
    <xf numFmtId="0" fontId="54" fillId="12" borderId="0" xfId="1" applyFont="1" applyFill="1" applyBorder="1" applyAlignment="1">
      <alignment horizontal="center" vertical="center"/>
    </xf>
    <xf numFmtId="0" fontId="54" fillId="12" borderId="0" xfId="1" applyFont="1" applyFill="1" applyBorder="1" applyAlignment="1">
      <alignment horizontal="right" vertical="center"/>
    </xf>
    <xf numFmtId="0" fontId="54" fillId="12" borderId="0" xfId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 indent="1"/>
    </xf>
    <xf numFmtId="0" fontId="12" fillId="0" borderId="0" xfId="0" applyFont="1" applyBorder="1" applyAlignment="1">
      <alignment horizontal="right" vertical="center"/>
    </xf>
    <xf numFmtId="0" fontId="4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7" fillId="8" borderId="0" xfId="1" applyFont="1" applyFill="1" applyBorder="1" applyAlignment="1">
      <alignment vertical="center"/>
    </xf>
    <xf numFmtId="0" fontId="5" fillId="8" borderId="0" xfId="1" applyFont="1" applyFill="1" applyBorder="1" applyAlignment="1">
      <alignment vertical="center"/>
    </xf>
    <xf numFmtId="0" fontId="5" fillId="8" borderId="0" xfId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horizontal="center" vertical="center"/>
    </xf>
    <xf numFmtId="0" fontId="5" fillId="8" borderId="0" xfId="1" applyFont="1" applyFill="1" applyBorder="1" applyAlignment="1">
      <alignment horizontal="left" vertical="center" indent="1"/>
    </xf>
    <xf numFmtId="0" fontId="38" fillId="0" borderId="0" xfId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left" vertical="center" indent="2"/>
    </xf>
    <xf numFmtId="0" fontId="0" fillId="0" borderId="0" xfId="0" applyBorder="1" applyAlignment="1">
      <alignment horizontal="left" vertical="center"/>
    </xf>
    <xf numFmtId="0" fontId="43" fillId="12" borderId="0" xfId="0" applyFont="1" applyFill="1" applyBorder="1" applyAlignment="1">
      <alignment horizontal="center" vertical="center"/>
    </xf>
    <xf numFmtId="0" fontId="43" fillId="8" borderId="0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8" fillId="0" borderId="0" xfId="1" applyFont="1" applyBorder="1" applyAlignment="1">
      <alignment horizontal="center" vertical="center"/>
    </xf>
    <xf numFmtId="0" fontId="53" fillId="12" borderId="0" xfId="1" applyFont="1" applyFill="1" applyBorder="1" applyAlignment="1">
      <alignment horizontal="center" vertical="center"/>
    </xf>
    <xf numFmtId="0" fontId="48" fillId="8" borderId="0" xfId="1" applyFont="1" applyFill="1" applyBorder="1" applyAlignment="1">
      <alignment horizontal="center" vertical="center"/>
    </xf>
    <xf numFmtId="1" fontId="5" fillId="0" borderId="1" xfId="1" applyNumberFormat="1" applyFont="1" applyBorder="1" applyAlignment="1">
      <alignment horizontal="right" vertical="center" indent="1"/>
    </xf>
    <xf numFmtId="0" fontId="9" fillId="12" borderId="0" xfId="0" applyFont="1" applyFill="1" applyBorder="1"/>
    <xf numFmtId="0" fontId="0" fillId="12" borderId="0" xfId="0" applyFill="1" applyBorder="1"/>
    <xf numFmtId="0" fontId="9" fillId="8" borderId="0" xfId="0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164" fontId="9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12" borderId="0" xfId="0" applyFill="1" applyBorder="1" applyAlignment="1">
      <alignment vertical="center"/>
    </xf>
    <xf numFmtId="2" fontId="5" fillId="12" borderId="0" xfId="0" applyNumberFormat="1" applyFont="1" applyFill="1" applyBorder="1" applyAlignment="1">
      <alignment horizontal="center" vertical="center"/>
    </xf>
    <xf numFmtId="0" fontId="47" fillId="12" borderId="0" xfId="0" applyFont="1" applyFill="1" applyBorder="1" applyAlignment="1">
      <alignment horizontal="center" vertical="center"/>
    </xf>
    <xf numFmtId="0" fontId="37" fillId="12" borderId="0" xfId="0" applyFont="1" applyFill="1" applyBorder="1" applyAlignment="1">
      <alignment horizontal="center" vertical="center"/>
    </xf>
    <xf numFmtId="0" fontId="37" fillId="12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1" fontId="5" fillId="0" borderId="0" xfId="0" applyNumberFormat="1" applyFont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0" fontId="61" fillId="3" borderId="1" xfId="0" applyFont="1" applyFill="1" applyBorder="1" applyAlignment="1">
      <alignment horizontal="center" vertical="center"/>
    </xf>
    <xf numFmtId="164" fontId="0" fillId="8" borderId="0" xfId="0" applyNumberForma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50" fillId="0" borderId="0" xfId="1" applyFont="1" applyBorder="1" applyAlignment="1">
      <alignment horizontal="left" vertical="center" indent="1"/>
    </xf>
    <xf numFmtId="0" fontId="67" fillId="18" borderId="0" xfId="0" applyFont="1" applyFill="1" applyAlignment="1">
      <alignment vertical="center"/>
    </xf>
    <xf numFmtId="0" fontId="68" fillId="18" borderId="0" xfId="0" applyFont="1" applyFill="1" applyAlignment="1">
      <alignment horizontal="center" vertical="center"/>
    </xf>
    <xf numFmtId="0" fontId="68" fillId="18" borderId="0" xfId="0" applyFont="1" applyFill="1" applyAlignment="1">
      <alignment vertical="center"/>
    </xf>
    <xf numFmtId="0" fontId="68" fillId="18" borderId="0" xfId="0" quotePrefix="1" applyFont="1" applyFill="1" applyAlignment="1">
      <alignment vertical="center"/>
    </xf>
    <xf numFmtId="0" fontId="69" fillId="18" borderId="0" xfId="2" quotePrefix="1" applyFont="1" applyFill="1" applyAlignment="1">
      <alignment vertical="center"/>
    </xf>
    <xf numFmtId="0" fontId="42" fillId="18" borderId="0" xfId="0" applyFont="1" applyFill="1" applyAlignment="1">
      <alignment vertical="center"/>
    </xf>
    <xf numFmtId="0" fontId="70" fillId="18" borderId="0" xfId="0" applyFont="1" applyFill="1" applyAlignment="1">
      <alignment vertical="center"/>
    </xf>
    <xf numFmtId="0" fontId="42" fillId="18" borderId="0" xfId="0" applyFont="1" applyFill="1" applyAlignment="1">
      <alignment vertical="center" wrapText="1"/>
    </xf>
    <xf numFmtId="0" fontId="71" fillId="18" borderId="0" xfId="2" applyFont="1" applyFill="1" applyAlignment="1">
      <alignment vertical="center"/>
    </xf>
    <xf numFmtId="0" fontId="72" fillId="18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0" fontId="36" fillId="0" borderId="19" xfId="0" applyFont="1" applyBorder="1" applyAlignment="1">
      <alignment horizontal="right" vertical="center"/>
    </xf>
    <xf numFmtId="0" fontId="36" fillId="0" borderId="19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vertical="center"/>
    </xf>
    <xf numFmtId="2" fontId="0" fillId="0" borderId="0" xfId="0" applyNumberFormat="1" applyFill="1" applyBorder="1" applyAlignment="1">
      <alignment horizontal="center"/>
    </xf>
    <xf numFmtId="2" fontId="5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5" fillId="0" borderId="0" xfId="3" applyFont="1" applyAlignment="1">
      <alignment vertical="center"/>
    </xf>
    <xf numFmtId="0" fontId="0" fillId="19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19" borderId="0" xfId="0" applyNumberFormat="1" applyFill="1" applyBorder="1" applyAlignment="1">
      <alignment horizontal="center" vertical="center"/>
    </xf>
    <xf numFmtId="2" fontId="5" fillId="19" borderId="0" xfId="0" applyNumberFormat="1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right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64" fontId="0" fillId="0" borderId="12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9" fillId="2" borderId="15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37" xfId="0" applyNumberFormat="1" applyBorder="1" applyAlignment="1">
      <alignment horizontal="center" vertical="center"/>
    </xf>
    <xf numFmtId="0" fontId="42" fillId="20" borderId="1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0" fontId="20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20" fillId="0" borderId="5" xfId="0" applyNumberFormat="1" applyFont="1" applyFill="1" applyBorder="1" applyAlignment="1">
      <alignment horizontal="right" vertical="center" indent="1"/>
    </xf>
    <xf numFmtId="164" fontId="20" fillId="0" borderId="24" xfId="0" applyNumberFormat="1" applyFont="1" applyFill="1" applyBorder="1" applyAlignment="1">
      <alignment horizontal="right" vertical="center" indent="1"/>
    </xf>
    <xf numFmtId="0" fontId="36" fillId="0" borderId="5" xfId="0" applyFont="1" applyBorder="1" applyAlignment="1">
      <alignment horizontal="right" vertical="center" indent="1"/>
    </xf>
    <xf numFmtId="164" fontId="36" fillId="0" borderId="5" xfId="0" applyNumberFormat="1" applyFont="1" applyBorder="1" applyAlignment="1">
      <alignment horizontal="right" vertical="center" indent="1"/>
    </xf>
    <xf numFmtId="164" fontId="36" fillId="0" borderId="24" xfId="0" applyNumberFormat="1" applyFont="1" applyBorder="1" applyAlignment="1">
      <alignment horizontal="right" vertical="center" indent="1"/>
    </xf>
    <xf numFmtId="0" fontId="17" fillId="0" borderId="0" xfId="0" applyFont="1" applyBorder="1" applyAlignment="1">
      <alignment horizontal="center" vertical="center"/>
    </xf>
    <xf numFmtId="0" fontId="56" fillId="21" borderId="0" xfId="0" applyFont="1" applyFill="1" applyAlignment="1">
      <alignment horizontal="center" vertical="center"/>
    </xf>
    <xf numFmtId="0" fontId="56" fillId="21" borderId="0" xfId="0" applyFont="1" applyFill="1" applyAlignment="1">
      <alignment vertical="center"/>
    </xf>
    <xf numFmtId="0" fontId="56" fillId="21" borderId="0" xfId="1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1" fillId="16" borderId="5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indent="2"/>
    </xf>
    <xf numFmtId="0" fontId="5" fillId="3" borderId="4" xfId="0" applyFont="1" applyFill="1" applyBorder="1" applyAlignment="1">
      <alignment horizontal="left" vertical="center" indent="2"/>
    </xf>
    <xf numFmtId="0" fontId="5" fillId="3" borderId="3" xfId="0" applyFont="1" applyFill="1" applyBorder="1" applyAlignment="1">
      <alignment horizontal="left" vertical="center" indent="2"/>
    </xf>
    <xf numFmtId="0" fontId="5" fillId="7" borderId="2" xfId="0" applyFont="1" applyFill="1" applyBorder="1" applyAlignment="1">
      <alignment horizontal="left" vertical="center" indent="2"/>
    </xf>
    <xf numFmtId="0" fontId="5" fillId="7" borderId="4" xfId="0" applyFont="1" applyFill="1" applyBorder="1" applyAlignment="1">
      <alignment horizontal="left" vertical="center" indent="2"/>
    </xf>
    <xf numFmtId="0" fontId="5" fillId="7" borderId="3" xfId="0" applyFont="1" applyFill="1" applyBorder="1" applyAlignment="1">
      <alignment horizontal="left" vertical="center" indent="2"/>
    </xf>
    <xf numFmtId="0" fontId="5" fillId="2" borderId="2" xfId="0" applyFont="1" applyFill="1" applyBorder="1" applyAlignment="1">
      <alignment horizontal="left" vertical="center" indent="2"/>
    </xf>
    <xf numFmtId="0" fontId="5" fillId="2" borderId="4" xfId="0" applyFont="1" applyFill="1" applyBorder="1" applyAlignment="1">
      <alignment horizontal="left" vertical="center" indent="2"/>
    </xf>
    <xf numFmtId="0" fontId="5" fillId="2" borderId="3" xfId="0" applyFont="1" applyFill="1" applyBorder="1" applyAlignment="1">
      <alignment horizontal="left" vertical="center" indent="2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9" fillId="17" borderId="5" xfId="0" applyFont="1" applyFill="1" applyBorder="1" applyAlignment="1">
      <alignment horizontal="center" vertical="center"/>
    </xf>
    <xf numFmtId="0" fontId="23" fillId="17" borderId="5" xfId="0" applyFont="1" applyFill="1" applyBorder="1" applyAlignment="1">
      <alignment horizontal="center" vertical="center"/>
    </xf>
    <xf numFmtId="0" fontId="9" fillId="17" borderId="33" xfId="0" applyFont="1" applyFill="1" applyBorder="1" applyAlignment="1">
      <alignment horizontal="center" vertical="center"/>
    </xf>
    <xf numFmtId="0" fontId="9" fillId="17" borderId="30" xfId="0" applyFont="1" applyFill="1" applyBorder="1" applyAlignment="1">
      <alignment horizontal="center" vertical="center"/>
    </xf>
    <xf numFmtId="0" fontId="9" fillId="17" borderId="34" xfId="0" applyFont="1" applyFill="1" applyBorder="1" applyAlignment="1">
      <alignment horizontal="center" vertical="center"/>
    </xf>
    <xf numFmtId="0" fontId="23" fillId="17" borderId="33" xfId="0" applyFont="1" applyFill="1" applyBorder="1" applyAlignment="1">
      <alignment horizontal="center" vertical="center"/>
    </xf>
    <xf numFmtId="0" fontId="23" fillId="17" borderId="30" xfId="0" applyFont="1" applyFill="1" applyBorder="1" applyAlignment="1">
      <alignment horizontal="center" vertical="center"/>
    </xf>
    <xf numFmtId="0" fontId="23" fillId="17" borderId="34" xfId="0" applyFont="1" applyFill="1" applyBorder="1" applyAlignment="1">
      <alignment horizontal="center" vertical="center"/>
    </xf>
    <xf numFmtId="0" fontId="23" fillId="17" borderId="35" xfId="0" applyFont="1" applyFill="1" applyBorder="1" applyAlignment="1">
      <alignment horizontal="center" vertical="center"/>
    </xf>
    <xf numFmtId="0" fontId="23" fillId="17" borderId="36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left" vertical="center" indent="1"/>
    </xf>
    <xf numFmtId="0" fontId="42" fillId="15" borderId="0" xfId="1" applyFont="1" applyFill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1" fillId="3" borderId="1" xfId="0" applyFont="1" applyFill="1" applyBorder="1" applyAlignment="1">
      <alignment horizontal="center" vertical="center"/>
    </xf>
    <xf numFmtId="0" fontId="44" fillId="3" borderId="12" xfId="0" applyFont="1" applyFill="1" applyBorder="1" applyAlignment="1">
      <alignment horizontal="center" vertical="center"/>
    </xf>
    <xf numFmtId="0" fontId="44" fillId="3" borderId="2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1"/>
    </xf>
    <xf numFmtId="0" fontId="60" fillId="8" borderId="5" xfId="0" applyFont="1" applyFill="1" applyBorder="1" applyAlignment="1">
      <alignment horizontal="left" vertical="center" indent="1"/>
    </xf>
    <xf numFmtId="0" fontId="23" fillId="17" borderId="40" xfId="0" applyFont="1" applyFill="1" applyBorder="1" applyAlignment="1">
      <alignment horizontal="center" vertical="center" wrapText="1"/>
    </xf>
    <xf numFmtId="0" fontId="23" fillId="17" borderId="41" xfId="0" applyFont="1" applyFill="1" applyBorder="1" applyAlignment="1">
      <alignment horizontal="center" vertical="center" wrapText="1"/>
    </xf>
    <xf numFmtId="0" fontId="23" fillId="17" borderId="38" xfId="0" applyFont="1" applyFill="1" applyBorder="1" applyAlignment="1">
      <alignment horizontal="center" vertical="center" wrapText="1"/>
    </xf>
    <xf numFmtId="0" fontId="23" fillId="17" borderId="39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left" vertical="center"/>
    </xf>
    <xf numFmtId="0" fontId="60" fillId="0" borderId="5" xfId="0" applyFont="1" applyBorder="1" applyAlignment="1">
      <alignment horizontal="left" vertical="center"/>
    </xf>
    <xf numFmtId="0" fontId="20" fillId="8" borderId="5" xfId="0" applyFont="1" applyFill="1" applyBorder="1" applyAlignment="1">
      <alignment horizontal="left" vertical="center" indent="1"/>
    </xf>
    <xf numFmtId="0" fontId="23" fillId="12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20" fontId="0" fillId="0" borderId="2" xfId="0" quotePrefix="1" applyNumberFormat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2" xfId="1" xr:uid="{9BB709C9-C676-4BA1-9A95-0C93F281965F}"/>
    <cellStyle name="Percent" xfId="3" builtinId="5"/>
  </cellStyles>
  <dxfs count="30">
    <dxf>
      <font>
        <b/>
        <i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  <color theme="0"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  <color theme="0"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  <color theme="0"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  <color theme="0"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5" tint="0.79998168889431442"/>
        </patternFill>
      </fill>
      <border>
        <vertical/>
        <horizontal/>
      </border>
    </dxf>
    <dxf>
      <font>
        <b/>
        <i/>
        <color theme="0"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theme="5" tint="0.79998168889431442"/>
        </patternFill>
      </fill>
      <border>
        <vertical/>
        <horizontal/>
      </border>
    </dxf>
    <dxf>
      <font>
        <b/>
        <i/>
        <color theme="0"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theme="5" tint="0.79998168889431442"/>
        </patternFill>
      </fill>
      <border>
        <vertical/>
        <horizontal/>
      </border>
    </dxf>
    <dxf>
      <font>
        <b/>
        <i/>
        <color theme="0"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  <color theme="0"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5" tint="0.79998168889431442"/>
        </patternFill>
      </fill>
      <border>
        <vertical/>
        <horizontal/>
      </border>
    </dxf>
    <dxf>
      <font>
        <b/>
        <i/>
        <color theme="0"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7999816888943144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rgb="FFFFC000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</dxfs>
  <tableStyles count="0" defaultTableStyle="TableStyleMedium2" defaultPivotStyle="PivotStyleLight16"/>
  <colors>
    <mruColors>
      <color rgb="FFFFCC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Abutmen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Table!$H$194:$H$212</c:f>
              <c:numCache>
                <c:formatCode>0.00</c:formatCode>
                <c:ptCount val="19"/>
                <c:pt idx="0">
                  <c:v>-18.666666666666668</c:v>
                </c:pt>
                <c:pt idx="1">
                  <c:v>-18.666666666666668</c:v>
                </c:pt>
                <c:pt idx="2">
                  <c:v>1.3333333333333344</c:v>
                </c:pt>
                <c:pt idx="3">
                  <c:v>1.3333333333333344</c:v>
                </c:pt>
                <c:pt idx="4">
                  <c:v>-2.6666666666666687</c:v>
                </c:pt>
                <c:pt idx="5">
                  <c:v>-2.6666666666666687</c:v>
                </c:pt>
                <c:pt idx="6">
                  <c:v>-1.3333333333333344</c:v>
                </c:pt>
                <c:pt idx="7">
                  <c:v>-1.3333333333333344</c:v>
                </c:pt>
                <c:pt idx="8">
                  <c:v>0.99999999999999645</c:v>
                </c:pt>
                <c:pt idx="9">
                  <c:v>0.99999999999999645</c:v>
                </c:pt>
                <c:pt idx="10">
                  <c:v>8.0000000000000018</c:v>
                </c:pt>
                <c:pt idx="11">
                  <c:v>8.0000000000000018</c:v>
                </c:pt>
                <c:pt idx="12">
                  <c:v>11.999999999999998</c:v>
                </c:pt>
                <c:pt idx="13">
                  <c:v>11.999999999999998</c:v>
                </c:pt>
                <c:pt idx="14">
                  <c:v>7.9999999999999947</c:v>
                </c:pt>
                <c:pt idx="15">
                  <c:v>7.9999999999999947</c:v>
                </c:pt>
                <c:pt idx="16">
                  <c:v>28</c:v>
                </c:pt>
                <c:pt idx="17">
                  <c:v>28</c:v>
                </c:pt>
                <c:pt idx="18">
                  <c:v>-18.666666666666668</c:v>
                </c:pt>
              </c:numCache>
            </c:numRef>
          </c:xVal>
          <c:yVal>
            <c:numRef>
              <c:f>Table!$I$194:$I$212</c:f>
              <c:numCache>
                <c:formatCode>0.00</c:formatCode>
                <c:ptCount val="19"/>
                <c:pt idx="0">
                  <c:v>-24.933333333333334</c:v>
                </c:pt>
                <c:pt idx="1">
                  <c:v>-19.933333333333334</c:v>
                </c:pt>
                <c:pt idx="2">
                  <c:v>-16.599999999999998</c:v>
                </c:pt>
                <c:pt idx="3">
                  <c:v>-2.6000000000000005</c:v>
                </c:pt>
                <c:pt idx="4">
                  <c:v>1.3999999999999997</c:v>
                </c:pt>
                <c:pt idx="5">
                  <c:v>18.93333333333333</c:v>
                </c:pt>
                <c:pt idx="6">
                  <c:v>18.93333333333333</c:v>
                </c:pt>
                <c:pt idx="7">
                  <c:v>24.933333333333334</c:v>
                </c:pt>
                <c:pt idx="8">
                  <c:v>24.933333333333334</c:v>
                </c:pt>
                <c:pt idx="9">
                  <c:v>8.2666666666666675</c:v>
                </c:pt>
                <c:pt idx="10">
                  <c:v>8.2666666666666675</c:v>
                </c:pt>
                <c:pt idx="11">
                  <c:v>4.6000000000000023</c:v>
                </c:pt>
                <c:pt idx="12">
                  <c:v>4.6000000000000023</c:v>
                </c:pt>
                <c:pt idx="13">
                  <c:v>-0.73333333333332951</c:v>
                </c:pt>
                <c:pt idx="14">
                  <c:v>-4.7333333333333307</c:v>
                </c:pt>
                <c:pt idx="15">
                  <c:v>-16.599999999999998</c:v>
                </c:pt>
                <c:pt idx="16">
                  <c:v>-19.933333333333334</c:v>
                </c:pt>
                <c:pt idx="17">
                  <c:v>-24.933333333333334</c:v>
                </c:pt>
                <c:pt idx="18">
                  <c:v>-24.933333333333334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A1-4931-8A8C-4984E0CF0B13}"/>
            </c:ext>
          </c:extLst>
        </c:ser>
        <c:ser>
          <c:idx val="1"/>
          <c:order val="1"/>
          <c:tx>
            <c:v>Wingwall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Table!$H$213:$H$216</c:f>
              <c:numCache>
                <c:formatCode>0.00</c:formatCode>
                <c:ptCount val="4"/>
                <c:pt idx="0">
                  <c:v>-18.666666666666668</c:v>
                </c:pt>
                <c:pt idx="1">
                  <c:v>-28</c:v>
                </c:pt>
                <c:pt idx="2">
                  <c:v>-28</c:v>
                </c:pt>
                <c:pt idx="3">
                  <c:v>-1.3333333333333344</c:v>
                </c:pt>
              </c:numCache>
            </c:numRef>
          </c:xVal>
          <c:yVal>
            <c:numRef>
              <c:f>Table!$I$213:$I$216</c:f>
              <c:numCache>
                <c:formatCode>0.00</c:formatCode>
                <c:ptCount val="4"/>
                <c:pt idx="0">
                  <c:v>-19.933333333333334</c:v>
                </c:pt>
                <c:pt idx="1">
                  <c:v>-15.066666666666665</c:v>
                </c:pt>
                <c:pt idx="2">
                  <c:v>24.933333333333334</c:v>
                </c:pt>
                <c:pt idx="3">
                  <c:v>24.933333333333334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A1-4931-8A8C-4984E0CF0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653016"/>
        <c:axId val="751654000"/>
      </c:scatterChart>
      <c:valAx>
        <c:axId val="751653016"/>
        <c:scaling>
          <c:orientation val="minMax"/>
          <c:max val="30"/>
          <c:min val="-3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crossAx val="751654000"/>
        <c:crosses val="autoZero"/>
        <c:crossBetween val="midCat"/>
        <c:majorUnit val="5"/>
      </c:valAx>
      <c:valAx>
        <c:axId val="751654000"/>
        <c:scaling>
          <c:orientation val="minMax"/>
          <c:max val="30"/>
          <c:min val="-3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crossAx val="751653016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spPr>
            <a:ln w="19050" cap="rnd">
              <a:solidFill>
                <a:schemeClr val="accent1"/>
              </a:solidFill>
              <a:round/>
            </a:ln>
            <a:effectLst>
              <a:glow rad="25400">
                <a:schemeClr val="accent1">
                  <a:satMod val="175000"/>
                  <a:alpha val="40000"/>
                </a:schemeClr>
              </a:glow>
            </a:effectLst>
          </c:spPr>
          <c:marker>
            <c:symbol val="none"/>
          </c:marker>
          <c:xVal>
            <c:numRef>
              <c:f>Table!$S$26:$S$30</c:f>
              <c:numCache>
                <c:formatCode>0.00</c:formatCode>
                <c:ptCount val="5"/>
                <c:pt idx="0">
                  <c:v>-18.07511737089202</c:v>
                </c:pt>
                <c:pt idx="1">
                  <c:v>-18.07511737089202</c:v>
                </c:pt>
                <c:pt idx="2">
                  <c:v>18.07511737089202</c:v>
                </c:pt>
                <c:pt idx="3">
                  <c:v>18.07511737089202</c:v>
                </c:pt>
                <c:pt idx="4">
                  <c:v>-18.07511737089202</c:v>
                </c:pt>
              </c:numCache>
            </c:numRef>
          </c:xVal>
          <c:yVal>
            <c:numRef>
              <c:f>Table!$T$26:$T$30</c:f>
              <c:numCache>
                <c:formatCode>0.00</c:formatCode>
                <c:ptCount val="5"/>
                <c:pt idx="0">
                  <c:v>-44.671361502347416</c:v>
                </c:pt>
                <c:pt idx="1">
                  <c:v>44.671361502347416</c:v>
                </c:pt>
                <c:pt idx="2">
                  <c:v>44.671361502347416</c:v>
                </c:pt>
                <c:pt idx="3">
                  <c:v>-44.671361502347416</c:v>
                </c:pt>
                <c:pt idx="4">
                  <c:v>-44.671361502347416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9B-453B-A956-388FD8316BE2}"/>
            </c:ext>
          </c:extLst>
        </c:ser>
        <c:ser>
          <c:idx val="0"/>
          <c:order val="1"/>
          <c:tx>
            <c:v>X1Y1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Table!$A$172:$A$192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Table!$B$172:$B$192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9B-453B-A956-388FD8316BE2}"/>
            </c:ext>
          </c:extLst>
        </c:ser>
        <c:ser>
          <c:idx val="1"/>
          <c:order val="2"/>
          <c:tx>
            <c:v>X2Y1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Table!$C$172:$C$192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Table!$D$172:$D$192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A9B-453B-A956-388FD8316BE2}"/>
            </c:ext>
          </c:extLst>
        </c:ser>
        <c:ser>
          <c:idx val="2"/>
          <c:order val="3"/>
          <c:tx>
            <c:v>X3Y1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Table!$E$172:$E$192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Table!$F$172:$F$192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A9B-453B-A956-388FD8316BE2}"/>
            </c:ext>
          </c:extLst>
        </c:ser>
        <c:ser>
          <c:idx val="4"/>
          <c:order val="4"/>
          <c:tx>
            <c:v>X4Y1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Table!$G$172:$G$192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Table!$H$172:$H$192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A9B-453B-A956-388FD8316BE2}"/>
            </c:ext>
          </c:extLst>
        </c:ser>
        <c:ser>
          <c:idx val="5"/>
          <c:order val="5"/>
          <c:tx>
            <c:v>X5Y1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Table!$I$172:$I$192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Table!$J$172:$J$192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A9B-453B-A956-388FD8316BE2}"/>
            </c:ext>
          </c:extLst>
        </c:ser>
        <c:ser>
          <c:idx val="6"/>
          <c:order val="6"/>
          <c:tx>
            <c:v>X6Y1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Table!$K$172:$K$192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Table!$L$172:$L$192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A9B-453B-A956-388FD8316BE2}"/>
            </c:ext>
          </c:extLst>
        </c:ser>
        <c:ser>
          <c:idx val="7"/>
          <c:order val="7"/>
          <c:tx>
            <c:v>X7Y1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Table!$M$172:$M$192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Table!$N$172:$N$192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A9B-453B-A956-388FD8316BE2}"/>
            </c:ext>
          </c:extLst>
        </c:ser>
        <c:ser>
          <c:idx val="8"/>
          <c:order val="8"/>
          <c:tx>
            <c:v>X8Y1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Table!$O$172:$O$192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Table!$P$172:$P$192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A9B-453B-A956-388FD8316BE2}"/>
            </c:ext>
          </c:extLst>
        </c:ser>
        <c:ser>
          <c:idx val="9"/>
          <c:order val="9"/>
          <c:tx>
            <c:v>X1Y2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Table!$A$148:$A$168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Table!$B$148:$B$168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A9B-453B-A956-388FD8316BE2}"/>
            </c:ext>
          </c:extLst>
        </c:ser>
        <c:ser>
          <c:idx val="10"/>
          <c:order val="10"/>
          <c:tx>
            <c:v>X2Y2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Table!$C$148:$C$168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Table!$D$148:$D$168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A9B-453B-A956-388FD8316BE2}"/>
            </c:ext>
          </c:extLst>
        </c:ser>
        <c:ser>
          <c:idx val="11"/>
          <c:order val="11"/>
          <c:tx>
            <c:v>X3Y2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Table!$E$148:$E$168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Table!$F$148:$F$168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A9B-453B-A956-388FD8316BE2}"/>
            </c:ext>
          </c:extLst>
        </c:ser>
        <c:ser>
          <c:idx val="12"/>
          <c:order val="12"/>
          <c:tx>
            <c:v>X4Y2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Table!$G$148:$G$168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Table!$H$148:$H$168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1A9B-453B-A956-388FD8316BE2}"/>
            </c:ext>
          </c:extLst>
        </c:ser>
        <c:ser>
          <c:idx val="13"/>
          <c:order val="13"/>
          <c:tx>
            <c:v>X5Y2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Table!$I$148:$I$168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Table!$J$148:$J$168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1A9B-453B-A956-388FD8316BE2}"/>
            </c:ext>
          </c:extLst>
        </c:ser>
        <c:ser>
          <c:idx val="14"/>
          <c:order val="14"/>
          <c:tx>
            <c:v>X6Y2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Table!$K$148:$K$168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Table!$L$148:$L$168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1A9B-453B-A956-388FD8316BE2}"/>
            </c:ext>
          </c:extLst>
        </c:ser>
        <c:ser>
          <c:idx val="15"/>
          <c:order val="15"/>
          <c:tx>
            <c:v>X7Y2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Table!$M$148:$M$168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Table!$N$148:$N$168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1A9B-453B-A956-388FD8316BE2}"/>
            </c:ext>
          </c:extLst>
        </c:ser>
        <c:ser>
          <c:idx val="16"/>
          <c:order val="16"/>
          <c:tx>
            <c:v>X8Y2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Table!$O$148:$O$168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Table!$P$148:$P$168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1A9B-453B-A956-388FD8316BE2}"/>
            </c:ext>
          </c:extLst>
        </c:ser>
        <c:ser>
          <c:idx val="17"/>
          <c:order val="17"/>
          <c:tx>
            <c:v>X1Y3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Table!$A$124:$A$144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Table!$B$124:$B$144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1A9B-453B-A956-388FD8316BE2}"/>
            </c:ext>
          </c:extLst>
        </c:ser>
        <c:ser>
          <c:idx val="18"/>
          <c:order val="18"/>
          <c:tx>
            <c:v>X2Y3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Table!$C$124:$C$144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Table!$D$124:$D$144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1A9B-453B-A956-388FD8316BE2}"/>
            </c:ext>
          </c:extLst>
        </c:ser>
        <c:ser>
          <c:idx val="19"/>
          <c:order val="19"/>
          <c:tx>
            <c:v>X3Y3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Table!$E$124:$E$144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Table!$F$124:$F$144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1A9B-453B-A956-388FD8316BE2}"/>
            </c:ext>
          </c:extLst>
        </c:ser>
        <c:ser>
          <c:idx val="20"/>
          <c:order val="20"/>
          <c:tx>
            <c:v>X4Y3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Table!$G$124:$G$144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Table!$H$124:$H$144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1A9B-453B-A956-388FD8316BE2}"/>
            </c:ext>
          </c:extLst>
        </c:ser>
        <c:ser>
          <c:idx val="21"/>
          <c:order val="21"/>
          <c:tx>
            <c:v>X5Y3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Table!$I$124:$I$144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Table!$J$124:$J$144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1A9B-453B-A956-388FD8316BE2}"/>
            </c:ext>
          </c:extLst>
        </c:ser>
        <c:ser>
          <c:idx val="22"/>
          <c:order val="22"/>
          <c:tx>
            <c:v>X6Y3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Table!$K$124:$K$144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Table!$L$124:$L$144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1A9B-453B-A956-388FD8316BE2}"/>
            </c:ext>
          </c:extLst>
        </c:ser>
        <c:ser>
          <c:idx val="23"/>
          <c:order val="23"/>
          <c:tx>
            <c:v>X7Y3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Table!$M$124:$M$144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Table!$N$124:$N$144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1A9B-453B-A956-388FD8316BE2}"/>
            </c:ext>
          </c:extLst>
        </c:ser>
        <c:ser>
          <c:idx val="24"/>
          <c:order val="24"/>
          <c:tx>
            <c:v>X8Y3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Table!$O$124:$O$144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Table!$P$124:$P$144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1A9B-453B-A956-388FD8316BE2}"/>
            </c:ext>
          </c:extLst>
        </c:ser>
        <c:ser>
          <c:idx val="25"/>
          <c:order val="25"/>
          <c:tx>
            <c:v>X1Y4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Table!$A$100:$A$120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Table!$B$100:$B$120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1A9B-453B-A956-388FD8316BE2}"/>
            </c:ext>
          </c:extLst>
        </c:ser>
        <c:ser>
          <c:idx val="26"/>
          <c:order val="26"/>
          <c:tx>
            <c:v>X2Y4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Table!$C$100:$C$120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Table!$D$100:$D$120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1A9B-453B-A956-388FD8316BE2}"/>
            </c:ext>
          </c:extLst>
        </c:ser>
        <c:ser>
          <c:idx val="27"/>
          <c:order val="27"/>
          <c:tx>
            <c:v>X3Y4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Table!$E$100:$E$120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Table!$F$100:$F$120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1A9B-453B-A956-388FD8316BE2}"/>
            </c:ext>
          </c:extLst>
        </c:ser>
        <c:ser>
          <c:idx val="28"/>
          <c:order val="28"/>
          <c:tx>
            <c:v>X4Y4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Table!$G$100:$G$120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Table!$H$100:$H$120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1A9B-453B-A956-388FD8316BE2}"/>
            </c:ext>
          </c:extLst>
        </c:ser>
        <c:ser>
          <c:idx val="29"/>
          <c:order val="29"/>
          <c:tx>
            <c:v>X5Y4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Table!$I$100:$I$120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Table!$J$100:$J$120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1A9B-453B-A956-388FD8316BE2}"/>
            </c:ext>
          </c:extLst>
        </c:ser>
        <c:ser>
          <c:idx val="30"/>
          <c:order val="30"/>
          <c:tx>
            <c:v>X6Y4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Table!$K$100:$K$120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Table!$L$100:$L$120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1A9B-453B-A956-388FD8316BE2}"/>
            </c:ext>
          </c:extLst>
        </c:ser>
        <c:ser>
          <c:idx val="31"/>
          <c:order val="31"/>
          <c:tx>
            <c:v>X7Y4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Table!$M$100:$M$120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Table!$N$100:$N$120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1A9B-453B-A956-388FD8316BE2}"/>
            </c:ext>
          </c:extLst>
        </c:ser>
        <c:ser>
          <c:idx val="32"/>
          <c:order val="32"/>
          <c:tx>
            <c:v>X8Y4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Table!$O$100:$O$120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Table!$P$100:$P$120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1A9B-453B-A956-388FD8316BE2}"/>
            </c:ext>
          </c:extLst>
        </c:ser>
        <c:ser>
          <c:idx val="33"/>
          <c:order val="33"/>
          <c:tx>
            <c:v>X1Y5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Table!$A$76:$A$96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Table!$B$76:$B$96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1A9B-453B-A956-388FD8316BE2}"/>
            </c:ext>
          </c:extLst>
        </c:ser>
        <c:ser>
          <c:idx val="34"/>
          <c:order val="34"/>
          <c:tx>
            <c:v>X2Y5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Table!$C$76:$C$96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Table!$D$76:$D$96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1A9B-453B-A956-388FD8316BE2}"/>
            </c:ext>
          </c:extLst>
        </c:ser>
        <c:ser>
          <c:idx val="35"/>
          <c:order val="35"/>
          <c:tx>
            <c:v>X3Y5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Table!$E$76:$E$96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Table!$F$76:$F$96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1A9B-453B-A956-388FD8316BE2}"/>
            </c:ext>
          </c:extLst>
        </c:ser>
        <c:ser>
          <c:idx val="36"/>
          <c:order val="36"/>
          <c:tx>
            <c:v>X4Y5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Table!$G$76:$G$96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Table!$H$76:$H$96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1A9B-453B-A956-388FD8316BE2}"/>
            </c:ext>
          </c:extLst>
        </c:ser>
        <c:ser>
          <c:idx val="37"/>
          <c:order val="37"/>
          <c:tx>
            <c:v>X5Y5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Table!$I$76:$I$96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Table!$J$76:$J$96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1A9B-453B-A956-388FD8316BE2}"/>
            </c:ext>
          </c:extLst>
        </c:ser>
        <c:ser>
          <c:idx val="38"/>
          <c:order val="38"/>
          <c:tx>
            <c:v>X6Y5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Table!$K$76:$K$96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Table!$L$76:$L$96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1A9B-453B-A956-388FD8316BE2}"/>
            </c:ext>
          </c:extLst>
        </c:ser>
        <c:ser>
          <c:idx val="39"/>
          <c:order val="39"/>
          <c:tx>
            <c:v>X7Y5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Table!$M$76:$M$96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Table!$N$76:$N$96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1A9B-453B-A956-388FD8316BE2}"/>
            </c:ext>
          </c:extLst>
        </c:ser>
        <c:ser>
          <c:idx val="40"/>
          <c:order val="40"/>
          <c:tx>
            <c:v>X8Y5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Table!$O$76:$O$96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Table!$P$76:$P$96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1A9B-453B-A956-388FD8316BE2}"/>
            </c:ext>
          </c:extLst>
        </c:ser>
        <c:ser>
          <c:idx val="41"/>
          <c:order val="41"/>
          <c:tx>
            <c:v>X1Y6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Table!$A$52:$A$72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Table!$B$52:$B$72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1A9B-453B-A956-388FD8316BE2}"/>
            </c:ext>
          </c:extLst>
        </c:ser>
        <c:ser>
          <c:idx val="42"/>
          <c:order val="42"/>
          <c:tx>
            <c:v>X2Y6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Table!$C$52:$C$72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Table!$D$52:$D$72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1A9B-453B-A956-388FD8316BE2}"/>
            </c:ext>
          </c:extLst>
        </c:ser>
        <c:ser>
          <c:idx val="43"/>
          <c:order val="43"/>
          <c:tx>
            <c:v>X3Y6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Table!$E$52:$E$72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Table!$F$52:$F$72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1A9B-453B-A956-388FD8316BE2}"/>
            </c:ext>
          </c:extLst>
        </c:ser>
        <c:ser>
          <c:idx val="44"/>
          <c:order val="44"/>
          <c:tx>
            <c:v>X4Y6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Table!$G$52:$G$72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Table!$H$52:$H$72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1A9B-453B-A956-388FD8316BE2}"/>
            </c:ext>
          </c:extLst>
        </c:ser>
        <c:ser>
          <c:idx val="45"/>
          <c:order val="45"/>
          <c:tx>
            <c:v>X5Y6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Table!$I$52:$I$72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Table!$J$52:$J$72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1A9B-453B-A956-388FD8316BE2}"/>
            </c:ext>
          </c:extLst>
        </c:ser>
        <c:ser>
          <c:idx val="46"/>
          <c:order val="46"/>
          <c:tx>
            <c:v>X6Y6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Table!$K$52:$K$72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Table!$L$52:$L$72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1A9B-453B-A956-388FD8316BE2}"/>
            </c:ext>
          </c:extLst>
        </c:ser>
        <c:ser>
          <c:idx val="47"/>
          <c:order val="47"/>
          <c:tx>
            <c:v>X7Y6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Table!$M$52:$M$72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Table!$N$52:$N$72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1A9B-453B-A956-388FD8316BE2}"/>
            </c:ext>
          </c:extLst>
        </c:ser>
        <c:ser>
          <c:idx val="48"/>
          <c:order val="48"/>
          <c:tx>
            <c:v>X8Y6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Table!$O$52:$O$72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Table!$P$52:$P$72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1A9B-453B-A956-388FD8316BE2}"/>
            </c:ext>
          </c:extLst>
        </c:ser>
        <c:ser>
          <c:idx val="49"/>
          <c:order val="49"/>
          <c:tx>
            <c:v>X1Y7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Table!$A$28:$A$48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Table!$B$28:$B$48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1A9B-453B-A956-388FD8316BE2}"/>
            </c:ext>
          </c:extLst>
        </c:ser>
        <c:ser>
          <c:idx val="50"/>
          <c:order val="50"/>
          <c:tx>
            <c:v>X2Y7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Table!$C$28:$C$48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Table!$D$28:$D$48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1A9B-453B-A956-388FD8316BE2}"/>
            </c:ext>
          </c:extLst>
        </c:ser>
        <c:ser>
          <c:idx val="51"/>
          <c:order val="51"/>
          <c:tx>
            <c:v>X3Y7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Table!$E$28:$E$48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Table!$F$28:$F$48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1A9B-453B-A956-388FD8316BE2}"/>
            </c:ext>
          </c:extLst>
        </c:ser>
        <c:ser>
          <c:idx val="52"/>
          <c:order val="52"/>
          <c:tx>
            <c:v>X4Y7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Table!$G$28:$G$48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Table!$H$28:$H$48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1A9B-453B-A956-388FD8316BE2}"/>
            </c:ext>
          </c:extLst>
        </c:ser>
        <c:ser>
          <c:idx val="53"/>
          <c:order val="53"/>
          <c:tx>
            <c:v>X5Y7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Table!$I$28:$I$48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Table!$J$28:$J$48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1A9B-453B-A956-388FD8316BE2}"/>
            </c:ext>
          </c:extLst>
        </c:ser>
        <c:ser>
          <c:idx val="54"/>
          <c:order val="54"/>
          <c:tx>
            <c:v>X6Y7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Table!$K$28:$K$48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Table!$L$28:$L$48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1A9B-453B-A956-388FD8316BE2}"/>
            </c:ext>
          </c:extLst>
        </c:ser>
        <c:ser>
          <c:idx val="55"/>
          <c:order val="55"/>
          <c:tx>
            <c:v>X7Y7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Table!$M$28:$M$48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Table!$N$28:$N$48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1A9B-453B-A956-388FD8316BE2}"/>
            </c:ext>
          </c:extLst>
        </c:ser>
        <c:ser>
          <c:idx val="56"/>
          <c:order val="56"/>
          <c:tx>
            <c:v>X8Y7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Table!$O$28:$O$48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Table!$P$28:$P$48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1A9B-453B-A956-388FD8316BE2}"/>
            </c:ext>
          </c:extLst>
        </c:ser>
        <c:ser>
          <c:idx val="57"/>
          <c:order val="57"/>
          <c:tx>
            <c:v>X1Y8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Table!$A$4:$A$24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Table!$B$4:$B$24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1A9B-453B-A956-388FD8316BE2}"/>
            </c:ext>
          </c:extLst>
        </c:ser>
        <c:ser>
          <c:idx val="58"/>
          <c:order val="58"/>
          <c:tx>
            <c:v>X2Y8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Table!$C$4:$C$24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Table!$D$4:$D$24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1A9B-453B-A956-388FD8316BE2}"/>
            </c:ext>
          </c:extLst>
        </c:ser>
        <c:ser>
          <c:idx val="59"/>
          <c:order val="59"/>
          <c:tx>
            <c:v>X3Y8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Table!$E$4:$E$24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Table!$F$4:$F$24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1A9B-453B-A956-388FD8316BE2}"/>
            </c:ext>
          </c:extLst>
        </c:ser>
        <c:ser>
          <c:idx val="60"/>
          <c:order val="60"/>
          <c:tx>
            <c:v>X4Y8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Table!$G$4:$G$24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Table!$H$4:$H$24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1A9B-453B-A956-388FD8316BE2}"/>
            </c:ext>
          </c:extLst>
        </c:ser>
        <c:ser>
          <c:idx val="61"/>
          <c:order val="61"/>
          <c:tx>
            <c:v>X5Y8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Table!$I$4:$I$24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Table!$J$4:$J$24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1A9B-453B-A956-388FD8316BE2}"/>
            </c:ext>
          </c:extLst>
        </c:ser>
        <c:ser>
          <c:idx val="62"/>
          <c:order val="62"/>
          <c:tx>
            <c:v>X6Y8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Table!$K$4:$K$24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Table!$L$4:$L$24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1A9B-453B-A956-388FD8316BE2}"/>
            </c:ext>
          </c:extLst>
        </c:ser>
        <c:ser>
          <c:idx val="63"/>
          <c:order val="63"/>
          <c:tx>
            <c:v>X7Y8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Table!$M$4:$M$24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Table!$N$4:$N$24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1A9B-453B-A956-388FD8316BE2}"/>
            </c:ext>
          </c:extLst>
        </c:ser>
        <c:ser>
          <c:idx val="64"/>
          <c:order val="64"/>
          <c:tx>
            <c:v>X8Y8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Table!$O$4:$O$24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Table!$P$4:$P$24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1A9B-453B-A956-388FD8316BE2}"/>
            </c:ext>
          </c:extLst>
        </c:ser>
        <c:ser>
          <c:idx val="65"/>
          <c:order val="65"/>
          <c:spPr>
            <a:ln w="158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Table!$S$31:$S$32</c:f>
              <c:numCache>
                <c:formatCode>0.00</c:formatCode>
                <c:ptCount val="2"/>
                <c:pt idx="0">
                  <c:v>-28.4037558685446</c:v>
                </c:pt>
                <c:pt idx="1">
                  <c:v>28.4037558685446</c:v>
                </c:pt>
              </c:numCache>
            </c:numRef>
          </c:xVal>
          <c:yVal>
            <c:numRef>
              <c:f>Table!$T$31:$T$32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1A9B-453B-A956-388FD8316BE2}"/>
            </c:ext>
          </c:extLst>
        </c:ser>
        <c:ser>
          <c:idx val="66"/>
          <c:order val="66"/>
          <c:spPr>
            <a:ln w="158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Table!$S$33:$S$34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Table!$T$33:$T$34</c:f>
              <c:numCache>
                <c:formatCode>0.00</c:formatCode>
                <c:ptCount val="2"/>
                <c:pt idx="0">
                  <c:v>-55</c:v>
                </c:pt>
                <c:pt idx="1">
                  <c:v>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1A9B-453B-A956-388FD8316BE2}"/>
            </c:ext>
          </c:extLst>
        </c:ser>
        <c:ser>
          <c:idx val="67"/>
          <c:order val="67"/>
          <c:tx>
            <c:v>A</c:v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Table!$X$39:$X$47</c:f>
              <c:numCache>
                <c:formatCode>0.000</c:formatCode>
                <c:ptCount val="9"/>
                <c:pt idx="0">
                  <c:v>-25.305164319248821</c:v>
                </c:pt>
                <c:pt idx="1">
                  <c:v>-25.305164319248821</c:v>
                </c:pt>
                <c:pt idx="2">
                  <c:v>-4.6478873239436549</c:v>
                </c:pt>
                <c:pt idx="3">
                  <c:v>-4.6478873239436549</c:v>
                </c:pt>
                <c:pt idx="4">
                  <c:v>-25.305164319248821</c:v>
                </c:pt>
                <c:pt idx="5">
                  <c:v>-25.305164319248821</c:v>
                </c:pt>
                <c:pt idx="6">
                  <c:v>-2.8403755868544547</c:v>
                </c:pt>
                <c:pt idx="7">
                  <c:v>-2.8403755868544547</c:v>
                </c:pt>
                <c:pt idx="8">
                  <c:v>-25.305164319248821</c:v>
                </c:pt>
              </c:numCache>
            </c:numRef>
          </c:xVal>
          <c:yVal>
            <c:numRef>
              <c:f>Table!$Y$39:$Y$47</c:f>
              <c:numCache>
                <c:formatCode>0.000</c:formatCode>
                <c:ptCount val="9"/>
                <c:pt idx="0">
                  <c:v>-44.671361502347416</c:v>
                </c:pt>
                <c:pt idx="1">
                  <c:v>-42.089201877934272</c:v>
                </c:pt>
                <c:pt idx="2">
                  <c:v>-42.089201877934272</c:v>
                </c:pt>
                <c:pt idx="3">
                  <c:v>42.089201877934272</c:v>
                </c:pt>
                <c:pt idx="4">
                  <c:v>42.089201877934272</c:v>
                </c:pt>
                <c:pt idx="5">
                  <c:v>44.671361502347416</c:v>
                </c:pt>
                <c:pt idx="6">
                  <c:v>44.671361502347416</c:v>
                </c:pt>
                <c:pt idx="7">
                  <c:v>-44.671361502347416</c:v>
                </c:pt>
                <c:pt idx="8">
                  <c:v>-44.671361502347416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1A9B-453B-A956-388FD8316BE2}"/>
            </c:ext>
          </c:extLst>
        </c:ser>
        <c:ser>
          <c:idx val="68"/>
          <c:order val="68"/>
          <c:tx>
            <c:v>C</c:v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Table!$X$50:$X$51</c:f>
              <c:numCache>
                <c:formatCode>0.000</c:formatCode>
                <c:ptCount val="2"/>
                <c:pt idx="0">
                  <c:v>-5.6807511737089129</c:v>
                </c:pt>
                <c:pt idx="1">
                  <c:v>-5.6807511737089129</c:v>
                </c:pt>
              </c:numCache>
            </c:numRef>
          </c:xVal>
          <c:yVal>
            <c:numRef>
              <c:f>Table!$Y$50:$Y$51</c:f>
              <c:numCache>
                <c:formatCode>0.000</c:formatCode>
                <c:ptCount val="2"/>
                <c:pt idx="0">
                  <c:v>-42.089201877934272</c:v>
                </c:pt>
                <c:pt idx="1">
                  <c:v>42.089201877934272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1A9B-453B-A956-388FD8316BE2}"/>
            </c:ext>
          </c:extLst>
        </c:ser>
        <c:ser>
          <c:idx val="69"/>
          <c:order val="69"/>
          <c:tx>
            <c:v>E</c:v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Table!$X$56:$X$57</c:f>
              <c:numCache>
                <c:formatCode>0.000</c:formatCode>
                <c:ptCount val="2"/>
                <c:pt idx="0">
                  <c:v>2.5821596244131455</c:v>
                </c:pt>
                <c:pt idx="1">
                  <c:v>2.5821596244131455</c:v>
                </c:pt>
              </c:numCache>
            </c:numRef>
          </c:xVal>
          <c:yVal>
            <c:numRef>
              <c:f>Table!$Y$56:$Y$57</c:f>
              <c:numCache>
                <c:formatCode>0.000</c:formatCode>
                <c:ptCount val="2"/>
                <c:pt idx="0">
                  <c:v>-44.671361502347416</c:v>
                </c:pt>
                <c:pt idx="1">
                  <c:v>44.671361502347416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1A9B-453B-A956-388FD8316BE2}"/>
            </c:ext>
          </c:extLst>
        </c:ser>
        <c:ser>
          <c:idx val="70"/>
          <c:order val="70"/>
          <c:tx>
            <c:v>F</c:v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Table!$X$58:$X$59</c:f>
              <c:numCache>
                <c:formatCode>0.000</c:formatCode>
                <c:ptCount val="2"/>
                <c:pt idx="0">
                  <c:v>5.6807511737089182</c:v>
                </c:pt>
                <c:pt idx="1">
                  <c:v>5.6807511737089182</c:v>
                </c:pt>
              </c:numCache>
            </c:numRef>
          </c:xVal>
          <c:yVal>
            <c:numRef>
              <c:f>Table!$Y$58:$Y$59</c:f>
              <c:numCache>
                <c:formatCode>0.000</c:formatCode>
                <c:ptCount val="2"/>
                <c:pt idx="0">
                  <c:v>-44.671361502347416</c:v>
                </c:pt>
                <c:pt idx="1">
                  <c:v>44.671361502347416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1A9B-453B-A956-388FD8316BE2}"/>
            </c:ext>
          </c:extLst>
        </c:ser>
        <c:ser>
          <c:idx val="71"/>
          <c:order val="71"/>
          <c:tx>
            <c:v>B</c:v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Table!$X$48:$X$49</c:f>
              <c:numCache>
                <c:formatCode>0.000</c:formatCode>
                <c:ptCount val="2"/>
                <c:pt idx="0">
                  <c:v>-18.075117370892013</c:v>
                </c:pt>
                <c:pt idx="1">
                  <c:v>-18.075117370892013</c:v>
                </c:pt>
              </c:numCache>
            </c:numRef>
          </c:xVal>
          <c:yVal>
            <c:numRef>
              <c:f>Table!$Y$48:$Y$49</c:f>
              <c:numCache>
                <c:formatCode>0.000</c:formatCode>
                <c:ptCount val="2"/>
                <c:pt idx="0">
                  <c:v>-42.089201877934272</c:v>
                </c:pt>
                <c:pt idx="1">
                  <c:v>42.089201877934272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1A9B-453B-A956-388FD8316BE2}"/>
            </c:ext>
          </c:extLst>
        </c:ser>
        <c:ser>
          <c:idx val="72"/>
          <c:order val="72"/>
          <c:tx>
            <c:v>D</c:v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Table!$X$52:$X$55</c:f>
              <c:numCache>
                <c:formatCode>0.000</c:formatCode>
                <c:ptCount val="4"/>
                <c:pt idx="0">
                  <c:v>-2.8403755868544547</c:v>
                </c:pt>
                <c:pt idx="1">
                  <c:v>18.07511737089202</c:v>
                </c:pt>
                <c:pt idx="2">
                  <c:v>18.07511737089202</c:v>
                </c:pt>
                <c:pt idx="3">
                  <c:v>-2.8403755868544547</c:v>
                </c:pt>
              </c:numCache>
            </c:numRef>
          </c:xVal>
          <c:yVal>
            <c:numRef>
              <c:f>Table!$Y$52:$Y$55</c:f>
              <c:numCache>
                <c:formatCode>0.000</c:formatCode>
                <c:ptCount val="4"/>
                <c:pt idx="0">
                  <c:v>44.671361502347416</c:v>
                </c:pt>
                <c:pt idx="1">
                  <c:v>44.671361502347416</c:v>
                </c:pt>
                <c:pt idx="2">
                  <c:v>-44.671361502347416</c:v>
                </c:pt>
                <c:pt idx="3">
                  <c:v>-44.671361502347416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1A9B-453B-A956-388FD8316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746800"/>
        <c:axId val="721747128"/>
      </c:scatterChart>
      <c:valAx>
        <c:axId val="721746800"/>
        <c:scaling>
          <c:orientation val="minMax"/>
          <c:max val="60"/>
          <c:min val="-60"/>
        </c:scaling>
        <c:delete val="1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721747128"/>
        <c:crosses val="autoZero"/>
        <c:crossBetween val="midCat"/>
        <c:majorUnit val="5"/>
      </c:valAx>
      <c:valAx>
        <c:axId val="721747128"/>
        <c:scaling>
          <c:orientation val="minMax"/>
          <c:max val="60"/>
          <c:min val="-6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721746800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Periode Fundamental</a:t>
            </a:r>
            <a:r>
              <a:rPr lang="en-US" baseline="0"/>
              <a:t> &amp; Koefisien Respon Gempa Elastik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Csm - Batuan Keras (SA)</c:v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'Respon Spektrum'!$B$51:$B$80</c:f>
              <c:numCache>
                <c:formatCode>0.00</c:formatCode>
                <c:ptCount val="30"/>
                <c:pt idx="0">
                  <c:v>0</c:v>
                </c:pt>
                <c:pt idx="1">
                  <c:v>8.3333333333333343E-2</c:v>
                </c:pt>
                <c:pt idx="2">
                  <c:v>0.41666666666666669</c:v>
                </c:pt>
                <c:pt idx="3">
                  <c:v>0.77160493827160437</c:v>
                </c:pt>
                <c:pt idx="4">
                  <c:v>1.1265432098765427</c:v>
                </c:pt>
                <c:pt idx="5">
                  <c:v>1.481481481481481</c:v>
                </c:pt>
                <c:pt idx="6">
                  <c:v>1.8364197530864192</c:v>
                </c:pt>
                <c:pt idx="7">
                  <c:v>2.1913580246913575</c:v>
                </c:pt>
                <c:pt idx="8">
                  <c:v>2.5462962962962958</c:v>
                </c:pt>
                <c:pt idx="9">
                  <c:v>2.9012345679012341</c:v>
                </c:pt>
                <c:pt idx="10">
                  <c:v>3.2561728395061724</c:v>
                </c:pt>
                <c:pt idx="11">
                  <c:v>3.6111111111111107</c:v>
                </c:pt>
                <c:pt idx="12">
                  <c:v>3.966049382716049</c:v>
                </c:pt>
                <c:pt idx="13">
                  <c:v>4.3209876543209873</c:v>
                </c:pt>
                <c:pt idx="14">
                  <c:v>4.6759259259259256</c:v>
                </c:pt>
                <c:pt idx="15">
                  <c:v>5.0308641975308639</c:v>
                </c:pt>
                <c:pt idx="16">
                  <c:v>5.3858024691358022</c:v>
                </c:pt>
                <c:pt idx="17">
                  <c:v>5.7407407407407405</c:v>
                </c:pt>
                <c:pt idx="18">
                  <c:v>6.0956790123456788</c:v>
                </c:pt>
                <c:pt idx="19">
                  <c:v>6.4506172839506171</c:v>
                </c:pt>
                <c:pt idx="20">
                  <c:v>6.8055555555555554</c:v>
                </c:pt>
                <c:pt idx="21">
                  <c:v>7.1604938271604937</c:v>
                </c:pt>
                <c:pt idx="22">
                  <c:v>7.5154320987654319</c:v>
                </c:pt>
                <c:pt idx="23">
                  <c:v>7.8703703703703702</c:v>
                </c:pt>
                <c:pt idx="24">
                  <c:v>8.2253086419753085</c:v>
                </c:pt>
                <c:pt idx="25">
                  <c:v>8.5802469135802468</c:v>
                </c:pt>
                <c:pt idx="26">
                  <c:v>8.5802469135802468</c:v>
                </c:pt>
                <c:pt idx="27">
                  <c:v>9.2901234567901234</c:v>
                </c:pt>
                <c:pt idx="28">
                  <c:v>9.6450617283950617</c:v>
                </c:pt>
                <c:pt idx="29">
                  <c:v>10</c:v>
                </c:pt>
              </c:numCache>
            </c:numRef>
          </c:xVal>
          <c:yVal>
            <c:numRef>
              <c:f>'Respon Spektrum'!$C$51:$C$80</c:f>
              <c:numCache>
                <c:formatCode>0.000</c:formatCode>
                <c:ptCount val="30"/>
                <c:pt idx="0">
                  <c:v>0.24</c:v>
                </c:pt>
                <c:pt idx="1">
                  <c:v>0.48</c:v>
                </c:pt>
                <c:pt idx="2">
                  <c:v>0.48</c:v>
                </c:pt>
                <c:pt idx="3">
                  <c:v>0.25920000000000021</c:v>
                </c:pt>
                <c:pt idx="4">
                  <c:v>0.17753424657534256</c:v>
                </c:pt>
                <c:pt idx="5">
                  <c:v>0.13500000000000006</c:v>
                </c:pt>
                <c:pt idx="6">
                  <c:v>0.10890756302521012</c:v>
                </c:pt>
                <c:pt idx="7">
                  <c:v>9.1267605633802845E-2</c:v>
                </c:pt>
                <c:pt idx="8">
                  <c:v>7.8545454545454557E-2</c:v>
                </c:pt>
                <c:pt idx="9">
                  <c:v>6.8936170212765976E-2</c:v>
                </c:pt>
                <c:pt idx="10">
                  <c:v>6.1421800947867311E-2</c:v>
                </c:pt>
                <c:pt idx="11">
                  <c:v>5.5384615384615393E-2</c:v>
                </c:pt>
                <c:pt idx="12">
                  <c:v>5.0428015564202344E-2</c:v>
                </c:pt>
                <c:pt idx="13">
                  <c:v>4.6285714285714291E-2</c:v>
                </c:pt>
                <c:pt idx="14">
                  <c:v>4.2772277227722776E-2</c:v>
                </c:pt>
                <c:pt idx="15">
                  <c:v>3.9754601226993869E-2</c:v>
                </c:pt>
                <c:pt idx="16">
                  <c:v>3.7134670487106024E-2</c:v>
                </c:pt>
                <c:pt idx="17">
                  <c:v>3.4838709677419359E-2</c:v>
                </c:pt>
                <c:pt idx="18">
                  <c:v>3.2810126582278484E-2</c:v>
                </c:pt>
                <c:pt idx="19">
                  <c:v>3.1004784688995219E-2</c:v>
                </c:pt>
                <c:pt idx="20">
                  <c:v>2.9387755102040818E-2</c:v>
                </c:pt>
                <c:pt idx="21">
                  <c:v>2.7931034482758622E-2</c:v>
                </c:pt>
                <c:pt idx="22">
                  <c:v>2.6611909650924026E-2</c:v>
                </c:pt>
                <c:pt idx="23">
                  <c:v>2.5411764705882356E-2</c:v>
                </c:pt>
                <c:pt idx="24">
                  <c:v>2.4315196998123827E-2</c:v>
                </c:pt>
                <c:pt idx="25">
                  <c:v>2.3309352517985615E-2</c:v>
                </c:pt>
                <c:pt idx="26">
                  <c:v>2.3309352517985615E-2</c:v>
                </c:pt>
                <c:pt idx="27">
                  <c:v>2.1528239202657808E-2</c:v>
                </c:pt>
                <c:pt idx="28">
                  <c:v>2.0736000000000001E-2</c:v>
                </c:pt>
                <c:pt idx="29">
                  <c:v>0.02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22-4FB8-A199-3EACD1BA7676}"/>
            </c:ext>
          </c:extLst>
        </c:ser>
        <c:ser>
          <c:idx val="3"/>
          <c:order val="1"/>
          <c:tx>
            <c:v>Csm - Batuan (SB)</c:v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'Respon Spektrum'!$D$51:$D$80</c:f>
              <c:numCache>
                <c:formatCode>0.00</c:formatCode>
                <c:ptCount val="30"/>
                <c:pt idx="0">
                  <c:v>0</c:v>
                </c:pt>
                <c:pt idx="1">
                  <c:v>8.3333333333333343E-2</c:v>
                </c:pt>
                <c:pt idx="2">
                  <c:v>0.41666666666666669</c:v>
                </c:pt>
                <c:pt idx="3">
                  <c:v>0.77160493827160437</c:v>
                </c:pt>
                <c:pt idx="4">
                  <c:v>1.1265432098765427</c:v>
                </c:pt>
                <c:pt idx="5">
                  <c:v>1.481481481481481</c:v>
                </c:pt>
                <c:pt idx="6">
                  <c:v>1.8364197530864192</c:v>
                </c:pt>
                <c:pt idx="7">
                  <c:v>2.1913580246913575</c:v>
                </c:pt>
                <c:pt idx="8">
                  <c:v>2.5462962962962958</c:v>
                </c:pt>
                <c:pt idx="9">
                  <c:v>2.9012345679012341</c:v>
                </c:pt>
                <c:pt idx="10">
                  <c:v>3.2561728395061724</c:v>
                </c:pt>
                <c:pt idx="11">
                  <c:v>3.6111111111111107</c:v>
                </c:pt>
                <c:pt idx="12">
                  <c:v>3.966049382716049</c:v>
                </c:pt>
                <c:pt idx="13">
                  <c:v>4.3209876543209873</c:v>
                </c:pt>
                <c:pt idx="14">
                  <c:v>4.6759259259259256</c:v>
                </c:pt>
                <c:pt idx="15">
                  <c:v>5.0308641975308639</c:v>
                </c:pt>
                <c:pt idx="16">
                  <c:v>5.3858024691358022</c:v>
                </c:pt>
                <c:pt idx="17">
                  <c:v>5.7407407407407405</c:v>
                </c:pt>
                <c:pt idx="18">
                  <c:v>6.0956790123456788</c:v>
                </c:pt>
                <c:pt idx="19">
                  <c:v>6.4506172839506171</c:v>
                </c:pt>
                <c:pt idx="20">
                  <c:v>6.8055555555555554</c:v>
                </c:pt>
                <c:pt idx="21">
                  <c:v>7.1604938271604937</c:v>
                </c:pt>
                <c:pt idx="22">
                  <c:v>7.5154320987654319</c:v>
                </c:pt>
                <c:pt idx="23">
                  <c:v>7.8703703703703702</c:v>
                </c:pt>
                <c:pt idx="24">
                  <c:v>8.2253086419753085</c:v>
                </c:pt>
                <c:pt idx="25">
                  <c:v>8.5802469135802468</c:v>
                </c:pt>
                <c:pt idx="26">
                  <c:v>8.9351851851851851</c:v>
                </c:pt>
                <c:pt idx="27">
                  <c:v>9.2901234567901234</c:v>
                </c:pt>
                <c:pt idx="28">
                  <c:v>9.6450617283950617</c:v>
                </c:pt>
                <c:pt idx="29">
                  <c:v>10</c:v>
                </c:pt>
              </c:numCache>
            </c:numRef>
          </c:xVal>
          <c:yVal>
            <c:numRef>
              <c:f>'Respon Spektrum'!$E$51:$E$80</c:f>
              <c:numCache>
                <c:formatCode>0.000</c:formatCode>
                <c:ptCount val="30"/>
                <c:pt idx="0">
                  <c:v>0.3</c:v>
                </c:pt>
                <c:pt idx="1">
                  <c:v>0.6</c:v>
                </c:pt>
                <c:pt idx="2">
                  <c:v>0.6</c:v>
                </c:pt>
                <c:pt idx="3">
                  <c:v>0.32400000000000023</c:v>
                </c:pt>
                <c:pt idx="4">
                  <c:v>0.2219178082191782</c:v>
                </c:pt>
                <c:pt idx="5">
                  <c:v>0.16875000000000007</c:v>
                </c:pt>
                <c:pt idx="6">
                  <c:v>0.13613445378151265</c:v>
                </c:pt>
                <c:pt idx="7">
                  <c:v>0.11408450704225355</c:v>
                </c:pt>
                <c:pt idx="8">
                  <c:v>9.8181818181818203E-2</c:v>
                </c:pt>
                <c:pt idx="9">
                  <c:v>8.617021276595746E-2</c:v>
                </c:pt>
                <c:pt idx="10">
                  <c:v>7.6777251184834139E-2</c:v>
                </c:pt>
                <c:pt idx="11">
                  <c:v>6.9230769230769235E-2</c:v>
                </c:pt>
                <c:pt idx="12">
                  <c:v>6.303501945525293E-2</c:v>
                </c:pt>
                <c:pt idx="13">
                  <c:v>5.7857142857142864E-2</c:v>
                </c:pt>
                <c:pt idx="14">
                  <c:v>5.3465346534653471E-2</c:v>
                </c:pt>
                <c:pt idx="15">
                  <c:v>4.9693251533742336E-2</c:v>
                </c:pt>
                <c:pt idx="16">
                  <c:v>4.6418338108882524E-2</c:v>
                </c:pt>
                <c:pt idx="17">
                  <c:v>4.3548387096774194E-2</c:v>
                </c:pt>
                <c:pt idx="18">
                  <c:v>4.1012658227848102E-2</c:v>
                </c:pt>
                <c:pt idx="19">
                  <c:v>3.8755980861244023E-2</c:v>
                </c:pt>
                <c:pt idx="20">
                  <c:v>3.6734693877551024E-2</c:v>
                </c:pt>
                <c:pt idx="21">
                  <c:v>3.4913793103448276E-2</c:v>
                </c:pt>
                <c:pt idx="22">
                  <c:v>3.3264887063655033E-2</c:v>
                </c:pt>
                <c:pt idx="23">
                  <c:v>3.1764705882352945E-2</c:v>
                </c:pt>
                <c:pt idx="24">
                  <c:v>3.0393996247654785E-2</c:v>
                </c:pt>
                <c:pt idx="25">
                  <c:v>2.9136690647482016E-2</c:v>
                </c:pt>
                <c:pt idx="26">
                  <c:v>2.7979274611398965E-2</c:v>
                </c:pt>
                <c:pt idx="27">
                  <c:v>2.6910299003322258E-2</c:v>
                </c:pt>
                <c:pt idx="28">
                  <c:v>2.5919999999999999E-2</c:v>
                </c:pt>
                <c:pt idx="29">
                  <c:v>2.5000000000000001E-2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22-4FB8-A199-3EACD1BA7676}"/>
            </c:ext>
          </c:extLst>
        </c:ser>
        <c:ser>
          <c:idx val="4"/>
          <c:order val="2"/>
          <c:tx>
            <c:v>Csm - Tanah Keras (SC)</c:v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'Respon Spektrum'!$F$51:$F$80</c:f>
              <c:numCache>
                <c:formatCode>0.00</c:formatCode>
                <c:ptCount val="30"/>
                <c:pt idx="0">
                  <c:v>0</c:v>
                </c:pt>
                <c:pt idx="1">
                  <c:v>0.10833333333333334</c:v>
                </c:pt>
                <c:pt idx="2">
                  <c:v>0.54166666666666663</c:v>
                </c:pt>
                <c:pt idx="3">
                  <c:v>0.89197530864197461</c:v>
                </c:pt>
                <c:pt idx="4">
                  <c:v>1.2422839506172831</c:v>
                </c:pt>
                <c:pt idx="5">
                  <c:v>1.5925925925925917</c:v>
                </c:pt>
                <c:pt idx="6">
                  <c:v>1.9429012345679002</c:v>
                </c:pt>
                <c:pt idx="7">
                  <c:v>2.2932098765432096</c:v>
                </c:pt>
                <c:pt idx="8">
                  <c:v>2.6435185185185182</c:v>
                </c:pt>
                <c:pt idx="9">
                  <c:v>2.9938271604938267</c:v>
                </c:pt>
                <c:pt idx="10">
                  <c:v>3.3441358024691352</c:v>
                </c:pt>
                <c:pt idx="11">
                  <c:v>3.6944444444444446</c:v>
                </c:pt>
                <c:pt idx="12">
                  <c:v>4.0447530864197523</c:v>
                </c:pt>
                <c:pt idx="13">
                  <c:v>4.3950617283950617</c:v>
                </c:pt>
                <c:pt idx="14">
                  <c:v>4.7453703703703702</c:v>
                </c:pt>
                <c:pt idx="15">
                  <c:v>5.0956790123456788</c:v>
                </c:pt>
                <c:pt idx="16">
                  <c:v>5.4459876543209873</c:v>
                </c:pt>
                <c:pt idx="17">
                  <c:v>5.7962962962962958</c:v>
                </c:pt>
                <c:pt idx="18">
                  <c:v>6.1466049382716044</c:v>
                </c:pt>
                <c:pt idx="19">
                  <c:v>6.4969135802469129</c:v>
                </c:pt>
                <c:pt idx="20">
                  <c:v>6.8472222222222223</c:v>
                </c:pt>
                <c:pt idx="21">
                  <c:v>7.1975308641975309</c:v>
                </c:pt>
                <c:pt idx="22">
                  <c:v>7.5478395061728394</c:v>
                </c:pt>
                <c:pt idx="23">
                  <c:v>7.8981481481481479</c:v>
                </c:pt>
                <c:pt idx="24">
                  <c:v>8.2484567901234573</c:v>
                </c:pt>
                <c:pt idx="25">
                  <c:v>8.5987654320987659</c:v>
                </c:pt>
                <c:pt idx="26">
                  <c:v>8.9490740740740744</c:v>
                </c:pt>
                <c:pt idx="27">
                  <c:v>9.2993827160493829</c:v>
                </c:pt>
                <c:pt idx="28">
                  <c:v>9.6496913580246915</c:v>
                </c:pt>
                <c:pt idx="29">
                  <c:v>10</c:v>
                </c:pt>
              </c:numCache>
            </c:numRef>
          </c:xVal>
          <c:yVal>
            <c:numRef>
              <c:f>'Respon Spektrum'!$G$51:$G$80</c:f>
              <c:numCache>
                <c:formatCode>0.000</c:formatCode>
                <c:ptCount val="30"/>
                <c:pt idx="0">
                  <c:v>0.33</c:v>
                </c:pt>
                <c:pt idx="1">
                  <c:v>0.6</c:v>
                </c:pt>
                <c:pt idx="2">
                  <c:v>0.6</c:v>
                </c:pt>
                <c:pt idx="3">
                  <c:v>0.36435986159169576</c:v>
                </c:pt>
                <c:pt idx="4">
                  <c:v>0.26161490683229827</c:v>
                </c:pt>
                <c:pt idx="5">
                  <c:v>0.20406976744186056</c:v>
                </c:pt>
                <c:pt idx="6">
                  <c:v>0.1672756155679111</c:v>
                </c:pt>
                <c:pt idx="7">
                  <c:v>0.14172274562584117</c:v>
                </c:pt>
                <c:pt idx="8">
                  <c:v>0.12294220665499124</c:v>
                </c:pt>
                <c:pt idx="9">
                  <c:v>0.10855670103092784</c:v>
                </c:pt>
                <c:pt idx="10">
                  <c:v>9.7185048454083989E-2</c:v>
                </c:pt>
                <c:pt idx="11">
                  <c:v>8.7969924812030059E-2</c:v>
                </c:pt>
                <c:pt idx="12">
                  <c:v>8.0351011064479214E-2</c:v>
                </c:pt>
                <c:pt idx="13">
                  <c:v>7.3946629213483134E-2</c:v>
                </c:pt>
                <c:pt idx="14">
                  <c:v>6.8487804878048772E-2</c:v>
                </c:pt>
                <c:pt idx="15">
                  <c:v>6.377952755905511E-2</c:v>
                </c:pt>
                <c:pt idx="16">
                  <c:v>5.9676962312269759E-2</c:v>
                </c:pt>
                <c:pt idx="17">
                  <c:v>5.6070287539936099E-2</c:v>
                </c:pt>
                <c:pt idx="18">
                  <c:v>5.287471754958574E-2</c:v>
                </c:pt>
                <c:pt idx="19">
                  <c:v>5.0023752969121135E-2</c:v>
                </c:pt>
                <c:pt idx="20">
                  <c:v>4.7464503042596341E-2</c:v>
                </c:pt>
                <c:pt idx="21">
                  <c:v>4.5154373927958825E-2</c:v>
                </c:pt>
                <c:pt idx="22">
                  <c:v>4.3058679206706189E-2</c:v>
                </c:pt>
                <c:pt idx="23">
                  <c:v>4.1148886283704569E-2</c:v>
                </c:pt>
                <c:pt idx="24">
                  <c:v>3.9401309635173049E-2</c:v>
                </c:pt>
                <c:pt idx="25">
                  <c:v>3.7796123474515428E-2</c:v>
                </c:pt>
                <c:pt idx="26">
                  <c:v>3.6316606311432999E-2</c:v>
                </c:pt>
                <c:pt idx="27">
                  <c:v>3.4948556256223028E-2</c:v>
                </c:pt>
                <c:pt idx="28">
                  <c:v>3.3679833679833675E-2</c:v>
                </c:pt>
                <c:pt idx="29">
                  <c:v>3.2499999999999994E-2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22-4FB8-A199-3EACD1BA7676}"/>
            </c:ext>
          </c:extLst>
        </c:ser>
        <c:ser>
          <c:idx val="5"/>
          <c:order val="3"/>
          <c:tx>
            <c:v>Csm - Tanah Sedang (SD)</c:v>
          </c:tx>
          <c:spPr>
            <a:ln w="1587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'Respon Spektrum'!$H$51:$H$80</c:f>
              <c:numCache>
                <c:formatCode>0.00</c:formatCode>
                <c:ptCount val="30"/>
                <c:pt idx="0">
                  <c:v>0</c:v>
                </c:pt>
                <c:pt idx="1">
                  <c:v>8.2070707070707072E-2</c:v>
                </c:pt>
                <c:pt idx="2">
                  <c:v>0.41035353535353536</c:v>
                </c:pt>
                <c:pt idx="3">
                  <c:v>0.7655256266367374</c:v>
                </c:pt>
                <c:pt idx="4">
                  <c:v>1.1206977179199402</c:v>
                </c:pt>
                <c:pt idx="5">
                  <c:v>1.475869809203143</c:v>
                </c:pt>
                <c:pt idx="6">
                  <c:v>1.8310419004863441</c:v>
                </c:pt>
                <c:pt idx="7">
                  <c:v>2.1862139917695469</c:v>
                </c:pt>
                <c:pt idx="8">
                  <c:v>2.5413860830527488</c:v>
                </c:pt>
                <c:pt idx="9">
                  <c:v>2.8965581743359516</c:v>
                </c:pt>
                <c:pt idx="10">
                  <c:v>3.2517302656191536</c:v>
                </c:pt>
                <c:pt idx="11">
                  <c:v>3.6069023569023564</c:v>
                </c:pt>
                <c:pt idx="12">
                  <c:v>3.9620744481855583</c:v>
                </c:pt>
                <c:pt idx="13">
                  <c:v>4.3172465394687611</c:v>
                </c:pt>
                <c:pt idx="14">
                  <c:v>4.6724186307519631</c:v>
                </c:pt>
                <c:pt idx="15">
                  <c:v>5.0275907220351668</c:v>
                </c:pt>
                <c:pt idx="16">
                  <c:v>5.3827628133183687</c:v>
                </c:pt>
                <c:pt idx="17">
                  <c:v>5.7379349046015715</c:v>
                </c:pt>
                <c:pt idx="18">
                  <c:v>6.0931069958847734</c:v>
                </c:pt>
                <c:pt idx="19">
                  <c:v>6.4482790871679754</c:v>
                </c:pt>
                <c:pt idx="20">
                  <c:v>6.8034511784511782</c:v>
                </c:pt>
                <c:pt idx="21">
                  <c:v>7.158623269734381</c:v>
                </c:pt>
                <c:pt idx="22">
                  <c:v>7.5137953610175838</c:v>
                </c:pt>
                <c:pt idx="23">
                  <c:v>7.8689674523007858</c:v>
                </c:pt>
                <c:pt idx="24">
                  <c:v>8.2241395435839877</c:v>
                </c:pt>
                <c:pt idx="25">
                  <c:v>8.5793116348671905</c:v>
                </c:pt>
                <c:pt idx="26">
                  <c:v>8.9344837261503933</c:v>
                </c:pt>
                <c:pt idx="27">
                  <c:v>9.2896558174335944</c:v>
                </c:pt>
                <c:pt idx="28">
                  <c:v>9.6448279087167972</c:v>
                </c:pt>
                <c:pt idx="29">
                  <c:v>10</c:v>
                </c:pt>
              </c:numCache>
            </c:numRef>
          </c:xVal>
          <c:yVal>
            <c:numRef>
              <c:f>'Respon Spektrum'!$I$51:$I$80</c:f>
              <c:numCache>
                <c:formatCode>0.000</c:formatCode>
                <c:ptCount val="30"/>
                <c:pt idx="0">
                  <c:v>0.36</c:v>
                </c:pt>
                <c:pt idx="1">
                  <c:v>0.79199999999999993</c:v>
                </c:pt>
                <c:pt idx="2">
                  <c:v>0.79199999999999993</c:v>
                </c:pt>
                <c:pt idx="3">
                  <c:v>0.42454489920586452</c:v>
                </c:pt>
                <c:pt idx="4">
                  <c:v>0.28999791362403499</c:v>
                </c:pt>
                <c:pt idx="5">
                  <c:v>0.22020912547528507</c:v>
                </c:pt>
                <c:pt idx="6">
                  <c:v>0.17749457285148773</c:v>
                </c:pt>
                <c:pt idx="7">
                  <c:v>0.14865882352941176</c:v>
                </c:pt>
                <c:pt idx="8">
                  <c:v>0.12788296991443557</c:v>
                </c:pt>
                <c:pt idx="9">
                  <c:v>0.11220213109460769</c:v>
                </c:pt>
                <c:pt idx="10">
                  <c:v>9.9946789386639839E-2</c:v>
                </c:pt>
                <c:pt idx="11">
                  <c:v>9.0105017502917148E-2</c:v>
                </c:pt>
                <c:pt idx="12">
                  <c:v>8.2027736795514908E-2</c:v>
                </c:pt>
                <c:pt idx="13">
                  <c:v>7.5279462738301564E-2</c:v>
                </c:pt>
                <c:pt idx="14">
                  <c:v>6.9557123555021777E-2</c:v>
                </c:pt>
                <c:pt idx="15">
                  <c:v>6.4643288996372422E-2</c:v>
                </c:pt>
                <c:pt idx="16">
                  <c:v>6.0377915815994089E-2</c:v>
                </c:pt>
                <c:pt idx="17">
                  <c:v>5.6640586797066003E-2</c:v>
                </c:pt>
                <c:pt idx="18">
                  <c:v>5.3338961587167576E-2</c:v>
                </c:pt>
                <c:pt idx="19">
                  <c:v>5.0401044310682423E-2</c:v>
                </c:pt>
                <c:pt idx="20">
                  <c:v>4.7769873182802347E-2</c:v>
                </c:pt>
                <c:pt idx="21">
                  <c:v>4.5399790958975693E-2</c:v>
                </c:pt>
                <c:pt idx="22">
                  <c:v>4.3253773144546433E-2</c:v>
                </c:pt>
                <c:pt idx="23">
                  <c:v>4.1301479764663925E-2</c:v>
                </c:pt>
                <c:pt idx="24">
                  <c:v>3.9517811958035991E-2</c:v>
                </c:pt>
                <c:pt idx="25">
                  <c:v>3.7881827101275474E-2</c:v>
                </c:pt>
                <c:pt idx="26">
                  <c:v>3.6375912695297156E-2</c:v>
                </c:pt>
                <c:pt idx="27">
                  <c:v>3.4985149760885979E-2</c:v>
                </c:pt>
                <c:pt idx="28">
                  <c:v>3.3696816892530727E-2</c:v>
                </c:pt>
                <c:pt idx="29">
                  <c:v>3.2499999999999994E-2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22-4FB8-A199-3EACD1BA7676}"/>
            </c:ext>
          </c:extLst>
        </c:ser>
        <c:ser>
          <c:idx val="6"/>
          <c:order val="4"/>
          <c:tx>
            <c:v>Csm - Tanah Lunak (SE)</c:v>
          </c:tx>
          <c:spPr>
            <a:ln w="158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'Respon Spektrum'!$J$51:$J$80</c:f>
              <c:numCache>
                <c:formatCode>0.00</c:formatCode>
                <c:ptCount val="30"/>
                <c:pt idx="0">
                  <c:v>0</c:v>
                </c:pt>
                <c:pt idx="1">
                  <c:v>7.2222222222222229E-2</c:v>
                </c:pt>
                <c:pt idx="2">
                  <c:v>0.3611111111111111</c:v>
                </c:pt>
                <c:pt idx="3">
                  <c:v>0.71810699588477434</c:v>
                </c:pt>
                <c:pt idx="4">
                  <c:v>1.0751028806584362</c:v>
                </c:pt>
                <c:pt idx="5">
                  <c:v>1.432098765432098</c:v>
                </c:pt>
                <c:pt idx="6">
                  <c:v>1.7890946502057616</c:v>
                </c:pt>
                <c:pt idx="7">
                  <c:v>2.1460905349794244</c:v>
                </c:pt>
                <c:pt idx="8">
                  <c:v>2.5030864197530862</c:v>
                </c:pt>
                <c:pt idx="9">
                  <c:v>2.8600823045267489</c:v>
                </c:pt>
                <c:pt idx="10">
                  <c:v>3.2170781893004108</c:v>
                </c:pt>
                <c:pt idx="11">
                  <c:v>3.5740740740740744</c:v>
                </c:pt>
                <c:pt idx="12">
                  <c:v>3.9310699588477362</c:v>
                </c:pt>
                <c:pt idx="13">
                  <c:v>4.288065843621399</c:v>
                </c:pt>
                <c:pt idx="14">
                  <c:v>4.6450617283950617</c:v>
                </c:pt>
                <c:pt idx="15">
                  <c:v>5.0020576131687244</c:v>
                </c:pt>
                <c:pt idx="16">
                  <c:v>5.3590534979423872</c:v>
                </c:pt>
                <c:pt idx="17">
                  <c:v>5.716049382716049</c:v>
                </c:pt>
                <c:pt idx="18">
                  <c:v>6.0730452674897126</c:v>
                </c:pt>
                <c:pt idx="19">
                  <c:v>6.4300411522633745</c:v>
                </c:pt>
                <c:pt idx="20">
                  <c:v>6.7870370370370372</c:v>
                </c:pt>
                <c:pt idx="21">
                  <c:v>7.1440329218106999</c:v>
                </c:pt>
                <c:pt idx="22">
                  <c:v>7.5010288065843618</c:v>
                </c:pt>
                <c:pt idx="23">
                  <c:v>7.8580246913580245</c:v>
                </c:pt>
                <c:pt idx="24">
                  <c:v>8.2150205761316872</c:v>
                </c:pt>
                <c:pt idx="25">
                  <c:v>8.5720164609053491</c:v>
                </c:pt>
                <c:pt idx="26">
                  <c:v>8.9290123456790127</c:v>
                </c:pt>
                <c:pt idx="27">
                  <c:v>9.2860082304526745</c:v>
                </c:pt>
                <c:pt idx="28">
                  <c:v>9.6430041152263382</c:v>
                </c:pt>
                <c:pt idx="29">
                  <c:v>10</c:v>
                </c:pt>
              </c:numCache>
            </c:numRef>
          </c:xVal>
          <c:yVal>
            <c:numRef>
              <c:f>'Respon Spektrum'!$K$51:$K$80</c:f>
              <c:numCache>
                <c:formatCode>0.000</c:formatCode>
                <c:ptCount val="30"/>
                <c:pt idx="0">
                  <c:v>0.36</c:v>
                </c:pt>
                <c:pt idx="1">
                  <c:v>0.89999999999999991</c:v>
                </c:pt>
                <c:pt idx="2">
                  <c:v>0.89999999999999991</c:v>
                </c:pt>
                <c:pt idx="3">
                  <c:v>0.4525787965616041</c:v>
                </c:pt>
                <c:pt idx="4">
                  <c:v>0.30229665071770334</c:v>
                </c:pt>
                <c:pt idx="5">
                  <c:v>0.22693965517241388</c:v>
                </c:pt>
                <c:pt idx="6">
                  <c:v>0.18165612420931565</c:v>
                </c:pt>
                <c:pt idx="7">
                  <c:v>0.15143815915627989</c:v>
                </c:pt>
                <c:pt idx="8">
                  <c:v>0.12983970406905054</c:v>
                </c:pt>
                <c:pt idx="9">
                  <c:v>0.11363309352517985</c:v>
                </c:pt>
                <c:pt idx="10">
                  <c:v>0.10102334505916215</c:v>
                </c:pt>
                <c:pt idx="11">
                  <c:v>9.0932642487046605E-2</c:v>
                </c:pt>
                <c:pt idx="12">
                  <c:v>8.2674692488877252E-2</c:v>
                </c:pt>
                <c:pt idx="13">
                  <c:v>7.5791746641074853E-2</c:v>
                </c:pt>
                <c:pt idx="14">
                  <c:v>6.9966777408637867E-2</c:v>
                </c:pt>
                <c:pt idx="15">
                  <c:v>6.4973262032085546E-2</c:v>
                </c:pt>
                <c:pt idx="16">
                  <c:v>6.0645037435208278E-2</c:v>
                </c:pt>
                <c:pt idx="17">
                  <c:v>5.6857451403887684E-2</c:v>
                </c:pt>
                <c:pt idx="18">
                  <c:v>5.351516178214466E-2</c:v>
                </c:pt>
                <c:pt idx="19">
                  <c:v>5.0543999999999992E-2</c:v>
                </c:pt>
                <c:pt idx="20">
                  <c:v>4.7885402455661655E-2</c:v>
                </c:pt>
                <c:pt idx="21">
                  <c:v>4.5492511520737321E-2</c:v>
                </c:pt>
                <c:pt idx="22">
                  <c:v>4.332738993279385E-2</c:v>
                </c:pt>
                <c:pt idx="23">
                  <c:v>4.1358994501178317E-2</c:v>
                </c:pt>
                <c:pt idx="24">
                  <c:v>3.9561678146524726E-2</c:v>
                </c:pt>
                <c:pt idx="25">
                  <c:v>3.7914066250600093E-2</c:v>
                </c:pt>
                <c:pt idx="26">
                  <c:v>3.6398202557898371E-2</c:v>
                </c:pt>
                <c:pt idx="27">
                  <c:v>3.4998892089519167E-2</c:v>
                </c:pt>
                <c:pt idx="28">
                  <c:v>3.3703190013869622E-2</c:v>
                </c:pt>
                <c:pt idx="29">
                  <c:v>3.2499999999999994E-2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022-4FB8-A199-3EACD1BA7676}"/>
            </c:ext>
          </c:extLst>
        </c:ser>
        <c:ser>
          <c:idx val="1"/>
          <c:order val="5"/>
          <c:tx>
            <c:v>T-long</c:v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'Respon Spektrum'!$L$89:$L$90</c:f>
              <c:numCache>
                <c:formatCode>0.000</c:formatCode>
                <c:ptCount val="2"/>
                <c:pt idx="0">
                  <c:v>0.11433203521147195</c:v>
                </c:pt>
                <c:pt idx="1">
                  <c:v>0.11433203521147195</c:v>
                </c:pt>
              </c:numCache>
            </c:numRef>
          </c:xVal>
          <c:yVal>
            <c:numRef>
              <c:f>'Respon Spektrum'!$M$89:$M$90</c:f>
              <c:numCache>
                <c:formatCode>0.000</c:formatCode>
                <c:ptCount val="2"/>
                <c:pt idx="0">
                  <c:v>0</c:v>
                </c:pt>
                <c:pt idx="1">
                  <c:v>0.79199999999999993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022-4FB8-A199-3EACD1BA7676}"/>
            </c:ext>
          </c:extLst>
        </c:ser>
        <c:ser>
          <c:idx val="2"/>
          <c:order val="6"/>
          <c:tx>
            <c:v>T-trans</c:v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'Respon Spektrum'!$L$92:$L$93</c:f>
              <c:numCache>
                <c:formatCode>0.000</c:formatCode>
                <c:ptCount val="2"/>
                <c:pt idx="0">
                  <c:v>2.2746723623207066E-2</c:v>
                </c:pt>
                <c:pt idx="1">
                  <c:v>2.2746723623207066E-2</c:v>
                </c:pt>
              </c:numCache>
            </c:numRef>
          </c:xVal>
          <c:yVal>
            <c:numRef>
              <c:f>'Respon Spektrum'!$M$92:$M$93</c:f>
              <c:numCache>
                <c:formatCode>0.000</c:formatCode>
                <c:ptCount val="2"/>
                <c:pt idx="0">
                  <c:v>0</c:v>
                </c:pt>
                <c:pt idx="1">
                  <c:v>0.47973315395905469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022-4FB8-A199-3EACD1BA7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147168"/>
        <c:axId val="497146840"/>
      </c:scatterChart>
      <c:valAx>
        <c:axId val="497147168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Periode,</a:t>
                </a:r>
                <a:r>
                  <a:rPr lang="en-US" baseline="0"/>
                  <a:t> 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46840"/>
        <c:crosses val="autoZero"/>
        <c:crossBetween val="midCat"/>
      </c:valAx>
      <c:valAx>
        <c:axId val="49714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Koefisien</a:t>
                </a:r>
                <a:r>
                  <a:rPr lang="en-US" baseline="0"/>
                  <a:t> respon gempa elastik, Csm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47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Table!$S$26:$S$30</c:f>
              <c:numCache>
                <c:formatCode>0.00</c:formatCode>
                <c:ptCount val="5"/>
                <c:pt idx="0">
                  <c:v>-18.07511737089202</c:v>
                </c:pt>
                <c:pt idx="1">
                  <c:v>-18.07511737089202</c:v>
                </c:pt>
                <c:pt idx="2">
                  <c:v>18.07511737089202</c:v>
                </c:pt>
                <c:pt idx="3">
                  <c:v>18.07511737089202</c:v>
                </c:pt>
                <c:pt idx="4">
                  <c:v>-18.07511737089202</c:v>
                </c:pt>
              </c:numCache>
            </c:numRef>
          </c:xVal>
          <c:yVal>
            <c:numRef>
              <c:f>Table!$T$26:$T$30</c:f>
              <c:numCache>
                <c:formatCode>0.00</c:formatCode>
                <c:ptCount val="5"/>
                <c:pt idx="0">
                  <c:v>-44.671361502347416</c:v>
                </c:pt>
                <c:pt idx="1">
                  <c:v>44.671361502347416</c:v>
                </c:pt>
                <c:pt idx="2">
                  <c:v>44.671361502347416</c:v>
                </c:pt>
                <c:pt idx="3">
                  <c:v>-44.671361502347416</c:v>
                </c:pt>
                <c:pt idx="4">
                  <c:v>-44.671361502347416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3E-4CE5-B5AF-689F6E7B990D}"/>
            </c:ext>
          </c:extLst>
        </c:ser>
        <c:ser>
          <c:idx val="0"/>
          <c:order val="1"/>
          <c:tx>
            <c:v>X1Y1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Table!$A$172:$A$192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Table!$B$172:$B$192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3E-4CE5-B5AF-689F6E7B990D}"/>
            </c:ext>
          </c:extLst>
        </c:ser>
        <c:ser>
          <c:idx val="1"/>
          <c:order val="2"/>
          <c:tx>
            <c:v>X2Y1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Table!$C$172:$C$192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Table!$D$172:$D$192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43E-4CE5-B5AF-689F6E7B990D}"/>
            </c:ext>
          </c:extLst>
        </c:ser>
        <c:ser>
          <c:idx val="2"/>
          <c:order val="3"/>
          <c:tx>
            <c:v>X3Y1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Table!$E$172:$E$192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Table!$F$172:$F$192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43E-4CE5-B5AF-689F6E7B990D}"/>
            </c:ext>
          </c:extLst>
        </c:ser>
        <c:ser>
          <c:idx val="4"/>
          <c:order val="4"/>
          <c:tx>
            <c:v>X4Y1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Table!$G$172:$G$192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Table!$H$172:$H$192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43E-4CE5-B5AF-689F6E7B990D}"/>
            </c:ext>
          </c:extLst>
        </c:ser>
        <c:ser>
          <c:idx val="5"/>
          <c:order val="5"/>
          <c:tx>
            <c:v>X5Y1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Table!$I$172:$I$192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Table!$J$172:$J$192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43E-4CE5-B5AF-689F6E7B990D}"/>
            </c:ext>
          </c:extLst>
        </c:ser>
        <c:ser>
          <c:idx val="6"/>
          <c:order val="6"/>
          <c:tx>
            <c:v>X6Y1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Table!$K$172:$K$192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Table!$L$172:$L$192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43E-4CE5-B5AF-689F6E7B990D}"/>
            </c:ext>
          </c:extLst>
        </c:ser>
        <c:ser>
          <c:idx val="7"/>
          <c:order val="7"/>
          <c:tx>
            <c:v>X7Y1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Table!$M$172:$M$192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Table!$N$172:$N$192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43E-4CE5-B5AF-689F6E7B990D}"/>
            </c:ext>
          </c:extLst>
        </c:ser>
        <c:ser>
          <c:idx val="8"/>
          <c:order val="8"/>
          <c:tx>
            <c:v>X8Y1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Table!$O$172:$O$192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Table!$P$172:$P$192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43E-4CE5-B5AF-689F6E7B990D}"/>
            </c:ext>
          </c:extLst>
        </c:ser>
        <c:ser>
          <c:idx val="9"/>
          <c:order val="9"/>
          <c:tx>
            <c:v>X1Y2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Table!$A$148:$A$168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Table!$B$148:$B$168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43E-4CE5-B5AF-689F6E7B990D}"/>
            </c:ext>
          </c:extLst>
        </c:ser>
        <c:ser>
          <c:idx val="10"/>
          <c:order val="10"/>
          <c:tx>
            <c:v>X2Y2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Table!$C$148:$C$168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Table!$D$148:$D$168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43E-4CE5-B5AF-689F6E7B990D}"/>
            </c:ext>
          </c:extLst>
        </c:ser>
        <c:ser>
          <c:idx val="11"/>
          <c:order val="11"/>
          <c:tx>
            <c:v>X3Y2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Table!$E$148:$E$168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Table!$F$148:$F$168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43E-4CE5-B5AF-689F6E7B990D}"/>
            </c:ext>
          </c:extLst>
        </c:ser>
        <c:ser>
          <c:idx val="12"/>
          <c:order val="12"/>
          <c:tx>
            <c:v>X4Y2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Table!$G$148:$G$168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Table!$H$148:$H$168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43E-4CE5-B5AF-689F6E7B990D}"/>
            </c:ext>
          </c:extLst>
        </c:ser>
        <c:ser>
          <c:idx val="13"/>
          <c:order val="13"/>
          <c:tx>
            <c:v>X5Y2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Table!$I$148:$I$168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Table!$J$148:$J$168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43E-4CE5-B5AF-689F6E7B990D}"/>
            </c:ext>
          </c:extLst>
        </c:ser>
        <c:ser>
          <c:idx val="14"/>
          <c:order val="14"/>
          <c:tx>
            <c:v>X6Y2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Table!$K$148:$K$168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Table!$L$148:$L$168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43E-4CE5-B5AF-689F6E7B990D}"/>
            </c:ext>
          </c:extLst>
        </c:ser>
        <c:ser>
          <c:idx val="15"/>
          <c:order val="15"/>
          <c:tx>
            <c:v>X7Y2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Table!$M$148:$M$168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Table!$N$148:$N$168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43E-4CE5-B5AF-689F6E7B990D}"/>
            </c:ext>
          </c:extLst>
        </c:ser>
        <c:ser>
          <c:idx val="16"/>
          <c:order val="16"/>
          <c:tx>
            <c:v>X8Y2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Table!$O$148:$O$168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Table!$P$148:$P$168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F43E-4CE5-B5AF-689F6E7B990D}"/>
            </c:ext>
          </c:extLst>
        </c:ser>
        <c:ser>
          <c:idx val="17"/>
          <c:order val="17"/>
          <c:tx>
            <c:v>X1Y3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Table!$A$124:$A$144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Table!$B$124:$B$144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F43E-4CE5-B5AF-689F6E7B990D}"/>
            </c:ext>
          </c:extLst>
        </c:ser>
        <c:ser>
          <c:idx val="18"/>
          <c:order val="18"/>
          <c:tx>
            <c:v>X2Y3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Table!$C$124:$C$144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Table!$D$124:$D$144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F43E-4CE5-B5AF-689F6E7B990D}"/>
            </c:ext>
          </c:extLst>
        </c:ser>
        <c:ser>
          <c:idx val="19"/>
          <c:order val="19"/>
          <c:tx>
            <c:v>X3Y3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Table!$E$124:$E$144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Table!$F$124:$F$144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F43E-4CE5-B5AF-689F6E7B990D}"/>
            </c:ext>
          </c:extLst>
        </c:ser>
        <c:ser>
          <c:idx val="20"/>
          <c:order val="20"/>
          <c:tx>
            <c:v>X4Y3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Table!$G$124:$G$144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Table!$H$124:$H$144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F43E-4CE5-B5AF-689F6E7B990D}"/>
            </c:ext>
          </c:extLst>
        </c:ser>
        <c:ser>
          <c:idx val="21"/>
          <c:order val="21"/>
          <c:tx>
            <c:v>X5Y3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Table!$I$124:$I$144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Table!$J$124:$J$144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F43E-4CE5-B5AF-689F6E7B990D}"/>
            </c:ext>
          </c:extLst>
        </c:ser>
        <c:ser>
          <c:idx val="22"/>
          <c:order val="22"/>
          <c:tx>
            <c:v>X6Y3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Table!$K$124:$K$144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Table!$L$124:$L$144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F43E-4CE5-B5AF-689F6E7B990D}"/>
            </c:ext>
          </c:extLst>
        </c:ser>
        <c:ser>
          <c:idx val="23"/>
          <c:order val="23"/>
          <c:tx>
            <c:v>X7Y3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Table!$M$124:$M$144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Table!$N$124:$N$144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F43E-4CE5-B5AF-689F6E7B990D}"/>
            </c:ext>
          </c:extLst>
        </c:ser>
        <c:ser>
          <c:idx val="24"/>
          <c:order val="24"/>
          <c:tx>
            <c:v>X8Y3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Table!$O$124:$O$144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Table!$P$124:$P$144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F43E-4CE5-B5AF-689F6E7B990D}"/>
            </c:ext>
          </c:extLst>
        </c:ser>
        <c:ser>
          <c:idx val="25"/>
          <c:order val="25"/>
          <c:tx>
            <c:v>X1Y4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Table!$A$100:$A$120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Table!$B$100:$B$120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F43E-4CE5-B5AF-689F6E7B990D}"/>
            </c:ext>
          </c:extLst>
        </c:ser>
        <c:ser>
          <c:idx val="26"/>
          <c:order val="26"/>
          <c:tx>
            <c:v>X2Y4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Table!$C$100:$C$120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Table!$D$100:$D$120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F43E-4CE5-B5AF-689F6E7B990D}"/>
            </c:ext>
          </c:extLst>
        </c:ser>
        <c:ser>
          <c:idx val="27"/>
          <c:order val="27"/>
          <c:tx>
            <c:v>X3Y4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Table!$E$100:$E$120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Table!$F$100:$F$120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F43E-4CE5-B5AF-689F6E7B990D}"/>
            </c:ext>
          </c:extLst>
        </c:ser>
        <c:ser>
          <c:idx val="28"/>
          <c:order val="28"/>
          <c:tx>
            <c:v>X4Y4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Table!$G$100:$G$120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Table!$H$100:$H$120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F43E-4CE5-B5AF-689F6E7B990D}"/>
            </c:ext>
          </c:extLst>
        </c:ser>
        <c:ser>
          <c:idx val="29"/>
          <c:order val="29"/>
          <c:tx>
            <c:v>X5Y4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Table!$I$100:$I$120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Table!$J$100:$J$120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F43E-4CE5-B5AF-689F6E7B990D}"/>
            </c:ext>
          </c:extLst>
        </c:ser>
        <c:ser>
          <c:idx val="30"/>
          <c:order val="30"/>
          <c:tx>
            <c:v>X6Y4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Table!$K$100:$K$120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Table!$L$100:$L$120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F43E-4CE5-B5AF-689F6E7B990D}"/>
            </c:ext>
          </c:extLst>
        </c:ser>
        <c:ser>
          <c:idx val="31"/>
          <c:order val="31"/>
          <c:tx>
            <c:v>X7Y4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Table!$M$100:$M$120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Table!$N$100:$N$120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F43E-4CE5-B5AF-689F6E7B990D}"/>
            </c:ext>
          </c:extLst>
        </c:ser>
        <c:ser>
          <c:idx val="32"/>
          <c:order val="32"/>
          <c:tx>
            <c:v>X8Y4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Table!$O$100:$O$120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Table!$P$100:$P$120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F43E-4CE5-B5AF-689F6E7B990D}"/>
            </c:ext>
          </c:extLst>
        </c:ser>
        <c:ser>
          <c:idx val="33"/>
          <c:order val="33"/>
          <c:tx>
            <c:v>X1Y5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Table!$A$76:$A$96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Table!$B$76:$B$96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F43E-4CE5-B5AF-689F6E7B990D}"/>
            </c:ext>
          </c:extLst>
        </c:ser>
        <c:ser>
          <c:idx val="34"/>
          <c:order val="34"/>
          <c:tx>
            <c:v>X2Y5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Table!$C$76:$C$96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Table!$D$76:$D$96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F43E-4CE5-B5AF-689F6E7B990D}"/>
            </c:ext>
          </c:extLst>
        </c:ser>
        <c:ser>
          <c:idx val="35"/>
          <c:order val="35"/>
          <c:tx>
            <c:v>X3Y5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Table!$E$76:$E$96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Table!$F$76:$F$96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F43E-4CE5-B5AF-689F6E7B990D}"/>
            </c:ext>
          </c:extLst>
        </c:ser>
        <c:ser>
          <c:idx val="36"/>
          <c:order val="36"/>
          <c:tx>
            <c:v>X4Y5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Table!$G$76:$G$96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Table!$H$76:$H$96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F43E-4CE5-B5AF-689F6E7B990D}"/>
            </c:ext>
          </c:extLst>
        </c:ser>
        <c:ser>
          <c:idx val="37"/>
          <c:order val="37"/>
          <c:tx>
            <c:v>X5Y5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Table!$I$76:$I$96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Table!$J$76:$J$96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F43E-4CE5-B5AF-689F6E7B990D}"/>
            </c:ext>
          </c:extLst>
        </c:ser>
        <c:ser>
          <c:idx val="38"/>
          <c:order val="38"/>
          <c:tx>
            <c:v>X6Y5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Table!$K$76:$K$96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Table!$L$76:$L$96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F43E-4CE5-B5AF-689F6E7B990D}"/>
            </c:ext>
          </c:extLst>
        </c:ser>
        <c:ser>
          <c:idx val="39"/>
          <c:order val="39"/>
          <c:tx>
            <c:v>X7Y5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Table!$M$76:$M$96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Table!$N$76:$N$96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F43E-4CE5-B5AF-689F6E7B990D}"/>
            </c:ext>
          </c:extLst>
        </c:ser>
        <c:ser>
          <c:idx val="40"/>
          <c:order val="40"/>
          <c:tx>
            <c:v>X8Y5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Table!$O$76:$O$96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Table!$P$76:$P$96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F43E-4CE5-B5AF-689F6E7B990D}"/>
            </c:ext>
          </c:extLst>
        </c:ser>
        <c:ser>
          <c:idx val="41"/>
          <c:order val="41"/>
          <c:tx>
            <c:v>X1Y6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Table!$A$52:$A$72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Table!$B$52:$B$72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F43E-4CE5-B5AF-689F6E7B990D}"/>
            </c:ext>
          </c:extLst>
        </c:ser>
        <c:ser>
          <c:idx val="42"/>
          <c:order val="42"/>
          <c:tx>
            <c:v>X2Y6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Table!$C$52:$C$72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Table!$D$52:$D$72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F43E-4CE5-B5AF-689F6E7B990D}"/>
            </c:ext>
          </c:extLst>
        </c:ser>
        <c:ser>
          <c:idx val="43"/>
          <c:order val="43"/>
          <c:tx>
            <c:v>X3Y6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Table!$E$52:$E$72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Table!$F$52:$F$72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F43E-4CE5-B5AF-689F6E7B990D}"/>
            </c:ext>
          </c:extLst>
        </c:ser>
        <c:ser>
          <c:idx val="44"/>
          <c:order val="44"/>
          <c:tx>
            <c:v>X4Y6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Table!$G$52:$G$72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Table!$H$52:$H$72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F43E-4CE5-B5AF-689F6E7B990D}"/>
            </c:ext>
          </c:extLst>
        </c:ser>
        <c:ser>
          <c:idx val="45"/>
          <c:order val="45"/>
          <c:tx>
            <c:v>X5Y6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Table!$I$52:$I$72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Table!$J$52:$J$72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F43E-4CE5-B5AF-689F6E7B990D}"/>
            </c:ext>
          </c:extLst>
        </c:ser>
        <c:ser>
          <c:idx val="46"/>
          <c:order val="46"/>
          <c:tx>
            <c:v>X6Y6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Table!$K$52:$K$72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Table!$L$52:$L$72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F43E-4CE5-B5AF-689F6E7B990D}"/>
            </c:ext>
          </c:extLst>
        </c:ser>
        <c:ser>
          <c:idx val="47"/>
          <c:order val="47"/>
          <c:tx>
            <c:v>X7Y6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Table!$M$52:$M$72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Table!$N$52:$N$72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F43E-4CE5-B5AF-689F6E7B990D}"/>
            </c:ext>
          </c:extLst>
        </c:ser>
        <c:ser>
          <c:idx val="48"/>
          <c:order val="48"/>
          <c:tx>
            <c:v>X8Y6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Table!$O$52:$O$72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Table!$P$52:$P$72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F43E-4CE5-B5AF-689F6E7B990D}"/>
            </c:ext>
          </c:extLst>
        </c:ser>
        <c:ser>
          <c:idx val="49"/>
          <c:order val="49"/>
          <c:tx>
            <c:v>X1Y7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Table!$A$28:$A$48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Table!$B$28:$B$48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F43E-4CE5-B5AF-689F6E7B990D}"/>
            </c:ext>
          </c:extLst>
        </c:ser>
        <c:ser>
          <c:idx val="50"/>
          <c:order val="50"/>
          <c:tx>
            <c:v>X2Y7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Table!$C$28:$C$48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Table!$D$28:$D$48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F43E-4CE5-B5AF-689F6E7B990D}"/>
            </c:ext>
          </c:extLst>
        </c:ser>
        <c:ser>
          <c:idx val="51"/>
          <c:order val="51"/>
          <c:tx>
            <c:v>X3Y7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Table!$E$28:$E$48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Table!$F$28:$F$48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F43E-4CE5-B5AF-689F6E7B990D}"/>
            </c:ext>
          </c:extLst>
        </c:ser>
        <c:ser>
          <c:idx val="52"/>
          <c:order val="52"/>
          <c:tx>
            <c:v>X4Y7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Table!$G$28:$G$48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Table!$H$28:$H$48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F43E-4CE5-B5AF-689F6E7B990D}"/>
            </c:ext>
          </c:extLst>
        </c:ser>
        <c:ser>
          <c:idx val="53"/>
          <c:order val="53"/>
          <c:tx>
            <c:v>X5Y7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Table!$I$28:$I$48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Table!$J$28:$J$48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F43E-4CE5-B5AF-689F6E7B990D}"/>
            </c:ext>
          </c:extLst>
        </c:ser>
        <c:ser>
          <c:idx val="54"/>
          <c:order val="54"/>
          <c:tx>
            <c:v>X6Y7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Table!$K$28:$K$48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Table!$L$28:$L$48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F43E-4CE5-B5AF-689F6E7B990D}"/>
            </c:ext>
          </c:extLst>
        </c:ser>
        <c:ser>
          <c:idx val="55"/>
          <c:order val="55"/>
          <c:tx>
            <c:v>X7Y7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Table!$M$28:$M$48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Table!$N$28:$N$48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F43E-4CE5-B5AF-689F6E7B990D}"/>
            </c:ext>
          </c:extLst>
        </c:ser>
        <c:ser>
          <c:idx val="56"/>
          <c:order val="56"/>
          <c:tx>
            <c:v>X8Y7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Table!$O$28:$O$48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Table!$P$28:$P$48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F43E-4CE5-B5AF-689F6E7B990D}"/>
            </c:ext>
          </c:extLst>
        </c:ser>
        <c:ser>
          <c:idx val="57"/>
          <c:order val="57"/>
          <c:tx>
            <c:v>X1Y8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Table!$A$4:$A$24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Table!$B$4:$B$24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F43E-4CE5-B5AF-689F6E7B990D}"/>
            </c:ext>
          </c:extLst>
        </c:ser>
        <c:ser>
          <c:idx val="58"/>
          <c:order val="58"/>
          <c:tx>
            <c:v>X2Y8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Table!$C$4:$C$24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Table!$D$4:$D$24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F43E-4CE5-B5AF-689F6E7B990D}"/>
            </c:ext>
          </c:extLst>
        </c:ser>
        <c:ser>
          <c:idx val="59"/>
          <c:order val="59"/>
          <c:tx>
            <c:v>X3Y8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Table!$E$4:$E$24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Table!$F$4:$F$24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F43E-4CE5-B5AF-689F6E7B990D}"/>
            </c:ext>
          </c:extLst>
        </c:ser>
        <c:ser>
          <c:idx val="60"/>
          <c:order val="60"/>
          <c:tx>
            <c:v>X4Y8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Table!$G$4:$G$24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Table!$H$4:$H$24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F43E-4CE5-B5AF-689F6E7B990D}"/>
            </c:ext>
          </c:extLst>
        </c:ser>
        <c:ser>
          <c:idx val="61"/>
          <c:order val="61"/>
          <c:tx>
            <c:v>X5Y8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Table!$I$4:$I$24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Table!$J$4:$J$24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F43E-4CE5-B5AF-689F6E7B990D}"/>
            </c:ext>
          </c:extLst>
        </c:ser>
        <c:ser>
          <c:idx val="62"/>
          <c:order val="62"/>
          <c:tx>
            <c:v>X6Y8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Table!$K$4:$K$24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Table!$L$4:$L$24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F43E-4CE5-B5AF-689F6E7B990D}"/>
            </c:ext>
          </c:extLst>
        </c:ser>
        <c:ser>
          <c:idx val="63"/>
          <c:order val="63"/>
          <c:tx>
            <c:v>X7Y8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Table!$M$4:$M$24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Table!$N$4:$N$24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F43E-4CE5-B5AF-689F6E7B990D}"/>
            </c:ext>
          </c:extLst>
        </c:ser>
        <c:ser>
          <c:idx val="64"/>
          <c:order val="64"/>
          <c:tx>
            <c:v>X8Y8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Table!$O$4:$O$24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Table!$P$4:$P$24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F43E-4CE5-B5AF-689F6E7B990D}"/>
            </c:ext>
          </c:extLst>
        </c:ser>
        <c:ser>
          <c:idx val="65"/>
          <c:order val="65"/>
          <c:spPr>
            <a:ln w="158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Table!$S$31:$S$32</c:f>
              <c:numCache>
                <c:formatCode>0.00</c:formatCode>
                <c:ptCount val="2"/>
                <c:pt idx="0">
                  <c:v>-28.4037558685446</c:v>
                </c:pt>
                <c:pt idx="1">
                  <c:v>28.4037558685446</c:v>
                </c:pt>
              </c:numCache>
            </c:numRef>
          </c:xVal>
          <c:yVal>
            <c:numRef>
              <c:f>Table!$T$31:$T$32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F43E-4CE5-B5AF-689F6E7B990D}"/>
            </c:ext>
          </c:extLst>
        </c:ser>
        <c:ser>
          <c:idx val="66"/>
          <c:order val="66"/>
          <c:spPr>
            <a:ln w="158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Table!$S$33:$S$34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Table!$T$33:$T$34</c:f>
              <c:numCache>
                <c:formatCode>0.00</c:formatCode>
                <c:ptCount val="2"/>
                <c:pt idx="0">
                  <c:v>-55</c:v>
                </c:pt>
                <c:pt idx="1">
                  <c:v>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F43E-4CE5-B5AF-689F6E7B9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746800"/>
        <c:axId val="721747128"/>
      </c:scatterChart>
      <c:valAx>
        <c:axId val="721746800"/>
        <c:scaling>
          <c:orientation val="minMax"/>
          <c:max val="60"/>
          <c:min val="-60"/>
        </c:scaling>
        <c:delete val="1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721747128"/>
        <c:crosses val="autoZero"/>
        <c:crossBetween val="midCat"/>
        <c:majorUnit val="5"/>
      </c:valAx>
      <c:valAx>
        <c:axId val="721747128"/>
        <c:scaling>
          <c:orientation val="minMax"/>
          <c:max val="60"/>
          <c:min val="-6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721746800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Table!$T$39:$T$47</c:f>
              <c:numCache>
                <c:formatCode>0.000</c:formatCode>
                <c:ptCount val="9"/>
                <c:pt idx="0">
                  <c:v>-13.352601156069362</c:v>
                </c:pt>
                <c:pt idx="1">
                  <c:v>-13.352601156069362</c:v>
                </c:pt>
                <c:pt idx="2">
                  <c:v>-0.63583815028901469</c:v>
                </c:pt>
                <c:pt idx="3">
                  <c:v>-0.63583815028901469</c:v>
                </c:pt>
                <c:pt idx="4">
                  <c:v>-13.352601156069362</c:v>
                </c:pt>
                <c:pt idx="5">
                  <c:v>-13.352601156069362</c:v>
                </c:pt>
                <c:pt idx="6">
                  <c:v>0.47687861271676368</c:v>
                </c:pt>
                <c:pt idx="7">
                  <c:v>0.47687861271676368</c:v>
                </c:pt>
                <c:pt idx="8">
                  <c:v>-13.352601156069362</c:v>
                </c:pt>
              </c:numCache>
            </c:numRef>
          </c:xVal>
          <c:yVal>
            <c:numRef>
              <c:f>Table!$U$39:$U$47</c:f>
              <c:numCache>
                <c:formatCode>0.000</c:formatCode>
                <c:ptCount val="9"/>
                <c:pt idx="0">
                  <c:v>-27.5</c:v>
                </c:pt>
                <c:pt idx="1">
                  <c:v>-25.910404624277458</c:v>
                </c:pt>
                <c:pt idx="2">
                  <c:v>-25.910404624277458</c:v>
                </c:pt>
                <c:pt idx="3">
                  <c:v>25.910404624277454</c:v>
                </c:pt>
                <c:pt idx="4">
                  <c:v>25.910404624277454</c:v>
                </c:pt>
                <c:pt idx="5">
                  <c:v>27.5</c:v>
                </c:pt>
                <c:pt idx="6">
                  <c:v>27.5</c:v>
                </c:pt>
                <c:pt idx="7">
                  <c:v>-27.5</c:v>
                </c:pt>
                <c:pt idx="8">
                  <c:v>-27.5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90-4E85-9D2D-6B98AB09114F}"/>
            </c:ext>
          </c:extLst>
        </c:ser>
        <c:ser>
          <c:idx val="1"/>
          <c:order val="1"/>
          <c:tx>
            <c:v>B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Table!$T$48:$T$49</c:f>
              <c:numCache>
                <c:formatCode>0.000</c:formatCode>
                <c:ptCount val="2"/>
                <c:pt idx="0">
                  <c:v>-8.9017341040462412</c:v>
                </c:pt>
                <c:pt idx="1">
                  <c:v>-8.9017341040462412</c:v>
                </c:pt>
              </c:numCache>
            </c:numRef>
          </c:xVal>
          <c:yVal>
            <c:numRef>
              <c:f>Table!$U$48:$U$49</c:f>
              <c:numCache>
                <c:formatCode>0.000</c:formatCode>
                <c:ptCount val="2"/>
                <c:pt idx="0">
                  <c:v>-25.910404624277458</c:v>
                </c:pt>
                <c:pt idx="1">
                  <c:v>25.910404624277454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90-4E85-9D2D-6B98AB09114F}"/>
            </c:ext>
          </c:extLst>
        </c:ser>
        <c:ser>
          <c:idx val="2"/>
          <c:order val="2"/>
          <c:tx>
            <c:v>C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Table!$T$50:$T$51</c:f>
              <c:numCache>
                <c:formatCode>0.000</c:formatCode>
                <c:ptCount val="2"/>
                <c:pt idx="0">
                  <c:v>-1.2716763005780329</c:v>
                </c:pt>
                <c:pt idx="1">
                  <c:v>-1.2716763005780329</c:v>
                </c:pt>
              </c:numCache>
            </c:numRef>
          </c:xVal>
          <c:yVal>
            <c:numRef>
              <c:f>Table!$U$50:$U$51</c:f>
              <c:numCache>
                <c:formatCode>0.000</c:formatCode>
                <c:ptCount val="2"/>
                <c:pt idx="0">
                  <c:v>-25.910404624277458</c:v>
                </c:pt>
                <c:pt idx="1">
                  <c:v>25.910404624277454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590-4E85-9D2D-6B98AB09114F}"/>
            </c:ext>
          </c:extLst>
        </c:ser>
        <c:ser>
          <c:idx val="3"/>
          <c:order val="3"/>
          <c:tx>
            <c:v>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Table!$T$52:$T$55</c:f>
              <c:numCache>
                <c:formatCode>0.000</c:formatCode>
                <c:ptCount val="4"/>
                <c:pt idx="0">
                  <c:v>0.47687861271676368</c:v>
                </c:pt>
                <c:pt idx="1">
                  <c:v>13.352601156069362</c:v>
                </c:pt>
                <c:pt idx="2">
                  <c:v>13.352601156069362</c:v>
                </c:pt>
                <c:pt idx="3">
                  <c:v>0.47687861271676368</c:v>
                </c:pt>
              </c:numCache>
            </c:numRef>
          </c:xVal>
          <c:yVal>
            <c:numRef>
              <c:f>Table!$U$52:$U$55</c:f>
              <c:numCache>
                <c:formatCode>0.000</c:formatCode>
                <c:ptCount val="4"/>
                <c:pt idx="0">
                  <c:v>27.5</c:v>
                </c:pt>
                <c:pt idx="1">
                  <c:v>27.5</c:v>
                </c:pt>
                <c:pt idx="2">
                  <c:v>-27.5</c:v>
                </c:pt>
                <c:pt idx="3">
                  <c:v>-27.5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90-4E85-9D2D-6B98AB09114F}"/>
            </c:ext>
          </c:extLst>
        </c:ser>
        <c:ser>
          <c:idx val="4"/>
          <c:order val="4"/>
          <c:tx>
            <c:v>E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Table!$T$56:$T$57</c:f>
              <c:numCache>
                <c:formatCode>0.000</c:formatCode>
                <c:ptCount val="2"/>
                <c:pt idx="0">
                  <c:v>3.8150289017341024</c:v>
                </c:pt>
                <c:pt idx="1">
                  <c:v>3.8150289017341024</c:v>
                </c:pt>
              </c:numCache>
            </c:numRef>
          </c:xVal>
          <c:yVal>
            <c:numRef>
              <c:f>Table!$U$56:$U$57</c:f>
              <c:numCache>
                <c:formatCode>0.000</c:formatCode>
                <c:ptCount val="2"/>
                <c:pt idx="0">
                  <c:v>-27.5</c:v>
                </c:pt>
                <c:pt idx="1">
                  <c:v>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590-4E85-9D2D-6B98AB09114F}"/>
            </c:ext>
          </c:extLst>
        </c:ser>
        <c:ser>
          <c:idx val="5"/>
          <c:order val="5"/>
          <c:tx>
            <c:v>F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Table!$T$58:$T$59</c:f>
              <c:numCache>
                <c:formatCode>0.000</c:formatCode>
                <c:ptCount val="2"/>
                <c:pt idx="0">
                  <c:v>5.72254335260115</c:v>
                </c:pt>
                <c:pt idx="1">
                  <c:v>5.72254335260115</c:v>
                </c:pt>
              </c:numCache>
            </c:numRef>
          </c:xVal>
          <c:yVal>
            <c:numRef>
              <c:f>Table!$U$58:$U$59</c:f>
              <c:numCache>
                <c:formatCode>0.000</c:formatCode>
                <c:ptCount val="2"/>
                <c:pt idx="0">
                  <c:v>-27.5</c:v>
                </c:pt>
                <c:pt idx="1">
                  <c:v>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590-4E85-9D2D-6B98AB091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653016"/>
        <c:axId val="751654000"/>
      </c:scatterChart>
      <c:valAx>
        <c:axId val="751653016"/>
        <c:scaling>
          <c:orientation val="minMax"/>
          <c:max val="30"/>
          <c:min val="-3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crossAx val="751654000"/>
        <c:crosses val="autoZero"/>
        <c:crossBetween val="midCat"/>
        <c:majorUnit val="5"/>
      </c:valAx>
      <c:valAx>
        <c:axId val="751654000"/>
        <c:scaling>
          <c:orientation val="minMax"/>
          <c:max val="30"/>
          <c:min val="-3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crossAx val="751653016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spPr>
            <a:ln w="19050" cap="rnd">
              <a:solidFill>
                <a:schemeClr val="accent1"/>
              </a:solidFill>
              <a:round/>
            </a:ln>
            <a:effectLst>
              <a:glow rad="25400">
                <a:schemeClr val="accent1">
                  <a:satMod val="175000"/>
                  <a:alpha val="40000"/>
                </a:schemeClr>
              </a:glow>
            </a:effectLst>
          </c:spPr>
          <c:marker>
            <c:symbol val="none"/>
          </c:marker>
          <c:xVal>
            <c:numRef>
              <c:f>Table!$S$26:$S$30</c:f>
              <c:numCache>
                <c:formatCode>0.00</c:formatCode>
                <c:ptCount val="5"/>
                <c:pt idx="0">
                  <c:v>-18.07511737089202</c:v>
                </c:pt>
                <c:pt idx="1">
                  <c:v>-18.07511737089202</c:v>
                </c:pt>
                <c:pt idx="2">
                  <c:v>18.07511737089202</c:v>
                </c:pt>
                <c:pt idx="3">
                  <c:v>18.07511737089202</c:v>
                </c:pt>
                <c:pt idx="4">
                  <c:v>-18.07511737089202</c:v>
                </c:pt>
              </c:numCache>
            </c:numRef>
          </c:xVal>
          <c:yVal>
            <c:numRef>
              <c:f>Table!$T$26:$T$30</c:f>
              <c:numCache>
                <c:formatCode>0.00</c:formatCode>
                <c:ptCount val="5"/>
                <c:pt idx="0">
                  <c:v>-44.671361502347416</c:v>
                </c:pt>
                <c:pt idx="1">
                  <c:v>44.671361502347416</c:v>
                </c:pt>
                <c:pt idx="2">
                  <c:v>44.671361502347416</c:v>
                </c:pt>
                <c:pt idx="3">
                  <c:v>-44.671361502347416</c:v>
                </c:pt>
                <c:pt idx="4">
                  <c:v>-44.671361502347416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9D-4223-A2EF-D0945E5E7A0D}"/>
            </c:ext>
          </c:extLst>
        </c:ser>
        <c:ser>
          <c:idx val="0"/>
          <c:order val="1"/>
          <c:tx>
            <c:v>X1Y1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Table!$A$172:$A$192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Table!$B$172:$B$192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9D-4223-A2EF-D0945E5E7A0D}"/>
            </c:ext>
          </c:extLst>
        </c:ser>
        <c:ser>
          <c:idx val="1"/>
          <c:order val="2"/>
          <c:tx>
            <c:v>X2Y1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Table!$C$172:$C$192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Table!$D$172:$D$192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A9D-4223-A2EF-D0945E5E7A0D}"/>
            </c:ext>
          </c:extLst>
        </c:ser>
        <c:ser>
          <c:idx val="2"/>
          <c:order val="3"/>
          <c:tx>
            <c:v>X3Y1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Table!$E$172:$E$192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Table!$F$172:$F$192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A9D-4223-A2EF-D0945E5E7A0D}"/>
            </c:ext>
          </c:extLst>
        </c:ser>
        <c:ser>
          <c:idx val="4"/>
          <c:order val="4"/>
          <c:tx>
            <c:v>X4Y1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Table!$G$172:$G$192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Table!$H$172:$H$192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A9D-4223-A2EF-D0945E5E7A0D}"/>
            </c:ext>
          </c:extLst>
        </c:ser>
        <c:ser>
          <c:idx val="5"/>
          <c:order val="5"/>
          <c:tx>
            <c:v>X5Y1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Table!$I$172:$I$192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Table!$J$172:$J$192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A9D-4223-A2EF-D0945E5E7A0D}"/>
            </c:ext>
          </c:extLst>
        </c:ser>
        <c:ser>
          <c:idx val="6"/>
          <c:order val="6"/>
          <c:tx>
            <c:v>X6Y1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Table!$K$172:$K$192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Table!$L$172:$L$192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A9D-4223-A2EF-D0945E5E7A0D}"/>
            </c:ext>
          </c:extLst>
        </c:ser>
        <c:ser>
          <c:idx val="7"/>
          <c:order val="7"/>
          <c:tx>
            <c:v>X7Y1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Table!$M$172:$M$192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Table!$N$172:$N$192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A9D-4223-A2EF-D0945E5E7A0D}"/>
            </c:ext>
          </c:extLst>
        </c:ser>
        <c:ser>
          <c:idx val="8"/>
          <c:order val="8"/>
          <c:tx>
            <c:v>X8Y1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Table!$O$172:$O$192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Table!$P$172:$P$192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A9D-4223-A2EF-D0945E5E7A0D}"/>
            </c:ext>
          </c:extLst>
        </c:ser>
        <c:ser>
          <c:idx val="9"/>
          <c:order val="9"/>
          <c:tx>
            <c:v>X1Y2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Table!$A$148:$A$168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Table!$B$148:$B$168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A9D-4223-A2EF-D0945E5E7A0D}"/>
            </c:ext>
          </c:extLst>
        </c:ser>
        <c:ser>
          <c:idx val="10"/>
          <c:order val="10"/>
          <c:tx>
            <c:v>X2Y2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Table!$C$148:$C$168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Table!$D$148:$D$168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A9D-4223-A2EF-D0945E5E7A0D}"/>
            </c:ext>
          </c:extLst>
        </c:ser>
        <c:ser>
          <c:idx val="11"/>
          <c:order val="11"/>
          <c:tx>
            <c:v>X3Y2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Table!$E$148:$E$168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Table!$F$148:$F$168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A9D-4223-A2EF-D0945E5E7A0D}"/>
            </c:ext>
          </c:extLst>
        </c:ser>
        <c:ser>
          <c:idx val="12"/>
          <c:order val="12"/>
          <c:tx>
            <c:v>X4Y2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Table!$G$148:$G$168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Table!$H$148:$H$168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A9D-4223-A2EF-D0945E5E7A0D}"/>
            </c:ext>
          </c:extLst>
        </c:ser>
        <c:ser>
          <c:idx val="13"/>
          <c:order val="13"/>
          <c:tx>
            <c:v>X5Y2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Table!$I$148:$I$168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Table!$J$148:$J$168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A9D-4223-A2EF-D0945E5E7A0D}"/>
            </c:ext>
          </c:extLst>
        </c:ser>
        <c:ser>
          <c:idx val="14"/>
          <c:order val="14"/>
          <c:tx>
            <c:v>X6Y2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Table!$K$148:$K$168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Table!$L$148:$L$168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A9D-4223-A2EF-D0945E5E7A0D}"/>
            </c:ext>
          </c:extLst>
        </c:ser>
        <c:ser>
          <c:idx val="15"/>
          <c:order val="15"/>
          <c:tx>
            <c:v>X7Y2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Table!$M$148:$M$168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Table!$N$148:$N$168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A9D-4223-A2EF-D0945E5E7A0D}"/>
            </c:ext>
          </c:extLst>
        </c:ser>
        <c:ser>
          <c:idx val="16"/>
          <c:order val="16"/>
          <c:tx>
            <c:v>X8Y2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Table!$O$148:$O$168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Table!$P$148:$P$168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A9D-4223-A2EF-D0945E5E7A0D}"/>
            </c:ext>
          </c:extLst>
        </c:ser>
        <c:ser>
          <c:idx val="17"/>
          <c:order val="17"/>
          <c:tx>
            <c:v>X1Y3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Table!$A$124:$A$144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Table!$B$124:$B$144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A9D-4223-A2EF-D0945E5E7A0D}"/>
            </c:ext>
          </c:extLst>
        </c:ser>
        <c:ser>
          <c:idx val="18"/>
          <c:order val="18"/>
          <c:tx>
            <c:v>X2Y3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Table!$C$124:$C$144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Table!$D$124:$D$144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A9D-4223-A2EF-D0945E5E7A0D}"/>
            </c:ext>
          </c:extLst>
        </c:ser>
        <c:ser>
          <c:idx val="19"/>
          <c:order val="19"/>
          <c:tx>
            <c:v>X3Y3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Table!$E$124:$E$144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Table!$F$124:$F$144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A9D-4223-A2EF-D0945E5E7A0D}"/>
            </c:ext>
          </c:extLst>
        </c:ser>
        <c:ser>
          <c:idx val="20"/>
          <c:order val="20"/>
          <c:tx>
            <c:v>X4Y3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Table!$G$124:$G$144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Table!$H$124:$H$144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DA9D-4223-A2EF-D0945E5E7A0D}"/>
            </c:ext>
          </c:extLst>
        </c:ser>
        <c:ser>
          <c:idx val="21"/>
          <c:order val="21"/>
          <c:tx>
            <c:v>X5Y3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Table!$I$124:$I$144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Table!$J$124:$J$144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DA9D-4223-A2EF-D0945E5E7A0D}"/>
            </c:ext>
          </c:extLst>
        </c:ser>
        <c:ser>
          <c:idx val="22"/>
          <c:order val="22"/>
          <c:tx>
            <c:v>X6Y3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Table!$K$124:$K$144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Table!$L$124:$L$144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DA9D-4223-A2EF-D0945E5E7A0D}"/>
            </c:ext>
          </c:extLst>
        </c:ser>
        <c:ser>
          <c:idx val="23"/>
          <c:order val="23"/>
          <c:tx>
            <c:v>X7Y3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Table!$M$124:$M$144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Table!$N$124:$N$144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DA9D-4223-A2EF-D0945E5E7A0D}"/>
            </c:ext>
          </c:extLst>
        </c:ser>
        <c:ser>
          <c:idx val="24"/>
          <c:order val="24"/>
          <c:tx>
            <c:v>X8Y3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Table!$O$124:$O$144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Table!$P$124:$P$144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DA9D-4223-A2EF-D0945E5E7A0D}"/>
            </c:ext>
          </c:extLst>
        </c:ser>
        <c:ser>
          <c:idx val="25"/>
          <c:order val="25"/>
          <c:tx>
            <c:v>X1Y4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Table!$A$100:$A$120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Table!$B$100:$B$120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DA9D-4223-A2EF-D0945E5E7A0D}"/>
            </c:ext>
          </c:extLst>
        </c:ser>
        <c:ser>
          <c:idx val="26"/>
          <c:order val="26"/>
          <c:tx>
            <c:v>X2Y4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Table!$C$100:$C$120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Table!$D$100:$D$120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DA9D-4223-A2EF-D0945E5E7A0D}"/>
            </c:ext>
          </c:extLst>
        </c:ser>
        <c:ser>
          <c:idx val="27"/>
          <c:order val="27"/>
          <c:tx>
            <c:v>X3Y4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Table!$E$100:$E$120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Table!$F$100:$F$120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DA9D-4223-A2EF-D0945E5E7A0D}"/>
            </c:ext>
          </c:extLst>
        </c:ser>
        <c:ser>
          <c:idx val="28"/>
          <c:order val="28"/>
          <c:tx>
            <c:v>X4Y4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Table!$G$100:$G$120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Table!$H$100:$H$120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DA9D-4223-A2EF-D0945E5E7A0D}"/>
            </c:ext>
          </c:extLst>
        </c:ser>
        <c:ser>
          <c:idx val="29"/>
          <c:order val="29"/>
          <c:tx>
            <c:v>X5Y4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Table!$I$100:$I$120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Table!$J$100:$J$120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DA9D-4223-A2EF-D0945E5E7A0D}"/>
            </c:ext>
          </c:extLst>
        </c:ser>
        <c:ser>
          <c:idx val="30"/>
          <c:order val="30"/>
          <c:tx>
            <c:v>X6Y4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Table!$K$100:$K$120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Table!$L$100:$L$120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DA9D-4223-A2EF-D0945E5E7A0D}"/>
            </c:ext>
          </c:extLst>
        </c:ser>
        <c:ser>
          <c:idx val="31"/>
          <c:order val="31"/>
          <c:tx>
            <c:v>X7Y4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Table!$M$100:$M$120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Table!$N$100:$N$120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DA9D-4223-A2EF-D0945E5E7A0D}"/>
            </c:ext>
          </c:extLst>
        </c:ser>
        <c:ser>
          <c:idx val="32"/>
          <c:order val="32"/>
          <c:tx>
            <c:v>X8Y4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Table!$O$100:$O$120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Table!$P$100:$P$120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DA9D-4223-A2EF-D0945E5E7A0D}"/>
            </c:ext>
          </c:extLst>
        </c:ser>
        <c:ser>
          <c:idx val="33"/>
          <c:order val="33"/>
          <c:tx>
            <c:v>X1Y5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Table!$A$76:$A$96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Table!$B$76:$B$96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DA9D-4223-A2EF-D0945E5E7A0D}"/>
            </c:ext>
          </c:extLst>
        </c:ser>
        <c:ser>
          <c:idx val="34"/>
          <c:order val="34"/>
          <c:tx>
            <c:v>X2Y5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Table!$C$76:$C$96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Table!$D$76:$D$96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DA9D-4223-A2EF-D0945E5E7A0D}"/>
            </c:ext>
          </c:extLst>
        </c:ser>
        <c:ser>
          <c:idx val="35"/>
          <c:order val="35"/>
          <c:tx>
            <c:v>X3Y5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Table!$E$76:$E$96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Table!$F$76:$F$96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DA9D-4223-A2EF-D0945E5E7A0D}"/>
            </c:ext>
          </c:extLst>
        </c:ser>
        <c:ser>
          <c:idx val="36"/>
          <c:order val="36"/>
          <c:tx>
            <c:v>X4Y5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Table!$G$76:$G$96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Table!$H$76:$H$96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DA9D-4223-A2EF-D0945E5E7A0D}"/>
            </c:ext>
          </c:extLst>
        </c:ser>
        <c:ser>
          <c:idx val="37"/>
          <c:order val="37"/>
          <c:tx>
            <c:v>X5Y5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Table!$I$76:$I$96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Table!$J$76:$J$96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DA9D-4223-A2EF-D0945E5E7A0D}"/>
            </c:ext>
          </c:extLst>
        </c:ser>
        <c:ser>
          <c:idx val="38"/>
          <c:order val="38"/>
          <c:tx>
            <c:v>X6Y5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Table!$K$76:$K$96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Table!$L$76:$L$96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DA9D-4223-A2EF-D0945E5E7A0D}"/>
            </c:ext>
          </c:extLst>
        </c:ser>
        <c:ser>
          <c:idx val="39"/>
          <c:order val="39"/>
          <c:tx>
            <c:v>X7Y5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Table!$M$76:$M$96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Table!$N$76:$N$96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DA9D-4223-A2EF-D0945E5E7A0D}"/>
            </c:ext>
          </c:extLst>
        </c:ser>
        <c:ser>
          <c:idx val="40"/>
          <c:order val="40"/>
          <c:tx>
            <c:v>X8Y5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Table!$O$76:$O$96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Table!$P$76:$P$96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DA9D-4223-A2EF-D0945E5E7A0D}"/>
            </c:ext>
          </c:extLst>
        </c:ser>
        <c:ser>
          <c:idx val="41"/>
          <c:order val="41"/>
          <c:tx>
            <c:v>X1Y6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Table!$A$52:$A$72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Table!$B$52:$B$72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DA9D-4223-A2EF-D0945E5E7A0D}"/>
            </c:ext>
          </c:extLst>
        </c:ser>
        <c:ser>
          <c:idx val="42"/>
          <c:order val="42"/>
          <c:tx>
            <c:v>X2Y6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Table!$C$52:$C$72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Table!$D$52:$D$72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DA9D-4223-A2EF-D0945E5E7A0D}"/>
            </c:ext>
          </c:extLst>
        </c:ser>
        <c:ser>
          <c:idx val="43"/>
          <c:order val="43"/>
          <c:tx>
            <c:v>X3Y6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Table!$E$52:$E$72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Table!$F$52:$F$72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DA9D-4223-A2EF-D0945E5E7A0D}"/>
            </c:ext>
          </c:extLst>
        </c:ser>
        <c:ser>
          <c:idx val="44"/>
          <c:order val="44"/>
          <c:tx>
            <c:v>X4Y6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Table!$G$52:$G$72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Table!$H$52:$H$72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DA9D-4223-A2EF-D0945E5E7A0D}"/>
            </c:ext>
          </c:extLst>
        </c:ser>
        <c:ser>
          <c:idx val="45"/>
          <c:order val="45"/>
          <c:tx>
            <c:v>X5Y6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Table!$I$52:$I$72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Table!$J$52:$J$72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DA9D-4223-A2EF-D0945E5E7A0D}"/>
            </c:ext>
          </c:extLst>
        </c:ser>
        <c:ser>
          <c:idx val="46"/>
          <c:order val="46"/>
          <c:tx>
            <c:v>X6Y6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Table!$K$52:$K$72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Table!$L$52:$L$72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DA9D-4223-A2EF-D0945E5E7A0D}"/>
            </c:ext>
          </c:extLst>
        </c:ser>
        <c:ser>
          <c:idx val="47"/>
          <c:order val="47"/>
          <c:tx>
            <c:v>X7Y6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Table!$M$52:$M$72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Table!$N$52:$N$72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DA9D-4223-A2EF-D0945E5E7A0D}"/>
            </c:ext>
          </c:extLst>
        </c:ser>
        <c:ser>
          <c:idx val="48"/>
          <c:order val="48"/>
          <c:tx>
            <c:v>X8Y6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Table!$O$52:$O$72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Table!$P$52:$P$72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DA9D-4223-A2EF-D0945E5E7A0D}"/>
            </c:ext>
          </c:extLst>
        </c:ser>
        <c:ser>
          <c:idx val="49"/>
          <c:order val="49"/>
          <c:tx>
            <c:v>X1Y7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Table!$A$28:$A$48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Table!$B$28:$B$48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DA9D-4223-A2EF-D0945E5E7A0D}"/>
            </c:ext>
          </c:extLst>
        </c:ser>
        <c:ser>
          <c:idx val="50"/>
          <c:order val="50"/>
          <c:tx>
            <c:v>X2Y7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Table!$C$28:$C$48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Table!$D$28:$D$48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DA9D-4223-A2EF-D0945E5E7A0D}"/>
            </c:ext>
          </c:extLst>
        </c:ser>
        <c:ser>
          <c:idx val="51"/>
          <c:order val="51"/>
          <c:tx>
            <c:v>X3Y7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Table!$E$28:$E$48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Table!$F$28:$F$48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DA9D-4223-A2EF-D0945E5E7A0D}"/>
            </c:ext>
          </c:extLst>
        </c:ser>
        <c:ser>
          <c:idx val="52"/>
          <c:order val="52"/>
          <c:tx>
            <c:v>X4Y7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Table!$G$28:$G$48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Table!$H$28:$H$48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DA9D-4223-A2EF-D0945E5E7A0D}"/>
            </c:ext>
          </c:extLst>
        </c:ser>
        <c:ser>
          <c:idx val="53"/>
          <c:order val="53"/>
          <c:tx>
            <c:v>X5Y7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Table!$I$28:$I$48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Table!$J$28:$J$48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DA9D-4223-A2EF-D0945E5E7A0D}"/>
            </c:ext>
          </c:extLst>
        </c:ser>
        <c:ser>
          <c:idx val="54"/>
          <c:order val="54"/>
          <c:tx>
            <c:v>X6Y7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Table!$K$28:$K$48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Table!$L$28:$L$48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DA9D-4223-A2EF-D0945E5E7A0D}"/>
            </c:ext>
          </c:extLst>
        </c:ser>
        <c:ser>
          <c:idx val="55"/>
          <c:order val="55"/>
          <c:tx>
            <c:v>X7Y7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Table!$M$28:$M$48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Table!$N$28:$N$48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DA9D-4223-A2EF-D0945E5E7A0D}"/>
            </c:ext>
          </c:extLst>
        </c:ser>
        <c:ser>
          <c:idx val="56"/>
          <c:order val="56"/>
          <c:tx>
            <c:v>X8Y7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Table!$O$28:$O$48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Table!$P$28:$P$48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DA9D-4223-A2EF-D0945E5E7A0D}"/>
            </c:ext>
          </c:extLst>
        </c:ser>
        <c:ser>
          <c:idx val="57"/>
          <c:order val="57"/>
          <c:tx>
            <c:v>X1Y8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Table!$A$4:$A$24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Table!$B$4:$B$24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DA9D-4223-A2EF-D0945E5E7A0D}"/>
            </c:ext>
          </c:extLst>
        </c:ser>
        <c:ser>
          <c:idx val="58"/>
          <c:order val="58"/>
          <c:tx>
            <c:v>X2Y8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Table!$C$4:$C$24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Table!$D$4:$D$24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DA9D-4223-A2EF-D0945E5E7A0D}"/>
            </c:ext>
          </c:extLst>
        </c:ser>
        <c:ser>
          <c:idx val="59"/>
          <c:order val="59"/>
          <c:tx>
            <c:v>X3Y8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Table!$E$4:$E$24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Table!$F$4:$F$24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DA9D-4223-A2EF-D0945E5E7A0D}"/>
            </c:ext>
          </c:extLst>
        </c:ser>
        <c:ser>
          <c:idx val="60"/>
          <c:order val="60"/>
          <c:tx>
            <c:v>X4Y8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Table!$G$4:$G$24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Table!$H$4:$H$24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DA9D-4223-A2EF-D0945E5E7A0D}"/>
            </c:ext>
          </c:extLst>
        </c:ser>
        <c:ser>
          <c:idx val="61"/>
          <c:order val="61"/>
          <c:tx>
            <c:v>X5Y8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Table!$I$4:$I$24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Table!$J$4:$J$24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DA9D-4223-A2EF-D0945E5E7A0D}"/>
            </c:ext>
          </c:extLst>
        </c:ser>
        <c:ser>
          <c:idx val="62"/>
          <c:order val="62"/>
          <c:tx>
            <c:v>X6Y8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Table!$K$4:$K$24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Table!$L$4:$L$24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DA9D-4223-A2EF-D0945E5E7A0D}"/>
            </c:ext>
          </c:extLst>
        </c:ser>
        <c:ser>
          <c:idx val="63"/>
          <c:order val="63"/>
          <c:tx>
            <c:v>X7Y8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Table!$M$4:$M$24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Table!$N$4:$N$24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DA9D-4223-A2EF-D0945E5E7A0D}"/>
            </c:ext>
          </c:extLst>
        </c:ser>
        <c:ser>
          <c:idx val="64"/>
          <c:order val="64"/>
          <c:tx>
            <c:v>X8Y8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Table!$O$4:$O$24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Table!$P$4:$P$24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DA9D-4223-A2EF-D0945E5E7A0D}"/>
            </c:ext>
          </c:extLst>
        </c:ser>
        <c:ser>
          <c:idx val="65"/>
          <c:order val="65"/>
          <c:spPr>
            <a:ln w="158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Table!$S$31:$S$32</c:f>
              <c:numCache>
                <c:formatCode>0.00</c:formatCode>
                <c:ptCount val="2"/>
                <c:pt idx="0">
                  <c:v>-28.4037558685446</c:v>
                </c:pt>
                <c:pt idx="1">
                  <c:v>28.4037558685446</c:v>
                </c:pt>
              </c:numCache>
            </c:numRef>
          </c:xVal>
          <c:yVal>
            <c:numRef>
              <c:f>Table!$T$31:$T$32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DA9D-4223-A2EF-D0945E5E7A0D}"/>
            </c:ext>
          </c:extLst>
        </c:ser>
        <c:ser>
          <c:idx val="66"/>
          <c:order val="66"/>
          <c:spPr>
            <a:ln w="158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Table!$S$33:$S$34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Table!$T$33:$T$34</c:f>
              <c:numCache>
                <c:formatCode>0.00</c:formatCode>
                <c:ptCount val="2"/>
                <c:pt idx="0">
                  <c:v>-55</c:v>
                </c:pt>
                <c:pt idx="1">
                  <c:v>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DA9D-4223-A2EF-D0945E5E7A0D}"/>
            </c:ext>
          </c:extLst>
        </c:ser>
        <c:ser>
          <c:idx val="67"/>
          <c:order val="67"/>
          <c:tx>
            <c:v>A</c:v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Table!$X$39:$X$47</c:f>
              <c:numCache>
                <c:formatCode>0.000</c:formatCode>
                <c:ptCount val="9"/>
                <c:pt idx="0">
                  <c:v>-25.305164319248821</c:v>
                </c:pt>
                <c:pt idx="1">
                  <c:v>-25.305164319248821</c:v>
                </c:pt>
                <c:pt idx="2">
                  <c:v>-4.6478873239436549</c:v>
                </c:pt>
                <c:pt idx="3">
                  <c:v>-4.6478873239436549</c:v>
                </c:pt>
                <c:pt idx="4">
                  <c:v>-25.305164319248821</c:v>
                </c:pt>
                <c:pt idx="5">
                  <c:v>-25.305164319248821</c:v>
                </c:pt>
                <c:pt idx="6">
                  <c:v>-2.8403755868544547</c:v>
                </c:pt>
                <c:pt idx="7">
                  <c:v>-2.8403755868544547</c:v>
                </c:pt>
                <c:pt idx="8">
                  <c:v>-25.305164319248821</c:v>
                </c:pt>
              </c:numCache>
            </c:numRef>
          </c:xVal>
          <c:yVal>
            <c:numRef>
              <c:f>Table!$Y$39:$Y$47</c:f>
              <c:numCache>
                <c:formatCode>0.000</c:formatCode>
                <c:ptCount val="9"/>
                <c:pt idx="0">
                  <c:v>-44.671361502347416</c:v>
                </c:pt>
                <c:pt idx="1">
                  <c:v>-42.089201877934272</c:v>
                </c:pt>
                <c:pt idx="2">
                  <c:v>-42.089201877934272</c:v>
                </c:pt>
                <c:pt idx="3">
                  <c:v>42.089201877934272</c:v>
                </c:pt>
                <c:pt idx="4">
                  <c:v>42.089201877934272</c:v>
                </c:pt>
                <c:pt idx="5">
                  <c:v>44.671361502347416</c:v>
                </c:pt>
                <c:pt idx="6">
                  <c:v>44.671361502347416</c:v>
                </c:pt>
                <c:pt idx="7">
                  <c:v>-44.671361502347416</c:v>
                </c:pt>
                <c:pt idx="8">
                  <c:v>-44.671361502347416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DA9D-4223-A2EF-D0945E5E7A0D}"/>
            </c:ext>
          </c:extLst>
        </c:ser>
        <c:ser>
          <c:idx val="68"/>
          <c:order val="68"/>
          <c:tx>
            <c:v>C</c:v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Table!$X$50:$X$51</c:f>
              <c:numCache>
                <c:formatCode>0.000</c:formatCode>
                <c:ptCount val="2"/>
                <c:pt idx="0">
                  <c:v>-5.6807511737089129</c:v>
                </c:pt>
                <c:pt idx="1">
                  <c:v>-5.6807511737089129</c:v>
                </c:pt>
              </c:numCache>
            </c:numRef>
          </c:xVal>
          <c:yVal>
            <c:numRef>
              <c:f>Table!$Y$50:$Y$51</c:f>
              <c:numCache>
                <c:formatCode>0.000</c:formatCode>
                <c:ptCount val="2"/>
                <c:pt idx="0">
                  <c:v>-42.089201877934272</c:v>
                </c:pt>
                <c:pt idx="1">
                  <c:v>42.089201877934272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DA9D-4223-A2EF-D0945E5E7A0D}"/>
            </c:ext>
          </c:extLst>
        </c:ser>
        <c:ser>
          <c:idx val="69"/>
          <c:order val="69"/>
          <c:tx>
            <c:v>E</c:v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Table!$X$56:$X$57</c:f>
              <c:numCache>
                <c:formatCode>0.000</c:formatCode>
                <c:ptCount val="2"/>
                <c:pt idx="0">
                  <c:v>2.5821596244131455</c:v>
                </c:pt>
                <c:pt idx="1">
                  <c:v>2.5821596244131455</c:v>
                </c:pt>
              </c:numCache>
            </c:numRef>
          </c:xVal>
          <c:yVal>
            <c:numRef>
              <c:f>Table!$Y$56:$Y$57</c:f>
              <c:numCache>
                <c:formatCode>0.000</c:formatCode>
                <c:ptCount val="2"/>
                <c:pt idx="0">
                  <c:v>-44.671361502347416</c:v>
                </c:pt>
                <c:pt idx="1">
                  <c:v>44.671361502347416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DA9D-4223-A2EF-D0945E5E7A0D}"/>
            </c:ext>
          </c:extLst>
        </c:ser>
        <c:ser>
          <c:idx val="70"/>
          <c:order val="70"/>
          <c:tx>
            <c:v>F</c:v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Table!$X$58:$X$59</c:f>
              <c:numCache>
                <c:formatCode>0.000</c:formatCode>
                <c:ptCount val="2"/>
                <c:pt idx="0">
                  <c:v>5.6807511737089182</c:v>
                </c:pt>
                <c:pt idx="1">
                  <c:v>5.6807511737089182</c:v>
                </c:pt>
              </c:numCache>
            </c:numRef>
          </c:xVal>
          <c:yVal>
            <c:numRef>
              <c:f>Table!$Y$58:$Y$59</c:f>
              <c:numCache>
                <c:formatCode>0.000</c:formatCode>
                <c:ptCount val="2"/>
                <c:pt idx="0">
                  <c:v>-44.671361502347416</c:v>
                </c:pt>
                <c:pt idx="1">
                  <c:v>44.671361502347416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DA9D-4223-A2EF-D0945E5E7A0D}"/>
            </c:ext>
          </c:extLst>
        </c:ser>
        <c:ser>
          <c:idx val="71"/>
          <c:order val="71"/>
          <c:tx>
            <c:v>B</c:v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Table!$X$48:$X$49</c:f>
              <c:numCache>
                <c:formatCode>0.000</c:formatCode>
                <c:ptCount val="2"/>
                <c:pt idx="0">
                  <c:v>-18.075117370892013</c:v>
                </c:pt>
                <c:pt idx="1">
                  <c:v>-18.075117370892013</c:v>
                </c:pt>
              </c:numCache>
            </c:numRef>
          </c:xVal>
          <c:yVal>
            <c:numRef>
              <c:f>Table!$Y$48:$Y$49</c:f>
              <c:numCache>
                <c:formatCode>0.000</c:formatCode>
                <c:ptCount val="2"/>
                <c:pt idx="0">
                  <c:v>-42.089201877934272</c:v>
                </c:pt>
                <c:pt idx="1">
                  <c:v>42.089201877934272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DA9D-4223-A2EF-D0945E5E7A0D}"/>
            </c:ext>
          </c:extLst>
        </c:ser>
        <c:ser>
          <c:idx val="72"/>
          <c:order val="72"/>
          <c:tx>
            <c:v>D</c:v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Table!$X$52:$X$55</c:f>
              <c:numCache>
                <c:formatCode>0.000</c:formatCode>
                <c:ptCount val="4"/>
                <c:pt idx="0">
                  <c:v>-2.8403755868544547</c:v>
                </c:pt>
                <c:pt idx="1">
                  <c:v>18.07511737089202</c:v>
                </c:pt>
                <c:pt idx="2">
                  <c:v>18.07511737089202</c:v>
                </c:pt>
                <c:pt idx="3">
                  <c:v>-2.8403755868544547</c:v>
                </c:pt>
              </c:numCache>
            </c:numRef>
          </c:xVal>
          <c:yVal>
            <c:numRef>
              <c:f>Table!$Y$52:$Y$55</c:f>
              <c:numCache>
                <c:formatCode>0.000</c:formatCode>
                <c:ptCount val="4"/>
                <c:pt idx="0">
                  <c:v>44.671361502347416</c:v>
                </c:pt>
                <c:pt idx="1">
                  <c:v>44.671361502347416</c:v>
                </c:pt>
                <c:pt idx="2">
                  <c:v>-44.671361502347416</c:v>
                </c:pt>
                <c:pt idx="3">
                  <c:v>-44.671361502347416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DA9D-4223-A2EF-D0945E5E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746800"/>
        <c:axId val="721747128"/>
      </c:scatterChart>
      <c:valAx>
        <c:axId val="721746800"/>
        <c:scaling>
          <c:orientation val="minMax"/>
          <c:max val="60"/>
          <c:min val="-60"/>
        </c:scaling>
        <c:delete val="1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721747128"/>
        <c:crosses val="autoZero"/>
        <c:crossBetween val="midCat"/>
        <c:majorUnit val="5"/>
      </c:valAx>
      <c:valAx>
        <c:axId val="721747128"/>
        <c:scaling>
          <c:orientation val="minMax"/>
          <c:max val="60"/>
          <c:min val="-6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721746800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Periode Fundamental</a:t>
            </a:r>
            <a:r>
              <a:rPr lang="en-US" baseline="0"/>
              <a:t> &amp; Koefisien Respon Gempa Elastik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Csm - Batuan Keras (SA)</c:v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'Respon Spektrum'!$B$51:$B$80</c:f>
              <c:numCache>
                <c:formatCode>0.00</c:formatCode>
                <c:ptCount val="30"/>
                <c:pt idx="0">
                  <c:v>0</c:v>
                </c:pt>
                <c:pt idx="1">
                  <c:v>8.3333333333333343E-2</c:v>
                </c:pt>
                <c:pt idx="2">
                  <c:v>0.41666666666666669</c:v>
                </c:pt>
                <c:pt idx="3">
                  <c:v>0.77160493827160437</c:v>
                </c:pt>
                <c:pt idx="4">
                  <c:v>1.1265432098765427</c:v>
                </c:pt>
                <c:pt idx="5">
                  <c:v>1.481481481481481</c:v>
                </c:pt>
                <c:pt idx="6">
                  <c:v>1.8364197530864192</c:v>
                </c:pt>
                <c:pt idx="7">
                  <c:v>2.1913580246913575</c:v>
                </c:pt>
                <c:pt idx="8">
                  <c:v>2.5462962962962958</c:v>
                </c:pt>
                <c:pt idx="9">
                  <c:v>2.9012345679012341</c:v>
                </c:pt>
                <c:pt idx="10">
                  <c:v>3.2561728395061724</c:v>
                </c:pt>
                <c:pt idx="11">
                  <c:v>3.6111111111111107</c:v>
                </c:pt>
                <c:pt idx="12">
                  <c:v>3.966049382716049</c:v>
                </c:pt>
                <c:pt idx="13">
                  <c:v>4.3209876543209873</c:v>
                </c:pt>
                <c:pt idx="14">
                  <c:v>4.6759259259259256</c:v>
                </c:pt>
                <c:pt idx="15">
                  <c:v>5.0308641975308639</c:v>
                </c:pt>
                <c:pt idx="16">
                  <c:v>5.3858024691358022</c:v>
                </c:pt>
                <c:pt idx="17">
                  <c:v>5.7407407407407405</c:v>
                </c:pt>
                <c:pt idx="18">
                  <c:v>6.0956790123456788</c:v>
                </c:pt>
                <c:pt idx="19">
                  <c:v>6.4506172839506171</c:v>
                </c:pt>
                <c:pt idx="20">
                  <c:v>6.8055555555555554</c:v>
                </c:pt>
                <c:pt idx="21">
                  <c:v>7.1604938271604937</c:v>
                </c:pt>
                <c:pt idx="22">
                  <c:v>7.5154320987654319</c:v>
                </c:pt>
                <c:pt idx="23">
                  <c:v>7.8703703703703702</c:v>
                </c:pt>
                <c:pt idx="24">
                  <c:v>8.2253086419753085</c:v>
                </c:pt>
                <c:pt idx="25">
                  <c:v>8.5802469135802468</c:v>
                </c:pt>
                <c:pt idx="26">
                  <c:v>8.5802469135802468</c:v>
                </c:pt>
                <c:pt idx="27">
                  <c:v>9.2901234567901234</c:v>
                </c:pt>
                <c:pt idx="28">
                  <c:v>9.6450617283950617</c:v>
                </c:pt>
                <c:pt idx="29">
                  <c:v>10</c:v>
                </c:pt>
              </c:numCache>
            </c:numRef>
          </c:xVal>
          <c:yVal>
            <c:numRef>
              <c:f>'Respon Spektrum'!$C$51:$C$80</c:f>
              <c:numCache>
                <c:formatCode>0.000</c:formatCode>
                <c:ptCount val="30"/>
                <c:pt idx="0">
                  <c:v>0.24</c:v>
                </c:pt>
                <c:pt idx="1">
                  <c:v>0.48</c:v>
                </c:pt>
                <c:pt idx="2">
                  <c:v>0.48</c:v>
                </c:pt>
                <c:pt idx="3">
                  <c:v>0.25920000000000021</c:v>
                </c:pt>
                <c:pt idx="4">
                  <c:v>0.17753424657534256</c:v>
                </c:pt>
                <c:pt idx="5">
                  <c:v>0.13500000000000006</c:v>
                </c:pt>
                <c:pt idx="6">
                  <c:v>0.10890756302521012</c:v>
                </c:pt>
                <c:pt idx="7">
                  <c:v>9.1267605633802845E-2</c:v>
                </c:pt>
                <c:pt idx="8">
                  <c:v>7.8545454545454557E-2</c:v>
                </c:pt>
                <c:pt idx="9">
                  <c:v>6.8936170212765976E-2</c:v>
                </c:pt>
                <c:pt idx="10">
                  <c:v>6.1421800947867311E-2</c:v>
                </c:pt>
                <c:pt idx="11">
                  <c:v>5.5384615384615393E-2</c:v>
                </c:pt>
                <c:pt idx="12">
                  <c:v>5.0428015564202344E-2</c:v>
                </c:pt>
                <c:pt idx="13">
                  <c:v>4.6285714285714291E-2</c:v>
                </c:pt>
                <c:pt idx="14">
                  <c:v>4.2772277227722776E-2</c:v>
                </c:pt>
                <c:pt idx="15">
                  <c:v>3.9754601226993869E-2</c:v>
                </c:pt>
                <c:pt idx="16">
                  <c:v>3.7134670487106024E-2</c:v>
                </c:pt>
                <c:pt idx="17">
                  <c:v>3.4838709677419359E-2</c:v>
                </c:pt>
                <c:pt idx="18">
                  <c:v>3.2810126582278484E-2</c:v>
                </c:pt>
                <c:pt idx="19">
                  <c:v>3.1004784688995219E-2</c:v>
                </c:pt>
                <c:pt idx="20">
                  <c:v>2.9387755102040818E-2</c:v>
                </c:pt>
                <c:pt idx="21">
                  <c:v>2.7931034482758622E-2</c:v>
                </c:pt>
                <c:pt idx="22">
                  <c:v>2.6611909650924026E-2</c:v>
                </c:pt>
                <c:pt idx="23">
                  <c:v>2.5411764705882356E-2</c:v>
                </c:pt>
                <c:pt idx="24">
                  <c:v>2.4315196998123827E-2</c:v>
                </c:pt>
                <c:pt idx="25">
                  <c:v>2.3309352517985615E-2</c:v>
                </c:pt>
                <c:pt idx="26">
                  <c:v>2.3309352517985615E-2</c:v>
                </c:pt>
                <c:pt idx="27">
                  <c:v>2.1528239202657808E-2</c:v>
                </c:pt>
                <c:pt idx="28">
                  <c:v>2.0736000000000001E-2</c:v>
                </c:pt>
                <c:pt idx="29">
                  <c:v>0.02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26-4651-8E86-7405CF26B3CC}"/>
            </c:ext>
          </c:extLst>
        </c:ser>
        <c:ser>
          <c:idx val="3"/>
          <c:order val="1"/>
          <c:tx>
            <c:v>Csm - Batuan (SB)</c:v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'Respon Spektrum'!$D$51:$D$80</c:f>
              <c:numCache>
                <c:formatCode>0.00</c:formatCode>
                <c:ptCount val="30"/>
                <c:pt idx="0">
                  <c:v>0</c:v>
                </c:pt>
                <c:pt idx="1">
                  <c:v>8.3333333333333343E-2</c:v>
                </c:pt>
                <c:pt idx="2">
                  <c:v>0.41666666666666669</c:v>
                </c:pt>
                <c:pt idx="3">
                  <c:v>0.77160493827160437</c:v>
                </c:pt>
                <c:pt idx="4">
                  <c:v>1.1265432098765427</c:v>
                </c:pt>
                <c:pt idx="5">
                  <c:v>1.481481481481481</c:v>
                </c:pt>
                <c:pt idx="6">
                  <c:v>1.8364197530864192</c:v>
                </c:pt>
                <c:pt idx="7">
                  <c:v>2.1913580246913575</c:v>
                </c:pt>
                <c:pt idx="8">
                  <c:v>2.5462962962962958</c:v>
                </c:pt>
                <c:pt idx="9">
                  <c:v>2.9012345679012341</c:v>
                </c:pt>
                <c:pt idx="10">
                  <c:v>3.2561728395061724</c:v>
                </c:pt>
                <c:pt idx="11">
                  <c:v>3.6111111111111107</c:v>
                </c:pt>
                <c:pt idx="12">
                  <c:v>3.966049382716049</c:v>
                </c:pt>
                <c:pt idx="13">
                  <c:v>4.3209876543209873</c:v>
                </c:pt>
                <c:pt idx="14">
                  <c:v>4.6759259259259256</c:v>
                </c:pt>
                <c:pt idx="15">
                  <c:v>5.0308641975308639</c:v>
                </c:pt>
                <c:pt idx="16">
                  <c:v>5.3858024691358022</c:v>
                </c:pt>
                <c:pt idx="17">
                  <c:v>5.7407407407407405</c:v>
                </c:pt>
                <c:pt idx="18">
                  <c:v>6.0956790123456788</c:v>
                </c:pt>
                <c:pt idx="19">
                  <c:v>6.4506172839506171</c:v>
                </c:pt>
                <c:pt idx="20">
                  <c:v>6.8055555555555554</c:v>
                </c:pt>
                <c:pt idx="21">
                  <c:v>7.1604938271604937</c:v>
                </c:pt>
                <c:pt idx="22">
                  <c:v>7.5154320987654319</c:v>
                </c:pt>
                <c:pt idx="23">
                  <c:v>7.8703703703703702</c:v>
                </c:pt>
                <c:pt idx="24">
                  <c:v>8.2253086419753085</c:v>
                </c:pt>
                <c:pt idx="25">
                  <c:v>8.5802469135802468</c:v>
                </c:pt>
                <c:pt idx="26">
                  <c:v>8.9351851851851851</c:v>
                </c:pt>
                <c:pt idx="27">
                  <c:v>9.2901234567901234</c:v>
                </c:pt>
                <c:pt idx="28">
                  <c:v>9.6450617283950617</c:v>
                </c:pt>
                <c:pt idx="29">
                  <c:v>10</c:v>
                </c:pt>
              </c:numCache>
            </c:numRef>
          </c:xVal>
          <c:yVal>
            <c:numRef>
              <c:f>'Respon Spektrum'!$E$51:$E$80</c:f>
              <c:numCache>
                <c:formatCode>0.000</c:formatCode>
                <c:ptCount val="30"/>
                <c:pt idx="0">
                  <c:v>0.3</c:v>
                </c:pt>
                <c:pt idx="1">
                  <c:v>0.6</c:v>
                </c:pt>
                <c:pt idx="2">
                  <c:v>0.6</c:v>
                </c:pt>
                <c:pt idx="3">
                  <c:v>0.32400000000000023</c:v>
                </c:pt>
                <c:pt idx="4">
                  <c:v>0.2219178082191782</c:v>
                </c:pt>
                <c:pt idx="5">
                  <c:v>0.16875000000000007</c:v>
                </c:pt>
                <c:pt idx="6">
                  <c:v>0.13613445378151265</c:v>
                </c:pt>
                <c:pt idx="7">
                  <c:v>0.11408450704225355</c:v>
                </c:pt>
                <c:pt idx="8">
                  <c:v>9.8181818181818203E-2</c:v>
                </c:pt>
                <c:pt idx="9">
                  <c:v>8.617021276595746E-2</c:v>
                </c:pt>
                <c:pt idx="10">
                  <c:v>7.6777251184834139E-2</c:v>
                </c:pt>
                <c:pt idx="11">
                  <c:v>6.9230769230769235E-2</c:v>
                </c:pt>
                <c:pt idx="12">
                  <c:v>6.303501945525293E-2</c:v>
                </c:pt>
                <c:pt idx="13">
                  <c:v>5.7857142857142864E-2</c:v>
                </c:pt>
                <c:pt idx="14">
                  <c:v>5.3465346534653471E-2</c:v>
                </c:pt>
                <c:pt idx="15">
                  <c:v>4.9693251533742336E-2</c:v>
                </c:pt>
                <c:pt idx="16">
                  <c:v>4.6418338108882524E-2</c:v>
                </c:pt>
                <c:pt idx="17">
                  <c:v>4.3548387096774194E-2</c:v>
                </c:pt>
                <c:pt idx="18">
                  <c:v>4.1012658227848102E-2</c:v>
                </c:pt>
                <c:pt idx="19">
                  <c:v>3.8755980861244023E-2</c:v>
                </c:pt>
                <c:pt idx="20">
                  <c:v>3.6734693877551024E-2</c:v>
                </c:pt>
                <c:pt idx="21">
                  <c:v>3.4913793103448276E-2</c:v>
                </c:pt>
                <c:pt idx="22">
                  <c:v>3.3264887063655033E-2</c:v>
                </c:pt>
                <c:pt idx="23">
                  <c:v>3.1764705882352945E-2</c:v>
                </c:pt>
                <c:pt idx="24">
                  <c:v>3.0393996247654785E-2</c:v>
                </c:pt>
                <c:pt idx="25">
                  <c:v>2.9136690647482016E-2</c:v>
                </c:pt>
                <c:pt idx="26">
                  <c:v>2.7979274611398965E-2</c:v>
                </c:pt>
                <c:pt idx="27">
                  <c:v>2.6910299003322258E-2</c:v>
                </c:pt>
                <c:pt idx="28">
                  <c:v>2.5919999999999999E-2</c:v>
                </c:pt>
                <c:pt idx="29">
                  <c:v>2.5000000000000001E-2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26-4651-8E86-7405CF26B3CC}"/>
            </c:ext>
          </c:extLst>
        </c:ser>
        <c:ser>
          <c:idx val="4"/>
          <c:order val="2"/>
          <c:tx>
            <c:v>Csm - Tanah Keras (SC)</c:v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'Respon Spektrum'!$F$51:$F$80</c:f>
              <c:numCache>
                <c:formatCode>0.00</c:formatCode>
                <c:ptCount val="30"/>
                <c:pt idx="0">
                  <c:v>0</c:v>
                </c:pt>
                <c:pt idx="1">
                  <c:v>0.10833333333333334</c:v>
                </c:pt>
                <c:pt idx="2">
                  <c:v>0.54166666666666663</c:v>
                </c:pt>
                <c:pt idx="3">
                  <c:v>0.89197530864197461</c:v>
                </c:pt>
                <c:pt idx="4">
                  <c:v>1.2422839506172831</c:v>
                </c:pt>
                <c:pt idx="5">
                  <c:v>1.5925925925925917</c:v>
                </c:pt>
                <c:pt idx="6">
                  <c:v>1.9429012345679002</c:v>
                </c:pt>
                <c:pt idx="7">
                  <c:v>2.2932098765432096</c:v>
                </c:pt>
                <c:pt idx="8">
                  <c:v>2.6435185185185182</c:v>
                </c:pt>
                <c:pt idx="9">
                  <c:v>2.9938271604938267</c:v>
                </c:pt>
                <c:pt idx="10">
                  <c:v>3.3441358024691352</c:v>
                </c:pt>
                <c:pt idx="11">
                  <c:v>3.6944444444444446</c:v>
                </c:pt>
                <c:pt idx="12">
                  <c:v>4.0447530864197523</c:v>
                </c:pt>
                <c:pt idx="13">
                  <c:v>4.3950617283950617</c:v>
                </c:pt>
                <c:pt idx="14">
                  <c:v>4.7453703703703702</c:v>
                </c:pt>
                <c:pt idx="15">
                  <c:v>5.0956790123456788</c:v>
                </c:pt>
                <c:pt idx="16">
                  <c:v>5.4459876543209873</c:v>
                </c:pt>
                <c:pt idx="17">
                  <c:v>5.7962962962962958</c:v>
                </c:pt>
                <c:pt idx="18">
                  <c:v>6.1466049382716044</c:v>
                </c:pt>
                <c:pt idx="19">
                  <c:v>6.4969135802469129</c:v>
                </c:pt>
                <c:pt idx="20">
                  <c:v>6.8472222222222223</c:v>
                </c:pt>
                <c:pt idx="21">
                  <c:v>7.1975308641975309</c:v>
                </c:pt>
                <c:pt idx="22">
                  <c:v>7.5478395061728394</c:v>
                </c:pt>
                <c:pt idx="23">
                  <c:v>7.8981481481481479</c:v>
                </c:pt>
                <c:pt idx="24">
                  <c:v>8.2484567901234573</c:v>
                </c:pt>
                <c:pt idx="25">
                  <c:v>8.5987654320987659</c:v>
                </c:pt>
                <c:pt idx="26">
                  <c:v>8.9490740740740744</c:v>
                </c:pt>
                <c:pt idx="27">
                  <c:v>9.2993827160493829</c:v>
                </c:pt>
                <c:pt idx="28">
                  <c:v>9.6496913580246915</c:v>
                </c:pt>
                <c:pt idx="29">
                  <c:v>10</c:v>
                </c:pt>
              </c:numCache>
            </c:numRef>
          </c:xVal>
          <c:yVal>
            <c:numRef>
              <c:f>'Respon Spektrum'!$G$51:$G$80</c:f>
              <c:numCache>
                <c:formatCode>0.000</c:formatCode>
                <c:ptCount val="30"/>
                <c:pt idx="0">
                  <c:v>0.33</c:v>
                </c:pt>
                <c:pt idx="1">
                  <c:v>0.6</c:v>
                </c:pt>
                <c:pt idx="2">
                  <c:v>0.6</c:v>
                </c:pt>
                <c:pt idx="3">
                  <c:v>0.36435986159169576</c:v>
                </c:pt>
                <c:pt idx="4">
                  <c:v>0.26161490683229827</c:v>
                </c:pt>
                <c:pt idx="5">
                  <c:v>0.20406976744186056</c:v>
                </c:pt>
                <c:pt idx="6">
                  <c:v>0.1672756155679111</c:v>
                </c:pt>
                <c:pt idx="7">
                  <c:v>0.14172274562584117</c:v>
                </c:pt>
                <c:pt idx="8">
                  <c:v>0.12294220665499124</c:v>
                </c:pt>
                <c:pt idx="9">
                  <c:v>0.10855670103092784</c:v>
                </c:pt>
                <c:pt idx="10">
                  <c:v>9.7185048454083989E-2</c:v>
                </c:pt>
                <c:pt idx="11">
                  <c:v>8.7969924812030059E-2</c:v>
                </c:pt>
                <c:pt idx="12">
                  <c:v>8.0351011064479214E-2</c:v>
                </c:pt>
                <c:pt idx="13">
                  <c:v>7.3946629213483134E-2</c:v>
                </c:pt>
                <c:pt idx="14">
                  <c:v>6.8487804878048772E-2</c:v>
                </c:pt>
                <c:pt idx="15">
                  <c:v>6.377952755905511E-2</c:v>
                </c:pt>
                <c:pt idx="16">
                  <c:v>5.9676962312269759E-2</c:v>
                </c:pt>
                <c:pt idx="17">
                  <c:v>5.6070287539936099E-2</c:v>
                </c:pt>
                <c:pt idx="18">
                  <c:v>5.287471754958574E-2</c:v>
                </c:pt>
                <c:pt idx="19">
                  <c:v>5.0023752969121135E-2</c:v>
                </c:pt>
                <c:pt idx="20">
                  <c:v>4.7464503042596341E-2</c:v>
                </c:pt>
                <c:pt idx="21">
                  <c:v>4.5154373927958825E-2</c:v>
                </c:pt>
                <c:pt idx="22">
                  <c:v>4.3058679206706189E-2</c:v>
                </c:pt>
                <c:pt idx="23">
                  <c:v>4.1148886283704569E-2</c:v>
                </c:pt>
                <c:pt idx="24">
                  <c:v>3.9401309635173049E-2</c:v>
                </c:pt>
                <c:pt idx="25">
                  <c:v>3.7796123474515428E-2</c:v>
                </c:pt>
                <c:pt idx="26">
                  <c:v>3.6316606311432999E-2</c:v>
                </c:pt>
                <c:pt idx="27">
                  <c:v>3.4948556256223028E-2</c:v>
                </c:pt>
                <c:pt idx="28">
                  <c:v>3.3679833679833675E-2</c:v>
                </c:pt>
                <c:pt idx="29">
                  <c:v>3.2499999999999994E-2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726-4651-8E86-7405CF26B3CC}"/>
            </c:ext>
          </c:extLst>
        </c:ser>
        <c:ser>
          <c:idx val="5"/>
          <c:order val="3"/>
          <c:tx>
            <c:v>Csm - Tanah Sedang (SD)</c:v>
          </c:tx>
          <c:spPr>
            <a:ln w="1587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'Respon Spektrum'!$H$51:$H$80</c:f>
              <c:numCache>
                <c:formatCode>0.00</c:formatCode>
                <c:ptCount val="30"/>
                <c:pt idx="0">
                  <c:v>0</c:v>
                </c:pt>
                <c:pt idx="1">
                  <c:v>8.2070707070707072E-2</c:v>
                </c:pt>
                <c:pt idx="2">
                  <c:v>0.41035353535353536</c:v>
                </c:pt>
                <c:pt idx="3">
                  <c:v>0.7655256266367374</c:v>
                </c:pt>
                <c:pt idx="4">
                  <c:v>1.1206977179199402</c:v>
                </c:pt>
                <c:pt idx="5">
                  <c:v>1.475869809203143</c:v>
                </c:pt>
                <c:pt idx="6">
                  <c:v>1.8310419004863441</c:v>
                </c:pt>
                <c:pt idx="7">
                  <c:v>2.1862139917695469</c:v>
                </c:pt>
                <c:pt idx="8">
                  <c:v>2.5413860830527488</c:v>
                </c:pt>
                <c:pt idx="9">
                  <c:v>2.8965581743359516</c:v>
                </c:pt>
                <c:pt idx="10">
                  <c:v>3.2517302656191536</c:v>
                </c:pt>
                <c:pt idx="11">
                  <c:v>3.6069023569023564</c:v>
                </c:pt>
                <c:pt idx="12">
                  <c:v>3.9620744481855583</c:v>
                </c:pt>
                <c:pt idx="13">
                  <c:v>4.3172465394687611</c:v>
                </c:pt>
                <c:pt idx="14">
                  <c:v>4.6724186307519631</c:v>
                </c:pt>
                <c:pt idx="15">
                  <c:v>5.0275907220351668</c:v>
                </c:pt>
                <c:pt idx="16">
                  <c:v>5.3827628133183687</c:v>
                </c:pt>
                <c:pt idx="17">
                  <c:v>5.7379349046015715</c:v>
                </c:pt>
                <c:pt idx="18">
                  <c:v>6.0931069958847734</c:v>
                </c:pt>
                <c:pt idx="19">
                  <c:v>6.4482790871679754</c:v>
                </c:pt>
                <c:pt idx="20">
                  <c:v>6.8034511784511782</c:v>
                </c:pt>
                <c:pt idx="21">
                  <c:v>7.158623269734381</c:v>
                </c:pt>
                <c:pt idx="22">
                  <c:v>7.5137953610175838</c:v>
                </c:pt>
                <c:pt idx="23">
                  <c:v>7.8689674523007858</c:v>
                </c:pt>
                <c:pt idx="24">
                  <c:v>8.2241395435839877</c:v>
                </c:pt>
                <c:pt idx="25">
                  <c:v>8.5793116348671905</c:v>
                </c:pt>
                <c:pt idx="26">
                  <c:v>8.9344837261503933</c:v>
                </c:pt>
                <c:pt idx="27">
                  <c:v>9.2896558174335944</c:v>
                </c:pt>
                <c:pt idx="28">
                  <c:v>9.6448279087167972</c:v>
                </c:pt>
                <c:pt idx="29">
                  <c:v>10</c:v>
                </c:pt>
              </c:numCache>
            </c:numRef>
          </c:xVal>
          <c:yVal>
            <c:numRef>
              <c:f>'Respon Spektrum'!$I$51:$I$80</c:f>
              <c:numCache>
                <c:formatCode>0.000</c:formatCode>
                <c:ptCount val="30"/>
                <c:pt idx="0">
                  <c:v>0.36</c:v>
                </c:pt>
                <c:pt idx="1">
                  <c:v>0.79199999999999993</c:v>
                </c:pt>
                <c:pt idx="2">
                  <c:v>0.79199999999999993</c:v>
                </c:pt>
                <c:pt idx="3">
                  <c:v>0.42454489920586452</c:v>
                </c:pt>
                <c:pt idx="4">
                  <c:v>0.28999791362403499</c:v>
                </c:pt>
                <c:pt idx="5">
                  <c:v>0.22020912547528507</c:v>
                </c:pt>
                <c:pt idx="6">
                  <c:v>0.17749457285148773</c:v>
                </c:pt>
                <c:pt idx="7">
                  <c:v>0.14865882352941176</c:v>
                </c:pt>
                <c:pt idx="8">
                  <c:v>0.12788296991443557</c:v>
                </c:pt>
                <c:pt idx="9">
                  <c:v>0.11220213109460769</c:v>
                </c:pt>
                <c:pt idx="10">
                  <c:v>9.9946789386639839E-2</c:v>
                </c:pt>
                <c:pt idx="11">
                  <c:v>9.0105017502917148E-2</c:v>
                </c:pt>
                <c:pt idx="12">
                  <c:v>8.2027736795514908E-2</c:v>
                </c:pt>
                <c:pt idx="13">
                  <c:v>7.5279462738301564E-2</c:v>
                </c:pt>
                <c:pt idx="14">
                  <c:v>6.9557123555021777E-2</c:v>
                </c:pt>
                <c:pt idx="15">
                  <c:v>6.4643288996372422E-2</c:v>
                </c:pt>
                <c:pt idx="16">
                  <c:v>6.0377915815994089E-2</c:v>
                </c:pt>
                <c:pt idx="17">
                  <c:v>5.6640586797066003E-2</c:v>
                </c:pt>
                <c:pt idx="18">
                  <c:v>5.3338961587167576E-2</c:v>
                </c:pt>
                <c:pt idx="19">
                  <c:v>5.0401044310682423E-2</c:v>
                </c:pt>
                <c:pt idx="20">
                  <c:v>4.7769873182802347E-2</c:v>
                </c:pt>
                <c:pt idx="21">
                  <c:v>4.5399790958975693E-2</c:v>
                </c:pt>
                <c:pt idx="22">
                  <c:v>4.3253773144546433E-2</c:v>
                </c:pt>
                <c:pt idx="23">
                  <c:v>4.1301479764663925E-2</c:v>
                </c:pt>
                <c:pt idx="24">
                  <c:v>3.9517811958035991E-2</c:v>
                </c:pt>
                <c:pt idx="25">
                  <c:v>3.7881827101275474E-2</c:v>
                </c:pt>
                <c:pt idx="26">
                  <c:v>3.6375912695297156E-2</c:v>
                </c:pt>
                <c:pt idx="27">
                  <c:v>3.4985149760885979E-2</c:v>
                </c:pt>
                <c:pt idx="28">
                  <c:v>3.3696816892530727E-2</c:v>
                </c:pt>
                <c:pt idx="29">
                  <c:v>3.2499999999999994E-2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726-4651-8E86-7405CF26B3CC}"/>
            </c:ext>
          </c:extLst>
        </c:ser>
        <c:ser>
          <c:idx val="6"/>
          <c:order val="4"/>
          <c:tx>
            <c:v>Csm - Tanah Lunak (SE)</c:v>
          </c:tx>
          <c:spPr>
            <a:ln w="158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'Respon Spektrum'!$J$51:$J$80</c:f>
              <c:numCache>
                <c:formatCode>0.00</c:formatCode>
                <c:ptCount val="30"/>
                <c:pt idx="0">
                  <c:v>0</c:v>
                </c:pt>
                <c:pt idx="1">
                  <c:v>7.2222222222222229E-2</c:v>
                </c:pt>
                <c:pt idx="2">
                  <c:v>0.3611111111111111</c:v>
                </c:pt>
                <c:pt idx="3">
                  <c:v>0.71810699588477434</c:v>
                </c:pt>
                <c:pt idx="4">
                  <c:v>1.0751028806584362</c:v>
                </c:pt>
                <c:pt idx="5">
                  <c:v>1.432098765432098</c:v>
                </c:pt>
                <c:pt idx="6">
                  <c:v>1.7890946502057616</c:v>
                </c:pt>
                <c:pt idx="7">
                  <c:v>2.1460905349794244</c:v>
                </c:pt>
                <c:pt idx="8">
                  <c:v>2.5030864197530862</c:v>
                </c:pt>
                <c:pt idx="9">
                  <c:v>2.8600823045267489</c:v>
                </c:pt>
                <c:pt idx="10">
                  <c:v>3.2170781893004108</c:v>
                </c:pt>
                <c:pt idx="11">
                  <c:v>3.5740740740740744</c:v>
                </c:pt>
                <c:pt idx="12">
                  <c:v>3.9310699588477362</c:v>
                </c:pt>
                <c:pt idx="13">
                  <c:v>4.288065843621399</c:v>
                </c:pt>
                <c:pt idx="14">
                  <c:v>4.6450617283950617</c:v>
                </c:pt>
                <c:pt idx="15">
                  <c:v>5.0020576131687244</c:v>
                </c:pt>
                <c:pt idx="16">
                  <c:v>5.3590534979423872</c:v>
                </c:pt>
                <c:pt idx="17">
                  <c:v>5.716049382716049</c:v>
                </c:pt>
                <c:pt idx="18">
                  <c:v>6.0730452674897126</c:v>
                </c:pt>
                <c:pt idx="19">
                  <c:v>6.4300411522633745</c:v>
                </c:pt>
                <c:pt idx="20">
                  <c:v>6.7870370370370372</c:v>
                </c:pt>
                <c:pt idx="21">
                  <c:v>7.1440329218106999</c:v>
                </c:pt>
                <c:pt idx="22">
                  <c:v>7.5010288065843618</c:v>
                </c:pt>
                <c:pt idx="23">
                  <c:v>7.8580246913580245</c:v>
                </c:pt>
                <c:pt idx="24">
                  <c:v>8.2150205761316872</c:v>
                </c:pt>
                <c:pt idx="25">
                  <c:v>8.5720164609053491</c:v>
                </c:pt>
                <c:pt idx="26">
                  <c:v>8.9290123456790127</c:v>
                </c:pt>
                <c:pt idx="27">
                  <c:v>9.2860082304526745</c:v>
                </c:pt>
                <c:pt idx="28">
                  <c:v>9.6430041152263382</c:v>
                </c:pt>
                <c:pt idx="29">
                  <c:v>10</c:v>
                </c:pt>
              </c:numCache>
            </c:numRef>
          </c:xVal>
          <c:yVal>
            <c:numRef>
              <c:f>'Respon Spektrum'!$K$51:$K$80</c:f>
              <c:numCache>
                <c:formatCode>0.000</c:formatCode>
                <c:ptCount val="30"/>
                <c:pt idx="0">
                  <c:v>0.36</c:v>
                </c:pt>
                <c:pt idx="1">
                  <c:v>0.89999999999999991</c:v>
                </c:pt>
                <c:pt idx="2">
                  <c:v>0.89999999999999991</c:v>
                </c:pt>
                <c:pt idx="3">
                  <c:v>0.4525787965616041</c:v>
                </c:pt>
                <c:pt idx="4">
                  <c:v>0.30229665071770334</c:v>
                </c:pt>
                <c:pt idx="5">
                  <c:v>0.22693965517241388</c:v>
                </c:pt>
                <c:pt idx="6">
                  <c:v>0.18165612420931565</c:v>
                </c:pt>
                <c:pt idx="7">
                  <c:v>0.15143815915627989</c:v>
                </c:pt>
                <c:pt idx="8">
                  <c:v>0.12983970406905054</c:v>
                </c:pt>
                <c:pt idx="9">
                  <c:v>0.11363309352517985</c:v>
                </c:pt>
                <c:pt idx="10">
                  <c:v>0.10102334505916215</c:v>
                </c:pt>
                <c:pt idx="11">
                  <c:v>9.0932642487046605E-2</c:v>
                </c:pt>
                <c:pt idx="12">
                  <c:v>8.2674692488877252E-2</c:v>
                </c:pt>
                <c:pt idx="13">
                  <c:v>7.5791746641074853E-2</c:v>
                </c:pt>
                <c:pt idx="14">
                  <c:v>6.9966777408637867E-2</c:v>
                </c:pt>
                <c:pt idx="15">
                  <c:v>6.4973262032085546E-2</c:v>
                </c:pt>
                <c:pt idx="16">
                  <c:v>6.0645037435208278E-2</c:v>
                </c:pt>
                <c:pt idx="17">
                  <c:v>5.6857451403887684E-2</c:v>
                </c:pt>
                <c:pt idx="18">
                  <c:v>5.351516178214466E-2</c:v>
                </c:pt>
                <c:pt idx="19">
                  <c:v>5.0543999999999992E-2</c:v>
                </c:pt>
                <c:pt idx="20">
                  <c:v>4.7885402455661655E-2</c:v>
                </c:pt>
                <c:pt idx="21">
                  <c:v>4.5492511520737321E-2</c:v>
                </c:pt>
                <c:pt idx="22">
                  <c:v>4.332738993279385E-2</c:v>
                </c:pt>
                <c:pt idx="23">
                  <c:v>4.1358994501178317E-2</c:v>
                </c:pt>
                <c:pt idx="24">
                  <c:v>3.9561678146524726E-2</c:v>
                </c:pt>
                <c:pt idx="25">
                  <c:v>3.7914066250600093E-2</c:v>
                </c:pt>
                <c:pt idx="26">
                  <c:v>3.6398202557898371E-2</c:v>
                </c:pt>
                <c:pt idx="27">
                  <c:v>3.4998892089519167E-2</c:v>
                </c:pt>
                <c:pt idx="28">
                  <c:v>3.3703190013869622E-2</c:v>
                </c:pt>
                <c:pt idx="29">
                  <c:v>3.2499999999999994E-2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726-4651-8E86-7405CF26B3CC}"/>
            </c:ext>
          </c:extLst>
        </c:ser>
        <c:ser>
          <c:idx val="1"/>
          <c:order val="5"/>
          <c:tx>
            <c:v>T-long</c:v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'Respon Spektrum'!$L$89:$L$90</c:f>
              <c:numCache>
                <c:formatCode>0.000</c:formatCode>
                <c:ptCount val="2"/>
                <c:pt idx="0">
                  <c:v>0.11433203521147195</c:v>
                </c:pt>
                <c:pt idx="1">
                  <c:v>0.11433203521147195</c:v>
                </c:pt>
              </c:numCache>
            </c:numRef>
          </c:xVal>
          <c:yVal>
            <c:numRef>
              <c:f>'Respon Spektrum'!$M$89:$M$90</c:f>
              <c:numCache>
                <c:formatCode>0.000</c:formatCode>
                <c:ptCount val="2"/>
                <c:pt idx="0">
                  <c:v>0</c:v>
                </c:pt>
                <c:pt idx="1">
                  <c:v>0.79199999999999993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726-4651-8E86-7405CF26B3CC}"/>
            </c:ext>
          </c:extLst>
        </c:ser>
        <c:ser>
          <c:idx val="2"/>
          <c:order val="6"/>
          <c:tx>
            <c:v>T-trans</c:v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'Respon Spektrum'!$L$92:$L$93</c:f>
              <c:numCache>
                <c:formatCode>0.000</c:formatCode>
                <c:ptCount val="2"/>
                <c:pt idx="0">
                  <c:v>2.2746723623207066E-2</c:v>
                </c:pt>
                <c:pt idx="1">
                  <c:v>2.2746723623207066E-2</c:v>
                </c:pt>
              </c:numCache>
            </c:numRef>
          </c:xVal>
          <c:yVal>
            <c:numRef>
              <c:f>'Respon Spektrum'!$M$92:$M$93</c:f>
              <c:numCache>
                <c:formatCode>0.000</c:formatCode>
                <c:ptCount val="2"/>
                <c:pt idx="0">
                  <c:v>0</c:v>
                </c:pt>
                <c:pt idx="1">
                  <c:v>0.47973315395905469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726-4651-8E86-7405CF26B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147168"/>
        <c:axId val="497146840"/>
      </c:scatterChart>
      <c:valAx>
        <c:axId val="497147168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Periode,</a:t>
                </a:r>
                <a:r>
                  <a:rPr lang="en-US" baseline="0"/>
                  <a:t> 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46840"/>
        <c:crosses val="autoZero"/>
        <c:crossBetween val="midCat"/>
      </c:valAx>
      <c:valAx>
        <c:axId val="49714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Koefisien</a:t>
                </a:r>
                <a:r>
                  <a:rPr lang="en-US" baseline="0"/>
                  <a:t> respon gempa elastik, Csm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47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Periode Fundamental</a:t>
            </a:r>
            <a:r>
              <a:rPr lang="en-US" baseline="0"/>
              <a:t> &amp; Koefisien Respon Gempa Elastik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Csm - Batuan Keras (SA)</c:v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'Respon Spektrum'!$B$51:$B$80</c:f>
              <c:numCache>
                <c:formatCode>0.00</c:formatCode>
                <c:ptCount val="30"/>
                <c:pt idx="0">
                  <c:v>0</c:v>
                </c:pt>
                <c:pt idx="1">
                  <c:v>8.3333333333333343E-2</c:v>
                </c:pt>
                <c:pt idx="2">
                  <c:v>0.41666666666666669</c:v>
                </c:pt>
                <c:pt idx="3">
                  <c:v>0.77160493827160437</c:v>
                </c:pt>
                <c:pt idx="4">
                  <c:v>1.1265432098765427</c:v>
                </c:pt>
                <c:pt idx="5">
                  <c:v>1.481481481481481</c:v>
                </c:pt>
                <c:pt idx="6">
                  <c:v>1.8364197530864192</c:v>
                </c:pt>
                <c:pt idx="7">
                  <c:v>2.1913580246913575</c:v>
                </c:pt>
                <c:pt idx="8">
                  <c:v>2.5462962962962958</c:v>
                </c:pt>
                <c:pt idx="9">
                  <c:v>2.9012345679012341</c:v>
                </c:pt>
                <c:pt idx="10">
                  <c:v>3.2561728395061724</c:v>
                </c:pt>
                <c:pt idx="11">
                  <c:v>3.6111111111111107</c:v>
                </c:pt>
                <c:pt idx="12">
                  <c:v>3.966049382716049</c:v>
                </c:pt>
                <c:pt idx="13">
                  <c:v>4.3209876543209873</c:v>
                </c:pt>
                <c:pt idx="14">
                  <c:v>4.6759259259259256</c:v>
                </c:pt>
                <c:pt idx="15">
                  <c:v>5.0308641975308639</c:v>
                </c:pt>
                <c:pt idx="16">
                  <c:v>5.3858024691358022</c:v>
                </c:pt>
                <c:pt idx="17">
                  <c:v>5.7407407407407405</c:v>
                </c:pt>
                <c:pt idx="18">
                  <c:v>6.0956790123456788</c:v>
                </c:pt>
                <c:pt idx="19">
                  <c:v>6.4506172839506171</c:v>
                </c:pt>
                <c:pt idx="20">
                  <c:v>6.8055555555555554</c:v>
                </c:pt>
                <c:pt idx="21">
                  <c:v>7.1604938271604937</c:v>
                </c:pt>
                <c:pt idx="22">
                  <c:v>7.5154320987654319</c:v>
                </c:pt>
                <c:pt idx="23">
                  <c:v>7.8703703703703702</c:v>
                </c:pt>
                <c:pt idx="24">
                  <c:v>8.2253086419753085</c:v>
                </c:pt>
                <c:pt idx="25">
                  <c:v>8.5802469135802468</c:v>
                </c:pt>
                <c:pt idx="26">
                  <c:v>8.5802469135802468</c:v>
                </c:pt>
                <c:pt idx="27">
                  <c:v>9.2901234567901234</c:v>
                </c:pt>
                <c:pt idx="28">
                  <c:v>9.6450617283950617</c:v>
                </c:pt>
                <c:pt idx="29">
                  <c:v>10</c:v>
                </c:pt>
              </c:numCache>
            </c:numRef>
          </c:xVal>
          <c:yVal>
            <c:numRef>
              <c:f>'Respon Spektrum'!$C$51:$C$80</c:f>
              <c:numCache>
                <c:formatCode>0.000</c:formatCode>
                <c:ptCount val="30"/>
                <c:pt idx="0">
                  <c:v>0.24</c:v>
                </c:pt>
                <c:pt idx="1">
                  <c:v>0.48</c:v>
                </c:pt>
                <c:pt idx="2">
                  <c:v>0.48</c:v>
                </c:pt>
                <c:pt idx="3">
                  <c:v>0.25920000000000021</c:v>
                </c:pt>
                <c:pt idx="4">
                  <c:v>0.17753424657534256</c:v>
                </c:pt>
                <c:pt idx="5">
                  <c:v>0.13500000000000006</c:v>
                </c:pt>
                <c:pt idx="6">
                  <c:v>0.10890756302521012</c:v>
                </c:pt>
                <c:pt idx="7">
                  <c:v>9.1267605633802845E-2</c:v>
                </c:pt>
                <c:pt idx="8">
                  <c:v>7.8545454545454557E-2</c:v>
                </c:pt>
                <c:pt idx="9">
                  <c:v>6.8936170212765976E-2</c:v>
                </c:pt>
                <c:pt idx="10">
                  <c:v>6.1421800947867311E-2</c:v>
                </c:pt>
                <c:pt idx="11">
                  <c:v>5.5384615384615393E-2</c:v>
                </c:pt>
                <c:pt idx="12">
                  <c:v>5.0428015564202344E-2</c:v>
                </c:pt>
                <c:pt idx="13">
                  <c:v>4.6285714285714291E-2</c:v>
                </c:pt>
                <c:pt idx="14">
                  <c:v>4.2772277227722776E-2</c:v>
                </c:pt>
                <c:pt idx="15">
                  <c:v>3.9754601226993869E-2</c:v>
                </c:pt>
                <c:pt idx="16">
                  <c:v>3.7134670487106024E-2</c:v>
                </c:pt>
                <c:pt idx="17">
                  <c:v>3.4838709677419359E-2</c:v>
                </c:pt>
                <c:pt idx="18">
                  <c:v>3.2810126582278484E-2</c:v>
                </c:pt>
                <c:pt idx="19">
                  <c:v>3.1004784688995219E-2</c:v>
                </c:pt>
                <c:pt idx="20">
                  <c:v>2.9387755102040818E-2</c:v>
                </c:pt>
                <c:pt idx="21">
                  <c:v>2.7931034482758622E-2</c:v>
                </c:pt>
                <c:pt idx="22">
                  <c:v>2.6611909650924026E-2</c:v>
                </c:pt>
                <c:pt idx="23">
                  <c:v>2.5411764705882356E-2</c:v>
                </c:pt>
                <c:pt idx="24">
                  <c:v>2.4315196998123827E-2</c:v>
                </c:pt>
                <c:pt idx="25">
                  <c:v>2.3309352517985615E-2</c:v>
                </c:pt>
                <c:pt idx="26">
                  <c:v>2.3309352517985615E-2</c:v>
                </c:pt>
                <c:pt idx="27">
                  <c:v>2.1528239202657808E-2</c:v>
                </c:pt>
                <c:pt idx="28">
                  <c:v>2.0736000000000001E-2</c:v>
                </c:pt>
                <c:pt idx="29">
                  <c:v>0.02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4C-4B6D-A269-812F3F128DE3}"/>
            </c:ext>
          </c:extLst>
        </c:ser>
        <c:ser>
          <c:idx val="3"/>
          <c:order val="1"/>
          <c:tx>
            <c:v>Csm - Batuan (SB)</c:v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'Respon Spektrum'!$D$51:$D$80</c:f>
              <c:numCache>
                <c:formatCode>0.00</c:formatCode>
                <c:ptCount val="30"/>
                <c:pt idx="0">
                  <c:v>0</c:v>
                </c:pt>
                <c:pt idx="1">
                  <c:v>8.3333333333333343E-2</c:v>
                </c:pt>
                <c:pt idx="2">
                  <c:v>0.41666666666666669</c:v>
                </c:pt>
                <c:pt idx="3">
                  <c:v>0.77160493827160437</c:v>
                </c:pt>
                <c:pt idx="4">
                  <c:v>1.1265432098765427</c:v>
                </c:pt>
                <c:pt idx="5">
                  <c:v>1.481481481481481</c:v>
                </c:pt>
                <c:pt idx="6">
                  <c:v>1.8364197530864192</c:v>
                </c:pt>
                <c:pt idx="7">
                  <c:v>2.1913580246913575</c:v>
                </c:pt>
                <c:pt idx="8">
                  <c:v>2.5462962962962958</c:v>
                </c:pt>
                <c:pt idx="9">
                  <c:v>2.9012345679012341</c:v>
                </c:pt>
                <c:pt idx="10">
                  <c:v>3.2561728395061724</c:v>
                </c:pt>
                <c:pt idx="11">
                  <c:v>3.6111111111111107</c:v>
                </c:pt>
                <c:pt idx="12">
                  <c:v>3.966049382716049</c:v>
                </c:pt>
                <c:pt idx="13">
                  <c:v>4.3209876543209873</c:v>
                </c:pt>
                <c:pt idx="14">
                  <c:v>4.6759259259259256</c:v>
                </c:pt>
                <c:pt idx="15">
                  <c:v>5.0308641975308639</c:v>
                </c:pt>
                <c:pt idx="16">
                  <c:v>5.3858024691358022</c:v>
                </c:pt>
                <c:pt idx="17">
                  <c:v>5.7407407407407405</c:v>
                </c:pt>
                <c:pt idx="18">
                  <c:v>6.0956790123456788</c:v>
                </c:pt>
                <c:pt idx="19">
                  <c:v>6.4506172839506171</c:v>
                </c:pt>
                <c:pt idx="20">
                  <c:v>6.8055555555555554</c:v>
                </c:pt>
                <c:pt idx="21">
                  <c:v>7.1604938271604937</c:v>
                </c:pt>
                <c:pt idx="22">
                  <c:v>7.5154320987654319</c:v>
                </c:pt>
                <c:pt idx="23">
                  <c:v>7.8703703703703702</c:v>
                </c:pt>
                <c:pt idx="24">
                  <c:v>8.2253086419753085</c:v>
                </c:pt>
                <c:pt idx="25">
                  <c:v>8.5802469135802468</c:v>
                </c:pt>
                <c:pt idx="26">
                  <c:v>8.9351851851851851</c:v>
                </c:pt>
                <c:pt idx="27">
                  <c:v>9.2901234567901234</c:v>
                </c:pt>
                <c:pt idx="28">
                  <c:v>9.6450617283950617</c:v>
                </c:pt>
                <c:pt idx="29">
                  <c:v>10</c:v>
                </c:pt>
              </c:numCache>
            </c:numRef>
          </c:xVal>
          <c:yVal>
            <c:numRef>
              <c:f>'Respon Spektrum'!$E$51:$E$80</c:f>
              <c:numCache>
                <c:formatCode>0.000</c:formatCode>
                <c:ptCount val="30"/>
                <c:pt idx="0">
                  <c:v>0.3</c:v>
                </c:pt>
                <c:pt idx="1">
                  <c:v>0.6</c:v>
                </c:pt>
                <c:pt idx="2">
                  <c:v>0.6</c:v>
                </c:pt>
                <c:pt idx="3">
                  <c:v>0.32400000000000023</c:v>
                </c:pt>
                <c:pt idx="4">
                  <c:v>0.2219178082191782</c:v>
                </c:pt>
                <c:pt idx="5">
                  <c:v>0.16875000000000007</c:v>
                </c:pt>
                <c:pt idx="6">
                  <c:v>0.13613445378151265</c:v>
                </c:pt>
                <c:pt idx="7">
                  <c:v>0.11408450704225355</c:v>
                </c:pt>
                <c:pt idx="8">
                  <c:v>9.8181818181818203E-2</c:v>
                </c:pt>
                <c:pt idx="9">
                  <c:v>8.617021276595746E-2</c:v>
                </c:pt>
                <c:pt idx="10">
                  <c:v>7.6777251184834139E-2</c:v>
                </c:pt>
                <c:pt idx="11">
                  <c:v>6.9230769230769235E-2</c:v>
                </c:pt>
                <c:pt idx="12">
                  <c:v>6.303501945525293E-2</c:v>
                </c:pt>
                <c:pt idx="13">
                  <c:v>5.7857142857142864E-2</c:v>
                </c:pt>
                <c:pt idx="14">
                  <c:v>5.3465346534653471E-2</c:v>
                </c:pt>
                <c:pt idx="15">
                  <c:v>4.9693251533742336E-2</c:v>
                </c:pt>
                <c:pt idx="16">
                  <c:v>4.6418338108882524E-2</c:v>
                </c:pt>
                <c:pt idx="17">
                  <c:v>4.3548387096774194E-2</c:v>
                </c:pt>
                <c:pt idx="18">
                  <c:v>4.1012658227848102E-2</c:v>
                </c:pt>
                <c:pt idx="19">
                  <c:v>3.8755980861244023E-2</c:v>
                </c:pt>
                <c:pt idx="20">
                  <c:v>3.6734693877551024E-2</c:v>
                </c:pt>
                <c:pt idx="21">
                  <c:v>3.4913793103448276E-2</c:v>
                </c:pt>
                <c:pt idx="22">
                  <c:v>3.3264887063655033E-2</c:v>
                </c:pt>
                <c:pt idx="23">
                  <c:v>3.1764705882352945E-2</c:v>
                </c:pt>
                <c:pt idx="24">
                  <c:v>3.0393996247654785E-2</c:v>
                </c:pt>
                <c:pt idx="25">
                  <c:v>2.9136690647482016E-2</c:v>
                </c:pt>
                <c:pt idx="26">
                  <c:v>2.7979274611398965E-2</c:v>
                </c:pt>
                <c:pt idx="27">
                  <c:v>2.6910299003322258E-2</c:v>
                </c:pt>
                <c:pt idx="28">
                  <c:v>2.5919999999999999E-2</c:v>
                </c:pt>
                <c:pt idx="29">
                  <c:v>2.5000000000000001E-2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4C-4B6D-A269-812F3F128DE3}"/>
            </c:ext>
          </c:extLst>
        </c:ser>
        <c:ser>
          <c:idx val="4"/>
          <c:order val="2"/>
          <c:tx>
            <c:v>Csm - Tanah Keras (SC)</c:v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'Respon Spektrum'!$F$51:$F$80</c:f>
              <c:numCache>
                <c:formatCode>0.00</c:formatCode>
                <c:ptCount val="30"/>
                <c:pt idx="0">
                  <c:v>0</c:v>
                </c:pt>
                <c:pt idx="1">
                  <c:v>0.10833333333333334</c:v>
                </c:pt>
                <c:pt idx="2">
                  <c:v>0.54166666666666663</c:v>
                </c:pt>
                <c:pt idx="3">
                  <c:v>0.89197530864197461</c:v>
                </c:pt>
                <c:pt idx="4">
                  <c:v>1.2422839506172831</c:v>
                </c:pt>
                <c:pt idx="5">
                  <c:v>1.5925925925925917</c:v>
                </c:pt>
                <c:pt idx="6">
                  <c:v>1.9429012345679002</c:v>
                </c:pt>
                <c:pt idx="7">
                  <c:v>2.2932098765432096</c:v>
                </c:pt>
                <c:pt idx="8">
                  <c:v>2.6435185185185182</c:v>
                </c:pt>
                <c:pt idx="9">
                  <c:v>2.9938271604938267</c:v>
                </c:pt>
                <c:pt idx="10">
                  <c:v>3.3441358024691352</c:v>
                </c:pt>
                <c:pt idx="11">
                  <c:v>3.6944444444444446</c:v>
                </c:pt>
                <c:pt idx="12">
                  <c:v>4.0447530864197523</c:v>
                </c:pt>
                <c:pt idx="13">
                  <c:v>4.3950617283950617</c:v>
                </c:pt>
                <c:pt idx="14">
                  <c:v>4.7453703703703702</c:v>
                </c:pt>
                <c:pt idx="15">
                  <c:v>5.0956790123456788</c:v>
                </c:pt>
                <c:pt idx="16">
                  <c:v>5.4459876543209873</c:v>
                </c:pt>
                <c:pt idx="17">
                  <c:v>5.7962962962962958</c:v>
                </c:pt>
                <c:pt idx="18">
                  <c:v>6.1466049382716044</c:v>
                </c:pt>
                <c:pt idx="19">
                  <c:v>6.4969135802469129</c:v>
                </c:pt>
                <c:pt idx="20">
                  <c:v>6.8472222222222223</c:v>
                </c:pt>
                <c:pt idx="21">
                  <c:v>7.1975308641975309</c:v>
                </c:pt>
                <c:pt idx="22">
                  <c:v>7.5478395061728394</c:v>
                </c:pt>
                <c:pt idx="23">
                  <c:v>7.8981481481481479</c:v>
                </c:pt>
                <c:pt idx="24">
                  <c:v>8.2484567901234573</c:v>
                </c:pt>
                <c:pt idx="25">
                  <c:v>8.5987654320987659</c:v>
                </c:pt>
                <c:pt idx="26">
                  <c:v>8.9490740740740744</c:v>
                </c:pt>
                <c:pt idx="27">
                  <c:v>9.2993827160493829</c:v>
                </c:pt>
                <c:pt idx="28">
                  <c:v>9.6496913580246915</c:v>
                </c:pt>
                <c:pt idx="29">
                  <c:v>10</c:v>
                </c:pt>
              </c:numCache>
            </c:numRef>
          </c:xVal>
          <c:yVal>
            <c:numRef>
              <c:f>'Respon Spektrum'!$G$51:$G$80</c:f>
              <c:numCache>
                <c:formatCode>0.000</c:formatCode>
                <c:ptCount val="30"/>
                <c:pt idx="0">
                  <c:v>0.33</c:v>
                </c:pt>
                <c:pt idx="1">
                  <c:v>0.6</c:v>
                </c:pt>
                <c:pt idx="2">
                  <c:v>0.6</c:v>
                </c:pt>
                <c:pt idx="3">
                  <c:v>0.36435986159169576</c:v>
                </c:pt>
                <c:pt idx="4">
                  <c:v>0.26161490683229827</c:v>
                </c:pt>
                <c:pt idx="5">
                  <c:v>0.20406976744186056</c:v>
                </c:pt>
                <c:pt idx="6">
                  <c:v>0.1672756155679111</c:v>
                </c:pt>
                <c:pt idx="7">
                  <c:v>0.14172274562584117</c:v>
                </c:pt>
                <c:pt idx="8">
                  <c:v>0.12294220665499124</c:v>
                </c:pt>
                <c:pt idx="9">
                  <c:v>0.10855670103092784</c:v>
                </c:pt>
                <c:pt idx="10">
                  <c:v>9.7185048454083989E-2</c:v>
                </c:pt>
                <c:pt idx="11">
                  <c:v>8.7969924812030059E-2</c:v>
                </c:pt>
                <c:pt idx="12">
                  <c:v>8.0351011064479214E-2</c:v>
                </c:pt>
                <c:pt idx="13">
                  <c:v>7.3946629213483134E-2</c:v>
                </c:pt>
                <c:pt idx="14">
                  <c:v>6.8487804878048772E-2</c:v>
                </c:pt>
                <c:pt idx="15">
                  <c:v>6.377952755905511E-2</c:v>
                </c:pt>
                <c:pt idx="16">
                  <c:v>5.9676962312269759E-2</c:v>
                </c:pt>
                <c:pt idx="17">
                  <c:v>5.6070287539936099E-2</c:v>
                </c:pt>
                <c:pt idx="18">
                  <c:v>5.287471754958574E-2</c:v>
                </c:pt>
                <c:pt idx="19">
                  <c:v>5.0023752969121135E-2</c:v>
                </c:pt>
                <c:pt idx="20">
                  <c:v>4.7464503042596341E-2</c:v>
                </c:pt>
                <c:pt idx="21">
                  <c:v>4.5154373927958825E-2</c:v>
                </c:pt>
                <c:pt idx="22">
                  <c:v>4.3058679206706189E-2</c:v>
                </c:pt>
                <c:pt idx="23">
                  <c:v>4.1148886283704569E-2</c:v>
                </c:pt>
                <c:pt idx="24">
                  <c:v>3.9401309635173049E-2</c:v>
                </c:pt>
                <c:pt idx="25">
                  <c:v>3.7796123474515428E-2</c:v>
                </c:pt>
                <c:pt idx="26">
                  <c:v>3.6316606311432999E-2</c:v>
                </c:pt>
                <c:pt idx="27">
                  <c:v>3.4948556256223028E-2</c:v>
                </c:pt>
                <c:pt idx="28">
                  <c:v>3.3679833679833675E-2</c:v>
                </c:pt>
                <c:pt idx="29">
                  <c:v>3.2499999999999994E-2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E4C-4B6D-A269-812F3F128DE3}"/>
            </c:ext>
          </c:extLst>
        </c:ser>
        <c:ser>
          <c:idx val="5"/>
          <c:order val="3"/>
          <c:tx>
            <c:v>Csm - Tanah Sedang (SD)</c:v>
          </c:tx>
          <c:spPr>
            <a:ln w="1587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'Respon Spektrum'!$H$51:$H$80</c:f>
              <c:numCache>
                <c:formatCode>0.00</c:formatCode>
                <c:ptCount val="30"/>
                <c:pt idx="0">
                  <c:v>0</c:v>
                </c:pt>
                <c:pt idx="1">
                  <c:v>8.2070707070707072E-2</c:v>
                </c:pt>
                <c:pt idx="2">
                  <c:v>0.41035353535353536</c:v>
                </c:pt>
                <c:pt idx="3">
                  <c:v>0.7655256266367374</c:v>
                </c:pt>
                <c:pt idx="4">
                  <c:v>1.1206977179199402</c:v>
                </c:pt>
                <c:pt idx="5">
                  <c:v>1.475869809203143</c:v>
                </c:pt>
                <c:pt idx="6">
                  <c:v>1.8310419004863441</c:v>
                </c:pt>
                <c:pt idx="7">
                  <c:v>2.1862139917695469</c:v>
                </c:pt>
                <c:pt idx="8">
                  <c:v>2.5413860830527488</c:v>
                </c:pt>
                <c:pt idx="9">
                  <c:v>2.8965581743359516</c:v>
                </c:pt>
                <c:pt idx="10">
                  <c:v>3.2517302656191536</c:v>
                </c:pt>
                <c:pt idx="11">
                  <c:v>3.6069023569023564</c:v>
                </c:pt>
                <c:pt idx="12">
                  <c:v>3.9620744481855583</c:v>
                </c:pt>
                <c:pt idx="13">
                  <c:v>4.3172465394687611</c:v>
                </c:pt>
                <c:pt idx="14">
                  <c:v>4.6724186307519631</c:v>
                </c:pt>
                <c:pt idx="15">
                  <c:v>5.0275907220351668</c:v>
                </c:pt>
                <c:pt idx="16">
                  <c:v>5.3827628133183687</c:v>
                </c:pt>
                <c:pt idx="17">
                  <c:v>5.7379349046015715</c:v>
                </c:pt>
                <c:pt idx="18">
                  <c:v>6.0931069958847734</c:v>
                </c:pt>
                <c:pt idx="19">
                  <c:v>6.4482790871679754</c:v>
                </c:pt>
                <c:pt idx="20">
                  <c:v>6.8034511784511782</c:v>
                </c:pt>
                <c:pt idx="21">
                  <c:v>7.158623269734381</c:v>
                </c:pt>
                <c:pt idx="22">
                  <c:v>7.5137953610175838</c:v>
                </c:pt>
                <c:pt idx="23">
                  <c:v>7.8689674523007858</c:v>
                </c:pt>
                <c:pt idx="24">
                  <c:v>8.2241395435839877</c:v>
                </c:pt>
                <c:pt idx="25">
                  <c:v>8.5793116348671905</c:v>
                </c:pt>
                <c:pt idx="26">
                  <c:v>8.9344837261503933</c:v>
                </c:pt>
                <c:pt idx="27">
                  <c:v>9.2896558174335944</c:v>
                </c:pt>
                <c:pt idx="28">
                  <c:v>9.6448279087167972</c:v>
                </c:pt>
                <c:pt idx="29">
                  <c:v>10</c:v>
                </c:pt>
              </c:numCache>
            </c:numRef>
          </c:xVal>
          <c:yVal>
            <c:numRef>
              <c:f>'Respon Spektrum'!$I$51:$I$80</c:f>
              <c:numCache>
                <c:formatCode>0.000</c:formatCode>
                <c:ptCount val="30"/>
                <c:pt idx="0">
                  <c:v>0.36</c:v>
                </c:pt>
                <c:pt idx="1">
                  <c:v>0.79199999999999993</c:v>
                </c:pt>
                <c:pt idx="2">
                  <c:v>0.79199999999999993</c:v>
                </c:pt>
                <c:pt idx="3">
                  <c:v>0.42454489920586452</c:v>
                </c:pt>
                <c:pt idx="4">
                  <c:v>0.28999791362403499</c:v>
                </c:pt>
                <c:pt idx="5">
                  <c:v>0.22020912547528507</c:v>
                </c:pt>
                <c:pt idx="6">
                  <c:v>0.17749457285148773</c:v>
                </c:pt>
                <c:pt idx="7">
                  <c:v>0.14865882352941176</c:v>
                </c:pt>
                <c:pt idx="8">
                  <c:v>0.12788296991443557</c:v>
                </c:pt>
                <c:pt idx="9">
                  <c:v>0.11220213109460769</c:v>
                </c:pt>
                <c:pt idx="10">
                  <c:v>9.9946789386639839E-2</c:v>
                </c:pt>
                <c:pt idx="11">
                  <c:v>9.0105017502917148E-2</c:v>
                </c:pt>
                <c:pt idx="12">
                  <c:v>8.2027736795514908E-2</c:v>
                </c:pt>
                <c:pt idx="13">
                  <c:v>7.5279462738301564E-2</c:v>
                </c:pt>
                <c:pt idx="14">
                  <c:v>6.9557123555021777E-2</c:v>
                </c:pt>
                <c:pt idx="15">
                  <c:v>6.4643288996372422E-2</c:v>
                </c:pt>
                <c:pt idx="16">
                  <c:v>6.0377915815994089E-2</c:v>
                </c:pt>
                <c:pt idx="17">
                  <c:v>5.6640586797066003E-2</c:v>
                </c:pt>
                <c:pt idx="18">
                  <c:v>5.3338961587167576E-2</c:v>
                </c:pt>
                <c:pt idx="19">
                  <c:v>5.0401044310682423E-2</c:v>
                </c:pt>
                <c:pt idx="20">
                  <c:v>4.7769873182802347E-2</c:v>
                </c:pt>
                <c:pt idx="21">
                  <c:v>4.5399790958975693E-2</c:v>
                </c:pt>
                <c:pt idx="22">
                  <c:v>4.3253773144546433E-2</c:v>
                </c:pt>
                <c:pt idx="23">
                  <c:v>4.1301479764663925E-2</c:v>
                </c:pt>
                <c:pt idx="24">
                  <c:v>3.9517811958035991E-2</c:v>
                </c:pt>
                <c:pt idx="25">
                  <c:v>3.7881827101275474E-2</c:v>
                </c:pt>
                <c:pt idx="26">
                  <c:v>3.6375912695297156E-2</c:v>
                </c:pt>
                <c:pt idx="27">
                  <c:v>3.4985149760885979E-2</c:v>
                </c:pt>
                <c:pt idx="28">
                  <c:v>3.3696816892530727E-2</c:v>
                </c:pt>
                <c:pt idx="29">
                  <c:v>3.2499999999999994E-2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E4C-4B6D-A269-812F3F128DE3}"/>
            </c:ext>
          </c:extLst>
        </c:ser>
        <c:ser>
          <c:idx val="6"/>
          <c:order val="4"/>
          <c:tx>
            <c:v>Csm - Tanah Lunak (SE)</c:v>
          </c:tx>
          <c:spPr>
            <a:ln w="158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'Respon Spektrum'!$J$51:$J$80</c:f>
              <c:numCache>
                <c:formatCode>0.00</c:formatCode>
                <c:ptCount val="30"/>
                <c:pt idx="0">
                  <c:v>0</c:v>
                </c:pt>
                <c:pt idx="1">
                  <c:v>7.2222222222222229E-2</c:v>
                </c:pt>
                <c:pt idx="2">
                  <c:v>0.3611111111111111</c:v>
                </c:pt>
                <c:pt idx="3">
                  <c:v>0.71810699588477434</c:v>
                </c:pt>
                <c:pt idx="4">
                  <c:v>1.0751028806584362</c:v>
                </c:pt>
                <c:pt idx="5">
                  <c:v>1.432098765432098</c:v>
                </c:pt>
                <c:pt idx="6">
                  <c:v>1.7890946502057616</c:v>
                </c:pt>
                <c:pt idx="7">
                  <c:v>2.1460905349794244</c:v>
                </c:pt>
                <c:pt idx="8">
                  <c:v>2.5030864197530862</c:v>
                </c:pt>
                <c:pt idx="9">
                  <c:v>2.8600823045267489</c:v>
                </c:pt>
                <c:pt idx="10">
                  <c:v>3.2170781893004108</c:v>
                </c:pt>
                <c:pt idx="11">
                  <c:v>3.5740740740740744</c:v>
                </c:pt>
                <c:pt idx="12">
                  <c:v>3.9310699588477362</c:v>
                </c:pt>
                <c:pt idx="13">
                  <c:v>4.288065843621399</c:v>
                </c:pt>
                <c:pt idx="14">
                  <c:v>4.6450617283950617</c:v>
                </c:pt>
                <c:pt idx="15">
                  <c:v>5.0020576131687244</c:v>
                </c:pt>
                <c:pt idx="16">
                  <c:v>5.3590534979423872</c:v>
                </c:pt>
                <c:pt idx="17">
                  <c:v>5.716049382716049</c:v>
                </c:pt>
                <c:pt idx="18">
                  <c:v>6.0730452674897126</c:v>
                </c:pt>
                <c:pt idx="19">
                  <c:v>6.4300411522633745</c:v>
                </c:pt>
                <c:pt idx="20">
                  <c:v>6.7870370370370372</c:v>
                </c:pt>
                <c:pt idx="21">
                  <c:v>7.1440329218106999</c:v>
                </c:pt>
                <c:pt idx="22">
                  <c:v>7.5010288065843618</c:v>
                </c:pt>
                <c:pt idx="23">
                  <c:v>7.8580246913580245</c:v>
                </c:pt>
                <c:pt idx="24">
                  <c:v>8.2150205761316872</c:v>
                </c:pt>
                <c:pt idx="25">
                  <c:v>8.5720164609053491</c:v>
                </c:pt>
                <c:pt idx="26">
                  <c:v>8.9290123456790127</c:v>
                </c:pt>
                <c:pt idx="27">
                  <c:v>9.2860082304526745</c:v>
                </c:pt>
                <c:pt idx="28">
                  <c:v>9.6430041152263382</c:v>
                </c:pt>
                <c:pt idx="29">
                  <c:v>10</c:v>
                </c:pt>
              </c:numCache>
            </c:numRef>
          </c:xVal>
          <c:yVal>
            <c:numRef>
              <c:f>'Respon Spektrum'!$K$51:$K$80</c:f>
              <c:numCache>
                <c:formatCode>0.000</c:formatCode>
                <c:ptCount val="30"/>
                <c:pt idx="0">
                  <c:v>0.36</c:v>
                </c:pt>
                <c:pt idx="1">
                  <c:v>0.89999999999999991</c:v>
                </c:pt>
                <c:pt idx="2">
                  <c:v>0.89999999999999991</c:v>
                </c:pt>
                <c:pt idx="3">
                  <c:v>0.4525787965616041</c:v>
                </c:pt>
                <c:pt idx="4">
                  <c:v>0.30229665071770334</c:v>
                </c:pt>
                <c:pt idx="5">
                  <c:v>0.22693965517241388</c:v>
                </c:pt>
                <c:pt idx="6">
                  <c:v>0.18165612420931565</c:v>
                </c:pt>
                <c:pt idx="7">
                  <c:v>0.15143815915627989</c:v>
                </c:pt>
                <c:pt idx="8">
                  <c:v>0.12983970406905054</c:v>
                </c:pt>
                <c:pt idx="9">
                  <c:v>0.11363309352517985</c:v>
                </c:pt>
                <c:pt idx="10">
                  <c:v>0.10102334505916215</c:v>
                </c:pt>
                <c:pt idx="11">
                  <c:v>9.0932642487046605E-2</c:v>
                </c:pt>
                <c:pt idx="12">
                  <c:v>8.2674692488877252E-2</c:v>
                </c:pt>
                <c:pt idx="13">
                  <c:v>7.5791746641074853E-2</c:v>
                </c:pt>
                <c:pt idx="14">
                  <c:v>6.9966777408637867E-2</c:v>
                </c:pt>
                <c:pt idx="15">
                  <c:v>6.4973262032085546E-2</c:v>
                </c:pt>
                <c:pt idx="16">
                  <c:v>6.0645037435208278E-2</c:v>
                </c:pt>
                <c:pt idx="17">
                  <c:v>5.6857451403887684E-2</c:v>
                </c:pt>
                <c:pt idx="18">
                  <c:v>5.351516178214466E-2</c:v>
                </c:pt>
                <c:pt idx="19">
                  <c:v>5.0543999999999992E-2</c:v>
                </c:pt>
                <c:pt idx="20">
                  <c:v>4.7885402455661655E-2</c:v>
                </c:pt>
                <c:pt idx="21">
                  <c:v>4.5492511520737321E-2</c:v>
                </c:pt>
                <c:pt idx="22">
                  <c:v>4.332738993279385E-2</c:v>
                </c:pt>
                <c:pt idx="23">
                  <c:v>4.1358994501178317E-2</c:v>
                </c:pt>
                <c:pt idx="24">
                  <c:v>3.9561678146524726E-2</c:v>
                </c:pt>
                <c:pt idx="25">
                  <c:v>3.7914066250600093E-2</c:v>
                </c:pt>
                <c:pt idx="26">
                  <c:v>3.6398202557898371E-2</c:v>
                </c:pt>
                <c:pt idx="27">
                  <c:v>3.4998892089519167E-2</c:v>
                </c:pt>
                <c:pt idx="28">
                  <c:v>3.3703190013869622E-2</c:v>
                </c:pt>
                <c:pt idx="29">
                  <c:v>3.2499999999999994E-2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E4C-4B6D-A269-812F3F128DE3}"/>
            </c:ext>
          </c:extLst>
        </c:ser>
        <c:ser>
          <c:idx val="1"/>
          <c:order val="5"/>
          <c:tx>
            <c:v>T-long</c:v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'Respon Spektrum'!$L$89:$L$90</c:f>
              <c:numCache>
                <c:formatCode>0.000</c:formatCode>
                <c:ptCount val="2"/>
                <c:pt idx="0">
                  <c:v>0.11433203521147195</c:v>
                </c:pt>
                <c:pt idx="1">
                  <c:v>0.11433203521147195</c:v>
                </c:pt>
              </c:numCache>
            </c:numRef>
          </c:xVal>
          <c:yVal>
            <c:numRef>
              <c:f>'Respon Spektrum'!$M$89:$M$90</c:f>
              <c:numCache>
                <c:formatCode>0.000</c:formatCode>
                <c:ptCount val="2"/>
                <c:pt idx="0">
                  <c:v>0</c:v>
                </c:pt>
                <c:pt idx="1">
                  <c:v>0.79199999999999993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E4C-4B6D-A269-812F3F128DE3}"/>
            </c:ext>
          </c:extLst>
        </c:ser>
        <c:ser>
          <c:idx val="2"/>
          <c:order val="6"/>
          <c:tx>
            <c:v>T-trans</c:v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'Respon Spektrum'!$L$92:$L$93</c:f>
              <c:numCache>
                <c:formatCode>0.000</c:formatCode>
                <c:ptCount val="2"/>
                <c:pt idx="0">
                  <c:v>2.2746723623207066E-2</c:v>
                </c:pt>
                <c:pt idx="1">
                  <c:v>2.2746723623207066E-2</c:v>
                </c:pt>
              </c:numCache>
            </c:numRef>
          </c:xVal>
          <c:yVal>
            <c:numRef>
              <c:f>'Respon Spektrum'!$M$92:$M$93</c:f>
              <c:numCache>
                <c:formatCode>0.000</c:formatCode>
                <c:ptCount val="2"/>
                <c:pt idx="0">
                  <c:v>0</c:v>
                </c:pt>
                <c:pt idx="1">
                  <c:v>0.47973315395905469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E4C-4B6D-A269-812F3F128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147168"/>
        <c:axId val="497146840"/>
      </c:scatterChart>
      <c:valAx>
        <c:axId val="497147168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Periode,</a:t>
                </a:r>
                <a:r>
                  <a:rPr lang="en-US" baseline="0"/>
                  <a:t> 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46840"/>
        <c:crosses val="autoZero"/>
        <c:crossBetween val="midCat"/>
      </c:valAx>
      <c:valAx>
        <c:axId val="49714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Koefisien</a:t>
                </a:r>
                <a:r>
                  <a:rPr lang="en-US" baseline="0"/>
                  <a:t> respon gempa elastik, Csm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47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spPr>
            <a:ln w="19050" cap="rnd">
              <a:solidFill>
                <a:schemeClr val="accent1"/>
              </a:solidFill>
              <a:round/>
            </a:ln>
            <a:effectLst>
              <a:glow rad="25400">
                <a:schemeClr val="accent1">
                  <a:satMod val="175000"/>
                  <a:alpha val="40000"/>
                </a:schemeClr>
              </a:glow>
            </a:effectLst>
          </c:spPr>
          <c:marker>
            <c:symbol val="none"/>
          </c:marker>
          <c:xVal>
            <c:numRef>
              <c:f>Table!$S$26:$S$30</c:f>
              <c:numCache>
                <c:formatCode>0.00</c:formatCode>
                <c:ptCount val="5"/>
                <c:pt idx="0">
                  <c:v>-18.07511737089202</c:v>
                </c:pt>
                <c:pt idx="1">
                  <c:v>-18.07511737089202</c:v>
                </c:pt>
                <c:pt idx="2">
                  <c:v>18.07511737089202</c:v>
                </c:pt>
                <c:pt idx="3">
                  <c:v>18.07511737089202</c:v>
                </c:pt>
                <c:pt idx="4">
                  <c:v>-18.07511737089202</c:v>
                </c:pt>
              </c:numCache>
            </c:numRef>
          </c:xVal>
          <c:yVal>
            <c:numRef>
              <c:f>Table!$T$26:$T$30</c:f>
              <c:numCache>
                <c:formatCode>0.00</c:formatCode>
                <c:ptCount val="5"/>
                <c:pt idx="0">
                  <c:v>-44.671361502347416</c:v>
                </c:pt>
                <c:pt idx="1">
                  <c:v>44.671361502347416</c:v>
                </c:pt>
                <c:pt idx="2">
                  <c:v>44.671361502347416</c:v>
                </c:pt>
                <c:pt idx="3">
                  <c:v>-44.671361502347416</c:v>
                </c:pt>
                <c:pt idx="4">
                  <c:v>-44.671361502347416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07-4888-A8E5-8BE2F5EBA809}"/>
            </c:ext>
          </c:extLst>
        </c:ser>
        <c:ser>
          <c:idx val="0"/>
          <c:order val="1"/>
          <c:tx>
            <c:v>X1Y1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Table!$A$172:$A$192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Table!$B$172:$B$192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07-4888-A8E5-8BE2F5EBA809}"/>
            </c:ext>
          </c:extLst>
        </c:ser>
        <c:ser>
          <c:idx val="1"/>
          <c:order val="2"/>
          <c:tx>
            <c:v>X2Y1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Table!$C$172:$C$192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Table!$D$172:$D$192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107-4888-A8E5-8BE2F5EBA809}"/>
            </c:ext>
          </c:extLst>
        </c:ser>
        <c:ser>
          <c:idx val="2"/>
          <c:order val="3"/>
          <c:tx>
            <c:v>X3Y1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Table!$E$172:$E$192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Table!$F$172:$F$192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107-4888-A8E5-8BE2F5EBA809}"/>
            </c:ext>
          </c:extLst>
        </c:ser>
        <c:ser>
          <c:idx val="4"/>
          <c:order val="4"/>
          <c:tx>
            <c:v>X4Y1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Table!$G$172:$G$192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Table!$H$172:$H$192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107-4888-A8E5-8BE2F5EBA809}"/>
            </c:ext>
          </c:extLst>
        </c:ser>
        <c:ser>
          <c:idx val="5"/>
          <c:order val="5"/>
          <c:tx>
            <c:v>X5Y1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Table!$I$172:$I$192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Table!$J$172:$J$192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107-4888-A8E5-8BE2F5EBA809}"/>
            </c:ext>
          </c:extLst>
        </c:ser>
        <c:ser>
          <c:idx val="6"/>
          <c:order val="6"/>
          <c:tx>
            <c:v>X6Y1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Table!$K$172:$K$192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Table!$L$172:$L$192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107-4888-A8E5-8BE2F5EBA809}"/>
            </c:ext>
          </c:extLst>
        </c:ser>
        <c:ser>
          <c:idx val="7"/>
          <c:order val="7"/>
          <c:tx>
            <c:v>X7Y1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Table!$M$172:$M$192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Table!$N$172:$N$192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107-4888-A8E5-8BE2F5EBA809}"/>
            </c:ext>
          </c:extLst>
        </c:ser>
        <c:ser>
          <c:idx val="8"/>
          <c:order val="8"/>
          <c:tx>
            <c:v>X8Y1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Table!$O$172:$O$192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Table!$P$172:$P$192</c:f>
              <c:numCache>
                <c:formatCode>0.00</c:formatCode>
                <c:ptCount val="21"/>
                <c:pt idx="0">
                  <c:v>-36.15023474178404</c:v>
                </c:pt>
                <c:pt idx="1">
                  <c:v>-35.359887323943667</c:v>
                </c:pt>
                <c:pt idx="2">
                  <c:v>-34.689352112676062</c:v>
                </c:pt>
                <c:pt idx="3">
                  <c:v>-34.241915492957752</c:v>
                </c:pt>
                <c:pt idx="4">
                  <c:v>-34.08450704225352</c:v>
                </c:pt>
                <c:pt idx="5">
                  <c:v>-34.241915492957752</c:v>
                </c:pt>
                <c:pt idx="6">
                  <c:v>-34.689352112676062</c:v>
                </c:pt>
                <c:pt idx="7">
                  <c:v>-35.359887323943667</c:v>
                </c:pt>
                <c:pt idx="8">
                  <c:v>-36.15023474178404</c:v>
                </c:pt>
                <c:pt idx="9">
                  <c:v>-36.940582159624412</c:v>
                </c:pt>
                <c:pt idx="10">
                  <c:v>-37.611117370892018</c:v>
                </c:pt>
                <c:pt idx="11">
                  <c:v>-38.058553990610328</c:v>
                </c:pt>
                <c:pt idx="12">
                  <c:v>-38.215962441314559</c:v>
                </c:pt>
                <c:pt idx="13">
                  <c:v>-38.058553990610328</c:v>
                </c:pt>
                <c:pt idx="14">
                  <c:v>-37.611117370892018</c:v>
                </c:pt>
                <c:pt idx="15">
                  <c:v>-36.940582159624412</c:v>
                </c:pt>
                <c:pt idx="16">
                  <c:v>-36.15023474178404</c:v>
                </c:pt>
                <c:pt idx="17">
                  <c:v>-36.15023474178404</c:v>
                </c:pt>
                <c:pt idx="18">
                  <c:v>-36.15023474178404</c:v>
                </c:pt>
                <c:pt idx="19">
                  <c:v>-39.248826291079816</c:v>
                </c:pt>
                <c:pt idx="20">
                  <c:v>-33.051643192488264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107-4888-A8E5-8BE2F5EBA809}"/>
            </c:ext>
          </c:extLst>
        </c:ser>
        <c:ser>
          <c:idx val="9"/>
          <c:order val="9"/>
          <c:tx>
            <c:v>X1Y2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Table!$A$148:$A$168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Table!$B$148:$B$168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107-4888-A8E5-8BE2F5EBA809}"/>
            </c:ext>
          </c:extLst>
        </c:ser>
        <c:ser>
          <c:idx val="10"/>
          <c:order val="10"/>
          <c:tx>
            <c:v>X2Y2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Table!$C$148:$C$168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Table!$D$148:$D$168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107-4888-A8E5-8BE2F5EBA809}"/>
            </c:ext>
          </c:extLst>
        </c:ser>
        <c:ser>
          <c:idx val="11"/>
          <c:order val="11"/>
          <c:tx>
            <c:v>X3Y2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Table!$E$148:$E$168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Table!$F$148:$F$168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107-4888-A8E5-8BE2F5EBA809}"/>
            </c:ext>
          </c:extLst>
        </c:ser>
        <c:ser>
          <c:idx val="12"/>
          <c:order val="12"/>
          <c:tx>
            <c:v>X4Y2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Table!$G$148:$G$168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Table!$H$148:$H$168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107-4888-A8E5-8BE2F5EBA809}"/>
            </c:ext>
          </c:extLst>
        </c:ser>
        <c:ser>
          <c:idx val="13"/>
          <c:order val="13"/>
          <c:tx>
            <c:v>X5Y2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Table!$I$148:$I$168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Table!$J$148:$J$168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107-4888-A8E5-8BE2F5EBA809}"/>
            </c:ext>
          </c:extLst>
        </c:ser>
        <c:ser>
          <c:idx val="14"/>
          <c:order val="14"/>
          <c:tx>
            <c:v>X6Y2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Table!$K$148:$K$168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Table!$L$148:$L$168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107-4888-A8E5-8BE2F5EBA809}"/>
            </c:ext>
          </c:extLst>
        </c:ser>
        <c:ser>
          <c:idx val="15"/>
          <c:order val="15"/>
          <c:tx>
            <c:v>X7Y2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Table!$M$148:$M$168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Table!$N$148:$N$168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107-4888-A8E5-8BE2F5EBA809}"/>
            </c:ext>
          </c:extLst>
        </c:ser>
        <c:ser>
          <c:idx val="16"/>
          <c:order val="16"/>
          <c:tx>
            <c:v>X8Y2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Table!$O$148:$O$168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Table!$P$148:$P$168</c:f>
              <c:numCache>
                <c:formatCode>0.00</c:formatCode>
                <c:ptCount val="21"/>
                <c:pt idx="0">
                  <c:v>-21.69014084507042</c:v>
                </c:pt>
                <c:pt idx="1">
                  <c:v>-20.899793427230044</c:v>
                </c:pt>
                <c:pt idx="2">
                  <c:v>-20.229258215962439</c:v>
                </c:pt>
                <c:pt idx="3">
                  <c:v>-19.781821596244129</c:v>
                </c:pt>
                <c:pt idx="4">
                  <c:v>-19.624413145539904</c:v>
                </c:pt>
                <c:pt idx="5">
                  <c:v>-19.781821596244129</c:v>
                </c:pt>
                <c:pt idx="6">
                  <c:v>-20.229258215962439</c:v>
                </c:pt>
                <c:pt idx="7">
                  <c:v>-20.899793427230044</c:v>
                </c:pt>
                <c:pt idx="8">
                  <c:v>-21.69014084507042</c:v>
                </c:pt>
                <c:pt idx="9">
                  <c:v>-22.480488262910796</c:v>
                </c:pt>
                <c:pt idx="10">
                  <c:v>-23.151023474178402</c:v>
                </c:pt>
                <c:pt idx="11">
                  <c:v>-23.598460093896712</c:v>
                </c:pt>
                <c:pt idx="12">
                  <c:v>-23.755868544600936</c:v>
                </c:pt>
                <c:pt idx="13">
                  <c:v>-23.598460093896712</c:v>
                </c:pt>
                <c:pt idx="14">
                  <c:v>-23.151023474178402</c:v>
                </c:pt>
                <c:pt idx="15">
                  <c:v>-22.480488262910796</c:v>
                </c:pt>
                <c:pt idx="16">
                  <c:v>-21.69014084507042</c:v>
                </c:pt>
                <c:pt idx="17">
                  <c:v>-21.69014084507042</c:v>
                </c:pt>
                <c:pt idx="18">
                  <c:v>-21.69014084507042</c:v>
                </c:pt>
                <c:pt idx="19">
                  <c:v>-24.788732394366196</c:v>
                </c:pt>
                <c:pt idx="20">
                  <c:v>-18.591549295774644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107-4888-A8E5-8BE2F5EBA809}"/>
            </c:ext>
          </c:extLst>
        </c:ser>
        <c:ser>
          <c:idx val="17"/>
          <c:order val="17"/>
          <c:tx>
            <c:v>X1Y3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Table!$A$124:$A$144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Table!$B$124:$B$144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107-4888-A8E5-8BE2F5EBA809}"/>
            </c:ext>
          </c:extLst>
        </c:ser>
        <c:ser>
          <c:idx val="18"/>
          <c:order val="18"/>
          <c:tx>
            <c:v>X2Y3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Table!$C$124:$C$144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Table!$D$124:$D$144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107-4888-A8E5-8BE2F5EBA809}"/>
            </c:ext>
          </c:extLst>
        </c:ser>
        <c:ser>
          <c:idx val="19"/>
          <c:order val="19"/>
          <c:tx>
            <c:v>X3Y3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Table!$E$124:$E$144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Table!$F$124:$F$144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107-4888-A8E5-8BE2F5EBA809}"/>
            </c:ext>
          </c:extLst>
        </c:ser>
        <c:ser>
          <c:idx val="20"/>
          <c:order val="20"/>
          <c:tx>
            <c:v>X4Y3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Table!$G$124:$G$144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Table!$H$124:$H$144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D107-4888-A8E5-8BE2F5EBA809}"/>
            </c:ext>
          </c:extLst>
        </c:ser>
        <c:ser>
          <c:idx val="21"/>
          <c:order val="21"/>
          <c:tx>
            <c:v>X5Y3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Table!$I$124:$I$144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Table!$J$124:$J$144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D107-4888-A8E5-8BE2F5EBA809}"/>
            </c:ext>
          </c:extLst>
        </c:ser>
        <c:ser>
          <c:idx val="22"/>
          <c:order val="22"/>
          <c:tx>
            <c:v>X6Y3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Table!$K$124:$K$144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Table!$L$124:$L$144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D107-4888-A8E5-8BE2F5EBA809}"/>
            </c:ext>
          </c:extLst>
        </c:ser>
        <c:ser>
          <c:idx val="23"/>
          <c:order val="23"/>
          <c:tx>
            <c:v>X7Y3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Table!$M$124:$M$144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Table!$N$124:$N$144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D107-4888-A8E5-8BE2F5EBA809}"/>
            </c:ext>
          </c:extLst>
        </c:ser>
        <c:ser>
          <c:idx val="24"/>
          <c:order val="24"/>
          <c:tx>
            <c:v>X8Y3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Table!$O$124:$O$144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Table!$P$124:$P$144</c:f>
              <c:numCache>
                <c:formatCode>0.00</c:formatCode>
                <c:ptCount val="21"/>
                <c:pt idx="0">
                  <c:v>-7.2300469483568071</c:v>
                </c:pt>
                <c:pt idx="1">
                  <c:v>-6.4396995305164317</c:v>
                </c:pt>
                <c:pt idx="2">
                  <c:v>-5.7691643192488256</c:v>
                </c:pt>
                <c:pt idx="3">
                  <c:v>-5.3217276995305163</c:v>
                </c:pt>
                <c:pt idx="4">
                  <c:v>-5.1643192488262901</c:v>
                </c:pt>
                <c:pt idx="5">
                  <c:v>-5.3217276995305163</c:v>
                </c:pt>
                <c:pt idx="6">
                  <c:v>-5.7691643192488256</c:v>
                </c:pt>
                <c:pt idx="7">
                  <c:v>-6.4396995305164317</c:v>
                </c:pt>
                <c:pt idx="8">
                  <c:v>-7.2300469483568071</c:v>
                </c:pt>
                <c:pt idx="9">
                  <c:v>-8.0203943661971824</c:v>
                </c:pt>
                <c:pt idx="10">
                  <c:v>-8.6909295774647894</c:v>
                </c:pt>
                <c:pt idx="11">
                  <c:v>-9.1383661971830978</c:v>
                </c:pt>
                <c:pt idx="12">
                  <c:v>-9.295774647887324</c:v>
                </c:pt>
                <c:pt idx="13">
                  <c:v>-9.1383661971830978</c:v>
                </c:pt>
                <c:pt idx="14">
                  <c:v>-8.6909295774647894</c:v>
                </c:pt>
                <c:pt idx="15">
                  <c:v>-8.0203943661971824</c:v>
                </c:pt>
                <c:pt idx="16">
                  <c:v>-7.2300469483568071</c:v>
                </c:pt>
                <c:pt idx="17">
                  <c:v>-7.2300469483568071</c:v>
                </c:pt>
                <c:pt idx="18">
                  <c:v>-7.2300469483568071</c:v>
                </c:pt>
                <c:pt idx="19">
                  <c:v>-10.328638497652582</c:v>
                </c:pt>
                <c:pt idx="20">
                  <c:v>-4.1314553990610321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D107-4888-A8E5-8BE2F5EBA809}"/>
            </c:ext>
          </c:extLst>
        </c:ser>
        <c:ser>
          <c:idx val="25"/>
          <c:order val="25"/>
          <c:tx>
            <c:v>X1Y4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Table!$A$100:$A$120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Table!$B$100:$B$120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D107-4888-A8E5-8BE2F5EBA809}"/>
            </c:ext>
          </c:extLst>
        </c:ser>
        <c:ser>
          <c:idx val="26"/>
          <c:order val="26"/>
          <c:tx>
            <c:v>X2Y4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Table!$C$100:$C$120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Table!$D$100:$D$120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D107-4888-A8E5-8BE2F5EBA809}"/>
            </c:ext>
          </c:extLst>
        </c:ser>
        <c:ser>
          <c:idx val="27"/>
          <c:order val="27"/>
          <c:tx>
            <c:v>X3Y4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Table!$E$100:$E$120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Table!$F$100:$F$120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D107-4888-A8E5-8BE2F5EBA809}"/>
            </c:ext>
          </c:extLst>
        </c:ser>
        <c:ser>
          <c:idx val="28"/>
          <c:order val="28"/>
          <c:tx>
            <c:v>X4Y4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Table!$G$100:$G$120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Table!$H$100:$H$120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D107-4888-A8E5-8BE2F5EBA809}"/>
            </c:ext>
          </c:extLst>
        </c:ser>
        <c:ser>
          <c:idx val="29"/>
          <c:order val="29"/>
          <c:tx>
            <c:v>X5Y4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Table!$I$100:$I$120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Table!$J$100:$J$120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D107-4888-A8E5-8BE2F5EBA809}"/>
            </c:ext>
          </c:extLst>
        </c:ser>
        <c:ser>
          <c:idx val="30"/>
          <c:order val="30"/>
          <c:tx>
            <c:v>X6Y4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Table!$K$100:$K$120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Table!$L$100:$L$120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D107-4888-A8E5-8BE2F5EBA809}"/>
            </c:ext>
          </c:extLst>
        </c:ser>
        <c:ser>
          <c:idx val="31"/>
          <c:order val="31"/>
          <c:tx>
            <c:v>X7Y4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Table!$M$100:$M$120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Table!$N$100:$N$120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D107-4888-A8E5-8BE2F5EBA809}"/>
            </c:ext>
          </c:extLst>
        </c:ser>
        <c:ser>
          <c:idx val="32"/>
          <c:order val="32"/>
          <c:tx>
            <c:v>X8Y4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Table!$O$100:$O$120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Table!$P$100:$P$120</c:f>
              <c:numCache>
                <c:formatCode>0.00</c:formatCode>
                <c:ptCount val="21"/>
                <c:pt idx="0">
                  <c:v>7.2300469483568071</c:v>
                </c:pt>
                <c:pt idx="1">
                  <c:v>8.0203943661971824</c:v>
                </c:pt>
                <c:pt idx="2">
                  <c:v>8.6909295774647894</c:v>
                </c:pt>
                <c:pt idx="3">
                  <c:v>9.1383661971830978</c:v>
                </c:pt>
                <c:pt idx="4">
                  <c:v>9.295774647887324</c:v>
                </c:pt>
                <c:pt idx="5">
                  <c:v>9.1383661971830978</c:v>
                </c:pt>
                <c:pt idx="6">
                  <c:v>8.6909295774647894</c:v>
                </c:pt>
                <c:pt idx="7">
                  <c:v>8.0203943661971824</c:v>
                </c:pt>
                <c:pt idx="8">
                  <c:v>7.2300469483568071</c:v>
                </c:pt>
                <c:pt idx="9">
                  <c:v>6.4396995305164317</c:v>
                </c:pt>
                <c:pt idx="10">
                  <c:v>5.7691643192488256</c:v>
                </c:pt>
                <c:pt idx="11">
                  <c:v>5.3217276995305163</c:v>
                </c:pt>
                <c:pt idx="12">
                  <c:v>5.1643192488262901</c:v>
                </c:pt>
                <c:pt idx="13">
                  <c:v>5.3217276995305163</c:v>
                </c:pt>
                <c:pt idx="14">
                  <c:v>5.7691643192488256</c:v>
                </c:pt>
                <c:pt idx="15">
                  <c:v>6.4396995305164317</c:v>
                </c:pt>
                <c:pt idx="16">
                  <c:v>7.2300469483568071</c:v>
                </c:pt>
                <c:pt idx="17">
                  <c:v>7.2300469483568071</c:v>
                </c:pt>
                <c:pt idx="18">
                  <c:v>7.2300469483568071</c:v>
                </c:pt>
                <c:pt idx="19">
                  <c:v>4.1314553990610321</c:v>
                </c:pt>
                <c:pt idx="20">
                  <c:v>10.328638497652582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D107-4888-A8E5-8BE2F5EBA809}"/>
            </c:ext>
          </c:extLst>
        </c:ser>
        <c:ser>
          <c:idx val="33"/>
          <c:order val="33"/>
          <c:tx>
            <c:v>X1Y5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Table!$A$76:$A$96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Table!$B$76:$B$96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D107-4888-A8E5-8BE2F5EBA809}"/>
            </c:ext>
          </c:extLst>
        </c:ser>
        <c:ser>
          <c:idx val="34"/>
          <c:order val="34"/>
          <c:tx>
            <c:v>X2Y5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Table!$C$76:$C$96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Table!$D$76:$D$96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D107-4888-A8E5-8BE2F5EBA809}"/>
            </c:ext>
          </c:extLst>
        </c:ser>
        <c:ser>
          <c:idx val="35"/>
          <c:order val="35"/>
          <c:tx>
            <c:v>X3Y5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Table!$E$76:$E$96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Table!$F$76:$F$96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D107-4888-A8E5-8BE2F5EBA809}"/>
            </c:ext>
          </c:extLst>
        </c:ser>
        <c:ser>
          <c:idx val="36"/>
          <c:order val="36"/>
          <c:tx>
            <c:v>X4Y5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Table!$G$76:$G$96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Table!$H$76:$H$96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D107-4888-A8E5-8BE2F5EBA809}"/>
            </c:ext>
          </c:extLst>
        </c:ser>
        <c:ser>
          <c:idx val="37"/>
          <c:order val="37"/>
          <c:tx>
            <c:v>X5Y5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Table!$I$76:$I$96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Table!$J$76:$J$96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D107-4888-A8E5-8BE2F5EBA809}"/>
            </c:ext>
          </c:extLst>
        </c:ser>
        <c:ser>
          <c:idx val="38"/>
          <c:order val="38"/>
          <c:tx>
            <c:v>X6Y5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Table!$K$76:$K$96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Table!$L$76:$L$96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D107-4888-A8E5-8BE2F5EBA809}"/>
            </c:ext>
          </c:extLst>
        </c:ser>
        <c:ser>
          <c:idx val="39"/>
          <c:order val="39"/>
          <c:tx>
            <c:v>X7Y5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Table!$M$76:$M$96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Table!$N$76:$N$96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D107-4888-A8E5-8BE2F5EBA809}"/>
            </c:ext>
          </c:extLst>
        </c:ser>
        <c:ser>
          <c:idx val="40"/>
          <c:order val="40"/>
          <c:tx>
            <c:v>X8Y5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Table!$O$76:$O$96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Table!$P$76:$P$96</c:f>
              <c:numCache>
                <c:formatCode>0.00</c:formatCode>
                <c:ptCount val="21"/>
                <c:pt idx="0">
                  <c:v>21.69014084507042</c:v>
                </c:pt>
                <c:pt idx="1">
                  <c:v>22.480488262910796</c:v>
                </c:pt>
                <c:pt idx="2">
                  <c:v>23.151023474178402</c:v>
                </c:pt>
                <c:pt idx="3">
                  <c:v>23.598460093896712</c:v>
                </c:pt>
                <c:pt idx="4">
                  <c:v>23.755868544600936</c:v>
                </c:pt>
                <c:pt idx="5">
                  <c:v>23.598460093896712</c:v>
                </c:pt>
                <c:pt idx="6">
                  <c:v>23.151023474178402</c:v>
                </c:pt>
                <c:pt idx="7">
                  <c:v>22.480488262910796</c:v>
                </c:pt>
                <c:pt idx="8">
                  <c:v>21.69014084507042</c:v>
                </c:pt>
                <c:pt idx="9">
                  <c:v>20.899793427230044</c:v>
                </c:pt>
                <c:pt idx="10">
                  <c:v>20.229258215962439</c:v>
                </c:pt>
                <c:pt idx="11">
                  <c:v>19.781821596244129</c:v>
                </c:pt>
                <c:pt idx="12">
                  <c:v>19.624413145539904</c:v>
                </c:pt>
                <c:pt idx="13">
                  <c:v>19.781821596244129</c:v>
                </c:pt>
                <c:pt idx="14">
                  <c:v>20.229258215962439</c:v>
                </c:pt>
                <c:pt idx="15">
                  <c:v>20.899793427230044</c:v>
                </c:pt>
                <c:pt idx="16">
                  <c:v>21.69014084507042</c:v>
                </c:pt>
                <c:pt idx="17">
                  <c:v>21.69014084507042</c:v>
                </c:pt>
                <c:pt idx="18">
                  <c:v>21.69014084507042</c:v>
                </c:pt>
                <c:pt idx="19">
                  <c:v>18.591549295774644</c:v>
                </c:pt>
                <c:pt idx="20">
                  <c:v>24.788732394366196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D107-4888-A8E5-8BE2F5EBA809}"/>
            </c:ext>
          </c:extLst>
        </c:ser>
        <c:ser>
          <c:idx val="41"/>
          <c:order val="41"/>
          <c:tx>
            <c:v>X1Y6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Table!$A$52:$A$72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Table!$B$52:$B$72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D107-4888-A8E5-8BE2F5EBA809}"/>
            </c:ext>
          </c:extLst>
        </c:ser>
        <c:ser>
          <c:idx val="42"/>
          <c:order val="42"/>
          <c:tx>
            <c:v>X2Y6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Table!$C$52:$C$72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Table!$D$52:$D$72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D107-4888-A8E5-8BE2F5EBA809}"/>
            </c:ext>
          </c:extLst>
        </c:ser>
        <c:ser>
          <c:idx val="43"/>
          <c:order val="43"/>
          <c:tx>
            <c:v>X3Y6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Table!$E$52:$E$72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Table!$F$52:$F$72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D107-4888-A8E5-8BE2F5EBA809}"/>
            </c:ext>
          </c:extLst>
        </c:ser>
        <c:ser>
          <c:idx val="44"/>
          <c:order val="44"/>
          <c:tx>
            <c:v>X4Y6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Table!$G$52:$G$72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Table!$H$52:$H$72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D107-4888-A8E5-8BE2F5EBA809}"/>
            </c:ext>
          </c:extLst>
        </c:ser>
        <c:ser>
          <c:idx val="45"/>
          <c:order val="45"/>
          <c:tx>
            <c:v>X5Y6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Table!$I$52:$I$72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Table!$J$52:$J$72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D107-4888-A8E5-8BE2F5EBA809}"/>
            </c:ext>
          </c:extLst>
        </c:ser>
        <c:ser>
          <c:idx val="46"/>
          <c:order val="46"/>
          <c:tx>
            <c:v>X6Y6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Table!$K$52:$K$72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Table!$L$52:$L$72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D107-4888-A8E5-8BE2F5EBA809}"/>
            </c:ext>
          </c:extLst>
        </c:ser>
        <c:ser>
          <c:idx val="47"/>
          <c:order val="47"/>
          <c:tx>
            <c:v>X7Y6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Table!$M$52:$M$72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Table!$N$52:$N$72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D107-4888-A8E5-8BE2F5EBA809}"/>
            </c:ext>
          </c:extLst>
        </c:ser>
        <c:ser>
          <c:idx val="48"/>
          <c:order val="48"/>
          <c:tx>
            <c:v>X8Y6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Table!$O$52:$O$72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Table!$P$52:$P$72</c:f>
              <c:numCache>
                <c:formatCode>0.00</c:formatCode>
                <c:ptCount val="21"/>
                <c:pt idx="0">
                  <c:v>36.15023474178404</c:v>
                </c:pt>
                <c:pt idx="1">
                  <c:v>36.940582159624412</c:v>
                </c:pt>
                <c:pt idx="2">
                  <c:v>37.611117370892018</c:v>
                </c:pt>
                <c:pt idx="3">
                  <c:v>38.058553990610328</c:v>
                </c:pt>
                <c:pt idx="4">
                  <c:v>38.215962441314559</c:v>
                </c:pt>
                <c:pt idx="5">
                  <c:v>38.058553990610328</c:v>
                </c:pt>
                <c:pt idx="6">
                  <c:v>37.611117370892018</c:v>
                </c:pt>
                <c:pt idx="7">
                  <c:v>36.940582159624412</c:v>
                </c:pt>
                <c:pt idx="8">
                  <c:v>36.15023474178404</c:v>
                </c:pt>
                <c:pt idx="9">
                  <c:v>35.359887323943667</c:v>
                </c:pt>
                <c:pt idx="10">
                  <c:v>34.689352112676062</c:v>
                </c:pt>
                <c:pt idx="11">
                  <c:v>34.241915492957752</c:v>
                </c:pt>
                <c:pt idx="12">
                  <c:v>34.08450704225352</c:v>
                </c:pt>
                <c:pt idx="13">
                  <c:v>34.241915492957752</c:v>
                </c:pt>
                <c:pt idx="14">
                  <c:v>34.689352112676062</c:v>
                </c:pt>
                <c:pt idx="15">
                  <c:v>35.359887323943667</c:v>
                </c:pt>
                <c:pt idx="16">
                  <c:v>36.15023474178404</c:v>
                </c:pt>
                <c:pt idx="17">
                  <c:v>36.15023474178404</c:v>
                </c:pt>
                <c:pt idx="18">
                  <c:v>36.15023474178404</c:v>
                </c:pt>
                <c:pt idx="19">
                  <c:v>33.051643192488264</c:v>
                </c:pt>
                <c:pt idx="20">
                  <c:v>39.248826291079816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D107-4888-A8E5-8BE2F5EBA809}"/>
            </c:ext>
          </c:extLst>
        </c:ser>
        <c:ser>
          <c:idx val="49"/>
          <c:order val="49"/>
          <c:tx>
            <c:v>X1Y7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Table!$A$28:$A$48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Table!$B$28:$B$48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D107-4888-A8E5-8BE2F5EBA809}"/>
            </c:ext>
          </c:extLst>
        </c:ser>
        <c:ser>
          <c:idx val="50"/>
          <c:order val="50"/>
          <c:tx>
            <c:v>X2Y7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Table!$C$28:$C$48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Table!$D$28:$D$48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D107-4888-A8E5-8BE2F5EBA809}"/>
            </c:ext>
          </c:extLst>
        </c:ser>
        <c:ser>
          <c:idx val="51"/>
          <c:order val="51"/>
          <c:tx>
            <c:v>X3Y7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Table!$E$28:$E$48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Table!$F$28:$F$48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D107-4888-A8E5-8BE2F5EBA809}"/>
            </c:ext>
          </c:extLst>
        </c:ser>
        <c:ser>
          <c:idx val="52"/>
          <c:order val="52"/>
          <c:tx>
            <c:v>X4Y7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Table!$G$28:$G$48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Table!$H$28:$H$48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D107-4888-A8E5-8BE2F5EBA809}"/>
            </c:ext>
          </c:extLst>
        </c:ser>
        <c:ser>
          <c:idx val="53"/>
          <c:order val="53"/>
          <c:tx>
            <c:v>X5Y7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Table!$I$28:$I$48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Table!$J$28:$J$48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D107-4888-A8E5-8BE2F5EBA809}"/>
            </c:ext>
          </c:extLst>
        </c:ser>
        <c:ser>
          <c:idx val="54"/>
          <c:order val="54"/>
          <c:tx>
            <c:v>X6Y7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Table!$K$28:$K$48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Table!$L$28:$L$48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D107-4888-A8E5-8BE2F5EBA809}"/>
            </c:ext>
          </c:extLst>
        </c:ser>
        <c:ser>
          <c:idx val="55"/>
          <c:order val="55"/>
          <c:tx>
            <c:v>X7Y7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Table!$M$28:$M$48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Table!$N$28:$N$48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D107-4888-A8E5-8BE2F5EBA809}"/>
            </c:ext>
          </c:extLst>
        </c:ser>
        <c:ser>
          <c:idx val="56"/>
          <c:order val="56"/>
          <c:tx>
            <c:v>X8Y7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Table!$O$28:$O$48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Table!$P$28:$P$48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D107-4888-A8E5-8BE2F5EBA809}"/>
            </c:ext>
          </c:extLst>
        </c:ser>
        <c:ser>
          <c:idx val="57"/>
          <c:order val="57"/>
          <c:tx>
            <c:v>X1Y8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Table!$A$4:$A$24</c:f>
              <c:numCache>
                <c:formatCode>0.00</c:formatCode>
                <c:ptCount val="21"/>
                <c:pt idx="0">
                  <c:v>-9.8122065727699521</c:v>
                </c:pt>
                <c:pt idx="1">
                  <c:v>-9.6547981220657277</c:v>
                </c:pt>
                <c:pt idx="2">
                  <c:v>-9.2073615023474176</c:v>
                </c:pt>
                <c:pt idx="3">
                  <c:v>-8.5368262910798123</c:v>
                </c:pt>
                <c:pt idx="4">
                  <c:v>-7.7464788732394361</c:v>
                </c:pt>
                <c:pt idx="5">
                  <c:v>-6.9561314553990607</c:v>
                </c:pt>
                <c:pt idx="6">
                  <c:v>-6.2855962441314546</c:v>
                </c:pt>
                <c:pt idx="7">
                  <c:v>-5.8460093896713605</c:v>
                </c:pt>
                <c:pt idx="8">
                  <c:v>-5.68075117370892</c:v>
                </c:pt>
                <c:pt idx="9">
                  <c:v>-5.8460093896713605</c:v>
                </c:pt>
                <c:pt idx="10">
                  <c:v>-6.2855962441314546</c:v>
                </c:pt>
                <c:pt idx="11">
                  <c:v>-6.9561314553990607</c:v>
                </c:pt>
                <c:pt idx="12">
                  <c:v>-7.7464788732394361</c:v>
                </c:pt>
                <c:pt idx="13">
                  <c:v>-8.5368262910798123</c:v>
                </c:pt>
                <c:pt idx="14">
                  <c:v>-9.2073615023474176</c:v>
                </c:pt>
                <c:pt idx="15">
                  <c:v>-9.6547981220657277</c:v>
                </c:pt>
                <c:pt idx="16">
                  <c:v>-9.8122065727699521</c:v>
                </c:pt>
                <c:pt idx="17">
                  <c:v>-10.84507042253521</c:v>
                </c:pt>
                <c:pt idx="18">
                  <c:v>-4.647887323943662</c:v>
                </c:pt>
                <c:pt idx="19">
                  <c:v>-7.7464788732394361</c:v>
                </c:pt>
                <c:pt idx="20">
                  <c:v>-7.7464788732394361</c:v>
                </c:pt>
              </c:numCache>
            </c:numRef>
          </c:xVal>
          <c:yVal>
            <c:numRef>
              <c:f>Table!$B$4:$B$24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D107-4888-A8E5-8BE2F5EBA809}"/>
            </c:ext>
          </c:extLst>
        </c:ser>
        <c:ser>
          <c:idx val="58"/>
          <c:order val="58"/>
          <c:tx>
            <c:v>X2Y8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Table!$C$4:$C$24</c:f>
              <c:numCache>
                <c:formatCode>0.00</c:formatCode>
                <c:ptCount val="21"/>
                <c:pt idx="0">
                  <c:v>5.68075117370892</c:v>
                </c:pt>
                <c:pt idx="1">
                  <c:v>5.8381596244131453</c:v>
                </c:pt>
                <c:pt idx="2">
                  <c:v>6.2855962441314546</c:v>
                </c:pt>
                <c:pt idx="3">
                  <c:v>6.9561314553990607</c:v>
                </c:pt>
                <c:pt idx="4">
                  <c:v>7.7464788732394361</c:v>
                </c:pt>
                <c:pt idx="5">
                  <c:v>8.5368262910798123</c:v>
                </c:pt>
                <c:pt idx="6">
                  <c:v>9.2073615023474176</c:v>
                </c:pt>
                <c:pt idx="7">
                  <c:v>9.6469483568075116</c:v>
                </c:pt>
                <c:pt idx="8">
                  <c:v>9.8122065727699521</c:v>
                </c:pt>
                <c:pt idx="9">
                  <c:v>9.6469483568075116</c:v>
                </c:pt>
                <c:pt idx="10">
                  <c:v>9.2073615023474176</c:v>
                </c:pt>
                <c:pt idx="11">
                  <c:v>8.5368262910798123</c:v>
                </c:pt>
                <c:pt idx="12">
                  <c:v>7.7464788732394361</c:v>
                </c:pt>
                <c:pt idx="13">
                  <c:v>6.9561314553990607</c:v>
                </c:pt>
                <c:pt idx="14">
                  <c:v>6.2855962441314546</c:v>
                </c:pt>
                <c:pt idx="15">
                  <c:v>5.8381596244131453</c:v>
                </c:pt>
                <c:pt idx="16">
                  <c:v>5.68075117370892</c:v>
                </c:pt>
                <c:pt idx="17">
                  <c:v>4.647887323943662</c:v>
                </c:pt>
                <c:pt idx="18">
                  <c:v>10.84507042253521</c:v>
                </c:pt>
                <c:pt idx="19">
                  <c:v>7.7464788732394361</c:v>
                </c:pt>
                <c:pt idx="20">
                  <c:v>7.7464788732394361</c:v>
                </c:pt>
              </c:numCache>
            </c:numRef>
          </c:xVal>
          <c:yVal>
            <c:numRef>
              <c:f>Table!$D$4:$D$24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D107-4888-A8E5-8BE2F5EBA809}"/>
            </c:ext>
          </c:extLst>
        </c:ser>
        <c:ser>
          <c:idx val="59"/>
          <c:order val="59"/>
          <c:tx>
            <c:v>X3Y8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Table!$E$4:$E$24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Table!$F$4:$F$24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D107-4888-A8E5-8BE2F5EBA809}"/>
            </c:ext>
          </c:extLst>
        </c:ser>
        <c:ser>
          <c:idx val="60"/>
          <c:order val="60"/>
          <c:tx>
            <c:v>X4Y8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Table!$G$4:$G$24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Table!$H$4:$H$24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D107-4888-A8E5-8BE2F5EBA809}"/>
            </c:ext>
          </c:extLst>
        </c:ser>
        <c:ser>
          <c:idx val="61"/>
          <c:order val="61"/>
          <c:tx>
            <c:v>X5Y8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Table!$I$4:$I$24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Table!$J$4:$J$24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D107-4888-A8E5-8BE2F5EBA809}"/>
            </c:ext>
          </c:extLst>
        </c:ser>
        <c:ser>
          <c:idx val="62"/>
          <c:order val="62"/>
          <c:tx>
            <c:v>X6Y8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Table!$K$4:$K$24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Table!$L$4:$L$24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D107-4888-A8E5-8BE2F5EBA809}"/>
            </c:ext>
          </c:extLst>
        </c:ser>
        <c:ser>
          <c:idx val="63"/>
          <c:order val="63"/>
          <c:tx>
            <c:v>X7Y8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Table!$M$4:$M$24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Table!$N$4:$N$24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D107-4888-A8E5-8BE2F5EBA809}"/>
            </c:ext>
          </c:extLst>
        </c:ser>
        <c:ser>
          <c:idx val="64"/>
          <c:order val="64"/>
          <c:tx>
            <c:v>X8Y8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Table!$O$4:$O$24</c:f>
              <c:numCache>
                <c:formatCode>0.00</c:formatCode>
                <c:ptCount val="21"/>
                <c:pt idx="0">
                  <c:v>514.36619718309862</c:v>
                </c:pt>
                <c:pt idx="1">
                  <c:v>514.52360563380284</c:v>
                </c:pt>
                <c:pt idx="2">
                  <c:v>514.97104225352109</c:v>
                </c:pt>
                <c:pt idx="3">
                  <c:v>515.64157746478872</c:v>
                </c:pt>
                <c:pt idx="4">
                  <c:v>516.43192488262912</c:v>
                </c:pt>
                <c:pt idx="5">
                  <c:v>517.22227230046951</c:v>
                </c:pt>
                <c:pt idx="6">
                  <c:v>517.89280751173715</c:v>
                </c:pt>
                <c:pt idx="7">
                  <c:v>518.33239436619715</c:v>
                </c:pt>
                <c:pt idx="8">
                  <c:v>518.49765258215962</c:v>
                </c:pt>
                <c:pt idx="9">
                  <c:v>518.33239436619715</c:v>
                </c:pt>
                <c:pt idx="10">
                  <c:v>517.89280751173715</c:v>
                </c:pt>
                <c:pt idx="11">
                  <c:v>517.22227230046951</c:v>
                </c:pt>
                <c:pt idx="12">
                  <c:v>516.43192488262912</c:v>
                </c:pt>
                <c:pt idx="13">
                  <c:v>515.64157746478872</c:v>
                </c:pt>
                <c:pt idx="14">
                  <c:v>514.97104225352109</c:v>
                </c:pt>
                <c:pt idx="15">
                  <c:v>514.52360563380284</c:v>
                </c:pt>
                <c:pt idx="16">
                  <c:v>514.36619718309862</c:v>
                </c:pt>
                <c:pt idx="17">
                  <c:v>513.33333333333337</c:v>
                </c:pt>
                <c:pt idx="18">
                  <c:v>519.53051643192487</c:v>
                </c:pt>
                <c:pt idx="19">
                  <c:v>516.43192488262912</c:v>
                </c:pt>
                <c:pt idx="20">
                  <c:v>516.43192488262912</c:v>
                </c:pt>
              </c:numCache>
            </c:numRef>
          </c:xVal>
          <c:yVal>
            <c:numRef>
              <c:f>Table!$P$4:$P$24</c:f>
              <c:numCache>
                <c:formatCode>0.00</c:formatCode>
                <c:ptCount val="21"/>
                <c:pt idx="0">
                  <c:v>516.43192488262912</c:v>
                </c:pt>
                <c:pt idx="1">
                  <c:v>517.22227230046951</c:v>
                </c:pt>
                <c:pt idx="2">
                  <c:v>517.89280751173715</c:v>
                </c:pt>
                <c:pt idx="3">
                  <c:v>518.34024413145539</c:v>
                </c:pt>
                <c:pt idx="4">
                  <c:v>518.49765258215962</c:v>
                </c:pt>
                <c:pt idx="5">
                  <c:v>518.34024413145539</c:v>
                </c:pt>
                <c:pt idx="6">
                  <c:v>517.89280751173715</c:v>
                </c:pt>
                <c:pt idx="7">
                  <c:v>517.22227230046951</c:v>
                </c:pt>
                <c:pt idx="8">
                  <c:v>516.43192488262912</c:v>
                </c:pt>
                <c:pt idx="9">
                  <c:v>515.64157746478872</c:v>
                </c:pt>
                <c:pt idx="10">
                  <c:v>514.97104225352109</c:v>
                </c:pt>
                <c:pt idx="11">
                  <c:v>514.52360563380284</c:v>
                </c:pt>
                <c:pt idx="12">
                  <c:v>514.36619718309862</c:v>
                </c:pt>
                <c:pt idx="13">
                  <c:v>514.52360563380284</c:v>
                </c:pt>
                <c:pt idx="14">
                  <c:v>514.97104225352109</c:v>
                </c:pt>
                <c:pt idx="15">
                  <c:v>515.64157746478872</c:v>
                </c:pt>
                <c:pt idx="16">
                  <c:v>516.43192488262912</c:v>
                </c:pt>
                <c:pt idx="17">
                  <c:v>516.43192488262912</c:v>
                </c:pt>
                <c:pt idx="18">
                  <c:v>516.43192488262912</c:v>
                </c:pt>
                <c:pt idx="19">
                  <c:v>513.33333333333337</c:v>
                </c:pt>
                <c:pt idx="20">
                  <c:v>519.53051643192487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D107-4888-A8E5-8BE2F5EBA809}"/>
            </c:ext>
          </c:extLst>
        </c:ser>
        <c:ser>
          <c:idx val="65"/>
          <c:order val="65"/>
          <c:spPr>
            <a:ln w="158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Table!$S$31:$S$32</c:f>
              <c:numCache>
                <c:formatCode>0.00</c:formatCode>
                <c:ptCount val="2"/>
                <c:pt idx="0">
                  <c:v>-28.4037558685446</c:v>
                </c:pt>
                <c:pt idx="1">
                  <c:v>28.4037558685446</c:v>
                </c:pt>
              </c:numCache>
            </c:numRef>
          </c:xVal>
          <c:yVal>
            <c:numRef>
              <c:f>Table!$T$31:$T$32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D107-4888-A8E5-8BE2F5EBA809}"/>
            </c:ext>
          </c:extLst>
        </c:ser>
        <c:ser>
          <c:idx val="66"/>
          <c:order val="66"/>
          <c:spPr>
            <a:ln w="158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Table!$S$33:$S$34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Table!$T$33:$T$34</c:f>
              <c:numCache>
                <c:formatCode>0.00</c:formatCode>
                <c:ptCount val="2"/>
                <c:pt idx="0">
                  <c:v>-55</c:v>
                </c:pt>
                <c:pt idx="1">
                  <c:v>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D107-4888-A8E5-8BE2F5EBA809}"/>
            </c:ext>
          </c:extLst>
        </c:ser>
        <c:ser>
          <c:idx val="67"/>
          <c:order val="67"/>
          <c:tx>
            <c:v>A</c:v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Table!$X$39:$X$47</c:f>
              <c:numCache>
                <c:formatCode>0.000</c:formatCode>
                <c:ptCount val="9"/>
                <c:pt idx="0">
                  <c:v>-25.305164319248821</c:v>
                </c:pt>
                <c:pt idx="1">
                  <c:v>-25.305164319248821</c:v>
                </c:pt>
                <c:pt idx="2">
                  <c:v>-4.6478873239436549</c:v>
                </c:pt>
                <c:pt idx="3">
                  <c:v>-4.6478873239436549</c:v>
                </c:pt>
                <c:pt idx="4">
                  <c:v>-25.305164319248821</c:v>
                </c:pt>
                <c:pt idx="5">
                  <c:v>-25.305164319248821</c:v>
                </c:pt>
                <c:pt idx="6">
                  <c:v>-2.8403755868544547</c:v>
                </c:pt>
                <c:pt idx="7">
                  <c:v>-2.8403755868544547</c:v>
                </c:pt>
                <c:pt idx="8">
                  <c:v>-25.305164319248821</c:v>
                </c:pt>
              </c:numCache>
            </c:numRef>
          </c:xVal>
          <c:yVal>
            <c:numRef>
              <c:f>Table!$Y$39:$Y$47</c:f>
              <c:numCache>
                <c:formatCode>0.000</c:formatCode>
                <c:ptCount val="9"/>
                <c:pt idx="0">
                  <c:v>-44.671361502347416</c:v>
                </c:pt>
                <c:pt idx="1">
                  <c:v>-42.089201877934272</c:v>
                </c:pt>
                <c:pt idx="2">
                  <c:v>-42.089201877934272</c:v>
                </c:pt>
                <c:pt idx="3">
                  <c:v>42.089201877934272</c:v>
                </c:pt>
                <c:pt idx="4">
                  <c:v>42.089201877934272</c:v>
                </c:pt>
                <c:pt idx="5">
                  <c:v>44.671361502347416</c:v>
                </c:pt>
                <c:pt idx="6">
                  <c:v>44.671361502347416</c:v>
                </c:pt>
                <c:pt idx="7">
                  <c:v>-44.671361502347416</c:v>
                </c:pt>
                <c:pt idx="8">
                  <c:v>-44.671361502347416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D107-4888-A8E5-8BE2F5EBA809}"/>
            </c:ext>
          </c:extLst>
        </c:ser>
        <c:ser>
          <c:idx val="68"/>
          <c:order val="68"/>
          <c:tx>
            <c:v>C</c:v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Table!$X$50:$X$51</c:f>
              <c:numCache>
                <c:formatCode>0.000</c:formatCode>
                <c:ptCount val="2"/>
                <c:pt idx="0">
                  <c:v>-5.6807511737089129</c:v>
                </c:pt>
                <c:pt idx="1">
                  <c:v>-5.6807511737089129</c:v>
                </c:pt>
              </c:numCache>
            </c:numRef>
          </c:xVal>
          <c:yVal>
            <c:numRef>
              <c:f>Table!$Y$50:$Y$51</c:f>
              <c:numCache>
                <c:formatCode>0.000</c:formatCode>
                <c:ptCount val="2"/>
                <c:pt idx="0">
                  <c:v>-42.089201877934272</c:v>
                </c:pt>
                <c:pt idx="1">
                  <c:v>42.089201877934272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D107-4888-A8E5-8BE2F5EBA809}"/>
            </c:ext>
          </c:extLst>
        </c:ser>
        <c:ser>
          <c:idx val="69"/>
          <c:order val="69"/>
          <c:tx>
            <c:v>E</c:v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Table!$X$56:$X$57</c:f>
              <c:numCache>
                <c:formatCode>0.000</c:formatCode>
                <c:ptCount val="2"/>
                <c:pt idx="0">
                  <c:v>2.5821596244131455</c:v>
                </c:pt>
                <c:pt idx="1">
                  <c:v>2.5821596244131455</c:v>
                </c:pt>
              </c:numCache>
            </c:numRef>
          </c:xVal>
          <c:yVal>
            <c:numRef>
              <c:f>Table!$Y$56:$Y$57</c:f>
              <c:numCache>
                <c:formatCode>0.000</c:formatCode>
                <c:ptCount val="2"/>
                <c:pt idx="0">
                  <c:v>-44.671361502347416</c:v>
                </c:pt>
                <c:pt idx="1">
                  <c:v>44.671361502347416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D107-4888-A8E5-8BE2F5EBA809}"/>
            </c:ext>
          </c:extLst>
        </c:ser>
        <c:ser>
          <c:idx val="70"/>
          <c:order val="70"/>
          <c:tx>
            <c:v>F</c:v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Table!$X$58:$X$59</c:f>
              <c:numCache>
                <c:formatCode>0.000</c:formatCode>
                <c:ptCount val="2"/>
                <c:pt idx="0">
                  <c:v>5.6807511737089182</c:v>
                </c:pt>
                <c:pt idx="1">
                  <c:v>5.6807511737089182</c:v>
                </c:pt>
              </c:numCache>
            </c:numRef>
          </c:xVal>
          <c:yVal>
            <c:numRef>
              <c:f>Table!$Y$58:$Y$59</c:f>
              <c:numCache>
                <c:formatCode>0.000</c:formatCode>
                <c:ptCount val="2"/>
                <c:pt idx="0">
                  <c:v>-44.671361502347416</c:v>
                </c:pt>
                <c:pt idx="1">
                  <c:v>44.671361502347416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D107-4888-A8E5-8BE2F5EBA809}"/>
            </c:ext>
          </c:extLst>
        </c:ser>
        <c:ser>
          <c:idx val="71"/>
          <c:order val="71"/>
          <c:tx>
            <c:v>B</c:v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Table!$X$48:$X$49</c:f>
              <c:numCache>
                <c:formatCode>0.000</c:formatCode>
                <c:ptCount val="2"/>
                <c:pt idx="0">
                  <c:v>-18.075117370892013</c:v>
                </c:pt>
                <c:pt idx="1">
                  <c:v>-18.075117370892013</c:v>
                </c:pt>
              </c:numCache>
            </c:numRef>
          </c:xVal>
          <c:yVal>
            <c:numRef>
              <c:f>Table!$Y$48:$Y$49</c:f>
              <c:numCache>
                <c:formatCode>0.000</c:formatCode>
                <c:ptCount val="2"/>
                <c:pt idx="0">
                  <c:v>-42.089201877934272</c:v>
                </c:pt>
                <c:pt idx="1">
                  <c:v>42.089201877934272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D107-4888-A8E5-8BE2F5EBA809}"/>
            </c:ext>
          </c:extLst>
        </c:ser>
        <c:ser>
          <c:idx val="72"/>
          <c:order val="72"/>
          <c:tx>
            <c:v>D</c:v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Table!$X$52:$X$55</c:f>
              <c:numCache>
                <c:formatCode>0.000</c:formatCode>
                <c:ptCount val="4"/>
                <c:pt idx="0">
                  <c:v>-2.8403755868544547</c:v>
                </c:pt>
                <c:pt idx="1">
                  <c:v>18.07511737089202</c:v>
                </c:pt>
                <c:pt idx="2">
                  <c:v>18.07511737089202</c:v>
                </c:pt>
                <c:pt idx="3">
                  <c:v>-2.8403755868544547</c:v>
                </c:pt>
              </c:numCache>
            </c:numRef>
          </c:xVal>
          <c:yVal>
            <c:numRef>
              <c:f>Table!$Y$52:$Y$55</c:f>
              <c:numCache>
                <c:formatCode>0.000</c:formatCode>
                <c:ptCount val="4"/>
                <c:pt idx="0">
                  <c:v>44.671361502347416</c:v>
                </c:pt>
                <c:pt idx="1">
                  <c:v>44.671361502347416</c:v>
                </c:pt>
                <c:pt idx="2">
                  <c:v>-44.671361502347416</c:v>
                </c:pt>
                <c:pt idx="3">
                  <c:v>-44.671361502347416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D107-4888-A8E5-8BE2F5EBA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746800"/>
        <c:axId val="721747128"/>
      </c:scatterChart>
      <c:valAx>
        <c:axId val="721746800"/>
        <c:scaling>
          <c:orientation val="minMax"/>
          <c:max val="60"/>
          <c:min val="-60"/>
        </c:scaling>
        <c:delete val="1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721747128"/>
        <c:crosses val="autoZero"/>
        <c:crossBetween val="midCat"/>
        <c:majorUnit val="5"/>
      </c:valAx>
      <c:valAx>
        <c:axId val="721747128"/>
        <c:scaling>
          <c:orientation val="minMax"/>
          <c:max val="60"/>
          <c:min val="-6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721746800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Table!$T$39:$T$47</c:f>
              <c:numCache>
                <c:formatCode>0.000</c:formatCode>
                <c:ptCount val="9"/>
                <c:pt idx="0">
                  <c:v>-13.352601156069362</c:v>
                </c:pt>
                <c:pt idx="1">
                  <c:v>-13.352601156069362</c:v>
                </c:pt>
                <c:pt idx="2">
                  <c:v>-0.63583815028901469</c:v>
                </c:pt>
                <c:pt idx="3">
                  <c:v>-0.63583815028901469</c:v>
                </c:pt>
                <c:pt idx="4">
                  <c:v>-13.352601156069362</c:v>
                </c:pt>
                <c:pt idx="5">
                  <c:v>-13.352601156069362</c:v>
                </c:pt>
                <c:pt idx="6">
                  <c:v>0.47687861271676368</c:v>
                </c:pt>
                <c:pt idx="7">
                  <c:v>0.47687861271676368</c:v>
                </c:pt>
                <c:pt idx="8">
                  <c:v>-13.352601156069362</c:v>
                </c:pt>
              </c:numCache>
            </c:numRef>
          </c:xVal>
          <c:yVal>
            <c:numRef>
              <c:f>Table!$U$39:$U$47</c:f>
              <c:numCache>
                <c:formatCode>0.000</c:formatCode>
                <c:ptCount val="9"/>
                <c:pt idx="0">
                  <c:v>-27.5</c:v>
                </c:pt>
                <c:pt idx="1">
                  <c:v>-25.910404624277458</c:v>
                </c:pt>
                <c:pt idx="2">
                  <c:v>-25.910404624277458</c:v>
                </c:pt>
                <c:pt idx="3">
                  <c:v>25.910404624277454</c:v>
                </c:pt>
                <c:pt idx="4">
                  <c:v>25.910404624277454</c:v>
                </c:pt>
                <c:pt idx="5">
                  <c:v>27.5</c:v>
                </c:pt>
                <c:pt idx="6">
                  <c:v>27.5</c:v>
                </c:pt>
                <c:pt idx="7">
                  <c:v>-27.5</c:v>
                </c:pt>
                <c:pt idx="8">
                  <c:v>-27.5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C7-482F-B4EA-76EBD9A2A4CC}"/>
            </c:ext>
          </c:extLst>
        </c:ser>
        <c:ser>
          <c:idx val="1"/>
          <c:order val="1"/>
          <c:tx>
            <c:v>B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Table!$T$48:$T$49</c:f>
              <c:numCache>
                <c:formatCode>0.000</c:formatCode>
                <c:ptCount val="2"/>
                <c:pt idx="0">
                  <c:v>-8.9017341040462412</c:v>
                </c:pt>
                <c:pt idx="1">
                  <c:v>-8.9017341040462412</c:v>
                </c:pt>
              </c:numCache>
            </c:numRef>
          </c:xVal>
          <c:yVal>
            <c:numRef>
              <c:f>Table!$U$48:$U$49</c:f>
              <c:numCache>
                <c:formatCode>0.000</c:formatCode>
                <c:ptCount val="2"/>
                <c:pt idx="0">
                  <c:v>-25.910404624277458</c:v>
                </c:pt>
                <c:pt idx="1">
                  <c:v>25.910404624277454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C7-482F-B4EA-76EBD9A2A4CC}"/>
            </c:ext>
          </c:extLst>
        </c:ser>
        <c:ser>
          <c:idx val="2"/>
          <c:order val="2"/>
          <c:tx>
            <c:v>C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Table!$T$50:$T$51</c:f>
              <c:numCache>
                <c:formatCode>0.000</c:formatCode>
                <c:ptCount val="2"/>
                <c:pt idx="0">
                  <c:v>-1.2716763005780329</c:v>
                </c:pt>
                <c:pt idx="1">
                  <c:v>-1.2716763005780329</c:v>
                </c:pt>
              </c:numCache>
            </c:numRef>
          </c:xVal>
          <c:yVal>
            <c:numRef>
              <c:f>Table!$U$50:$U$51</c:f>
              <c:numCache>
                <c:formatCode>0.000</c:formatCode>
                <c:ptCount val="2"/>
                <c:pt idx="0">
                  <c:v>-25.910404624277458</c:v>
                </c:pt>
                <c:pt idx="1">
                  <c:v>25.910404624277454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3C7-482F-B4EA-76EBD9A2A4CC}"/>
            </c:ext>
          </c:extLst>
        </c:ser>
        <c:ser>
          <c:idx val="3"/>
          <c:order val="3"/>
          <c:tx>
            <c:v>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Table!$T$52:$T$55</c:f>
              <c:numCache>
                <c:formatCode>0.000</c:formatCode>
                <c:ptCount val="4"/>
                <c:pt idx="0">
                  <c:v>0.47687861271676368</c:v>
                </c:pt>
                <c:pt idx="1">
                  <c:v>13.352601156069362</c:v>
                </c:pt>
                <c:pt idx="2">
                  <c:v>13.352601156069362</c:v>
                </c:pt>
                <c:pt idx="3">
                  <c:v>0.47687861271676368</c:v>
                </c:pt>
              </c:numCache>
            </c:numRef>
          </c:xVal>
          <c:yVal>
            <c:numRef>
              <c:f>Table!$U$52:$U$55</c:f>
              <c:numCache>
                <c:formatCode>0.000</c:formatCode>
                <c:ptCount val="4"/>
                <c:pt idx="0">
                  <c:v>27.5</c:v>
                </c:pt>
                <c:pt idx="1">
                  <c:v>27.5</c:v>
                </c:pt>
                <c:pt idx="2">
                  <c:v>-27.5</c:v>
                </c:pt>
                <c:pt idx="3">
                  <c:v>-27.5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3C7-482F-B4EA-76EBD9A2A4CC}"/>
            </c:ext>
          </c:extLst>
        </c:ser>
        <c:ser>
          <c:idx val="4"/>
          <c:order val="4"/>
          <c:tx>
            <c:v>E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Table!$T$56:$T$57</c:f>
              <c:numCache>
                <c:formatCode>0.000</c:formatCode>
                <c:ptCount val="2"/>
                <c:pt idx="0">
                  <c:v>3.8150289017341024</c:v>
                </c:pt>
                <c:pt idx="1">
                  <c:v>3.8150289017341024</c:v>
                </c:pt>
              </c:numCache>
            </c:numRef>
          </c:xVal>
          <c:yVal>
            <c:numRef>
              <c:f>Table!$U$56:$U$57</c:f>
              <c:numCache>
                <c:formatCode>0.000</c:formatCode>
                <c:ptCount val="2"/>
                <c:pt idx="0">
                  <c:v>-27.5</c:v>
                </c:pt>
                <c:pt idx="1">
                  <c:v>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3C7-482F-B4EA-76EBD9A2A4CC}"/>
            </c:ext>
          </c:extLst>
        </c:ser>
        <c:ser>
          <c:idx val="5"/>
          <c:order val="5"/>
          <c:tx>
            <c:v>F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Table!$T$58:$T$59</c:f>
              <c:numCache>
                <c:formatCode>0.000</c:formatCode>
                <c:ptCount val="2"/>
                <c:pt idx="0">
                  <c:v>5.72254335260115</c:v>
                </c:pt>
                <c:pt idx="1">
                  <c:v>5.72254335260115</c:v>
                </c:pt>
              </c:numCache>
            </c:numRef>
          </c:xVal>
          <c:yVal>
            <c:numRef>
              <c:f>Table!$U$58:$U$59</c:f>
              <c:numCache>
                <c:formatCode>0.000</c:formatCode>
                <c:ptCount val="2"/>
                <c:pt idx="0">
                  <c:v>-27.5</c:v>
                </c:pt>
                <c:pt idx="1">
                  <c:v>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3C7-482F-B4EA-76EBD9A2A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653016"/>
        <c:axId val="751654000"/>
      </c:scatterChart>
      <c:valAx>
        <c:axId val="751653016"/>
        <c:scaling>
          <c:orientation val="minMax"/>
          <c:max val="30"/>
          <c:min val="-3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crossAx val="751654000"/>
        <c:crosses val="autoZero"/>
        <c:crossBetween val="midCat"/>
        <c:majorUnit val="5"/>
      </c:valAx>
      <c:valAx>
        <c:axId val="751654000"/>
        <c:scaling>
          <c:orientation val="minMax"/>
          <c:max val="30"/>
          <c:min val="-3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crossAx val="751653016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Abutmen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Table!$H$194:$H$212</c:f>
              <c:numCache>
                <c:formatCode>0.00</c:formatCode>
                <c:ptCount val="19"/>
                <c:pt idx="0">
                  <c:v>-18.666666666666668</c:v>
                </c:pt>
                <c:pt idx="1">
                  <c:v>-18.666666666666668</c:v>
                </c:pt>
                <c:pt idx="2">
                  <c:v>1.3333333333333344</c:v>
                </c:pt>
                <c:pt idx="3">
                  <c:v>1.3333333333333344</c:v>
                </c:pt>
                <c:pt idx="4">
                  <c:v>-2.6666666666666687</c:v>
                </c:pt>
                <c:pt idx="5">
                  <c:v>-2.6666666666666687</c:v>
                </c:pt>
                <c:pt idx="6">
                  <c:v>-1.3333333333333344</c:v>
                </c:pt>
                <c:pt idx="7">
                  <c:v>-1.3333333333333344</c:v>
                </c:pt>
                <c:pt idx="8">
                  <c:v>0.99999999999999645</c:v>
                </c:pt>
                <c:pt idx="9">
                  <c:v>0.99999999999999645</c:v>
                </c:pt>
                <c:pt idx="10">
                  <c:v>8.0000000000000018</c:v>
                </c:pt>
                <c:pt idx="11">
                  <c:v>8.0000000000000018</c:v>
                </c:pt>
                <c:pt idx="12">
                  <c:v>11.999999999999998</c:v>
                </c:pt>
                <c:pt idx="13">
                  <c:v>11.999999999999998</c:v>
                </c:pt>
                <c:pt idx="14">
                  <c:v>7.9999999999999947</c:v>
                </c:pt>
                <c:pt idx="15">
                  <c:v>7.9999999999999947</c:v>
                </c:pt>
                <c:pt idx="16">
                  <c:v>28</c:v>
                </c:pt>
                <c:pt idx="17">
                  <c:v>28</c:v>
                </c:pt>
                <c:pt idx="18">
                  <c:v>-18.666666666666668</c:v>
                </c:pt>
              </c:numCache>
            </c:numRef>
          </c:xVal>
          <c:yVal>
            <c:numRef>
              <c:f>Table!$I$194:$I$212</c:f>
              <c:numCache>
                <c:formatCode>0.00</c:formatCode>
                <c:ptCount val="19"/>
                <c:pt idx="0">
                  <c:v>-24.933333333333334</c:v>
                </c:pt>
                <c:pt idx="1">
                  <c:v>-19.933333333333334</c:v>
                </c:pt>
                <c:pt idx="2">
                  <c:v>-16.599999999999998</c:v>
                </c:pt>
                <c:pt idx="3">
                  <c:v>-2.6000000000000005</c:v>
                </c:pt>
                <c:pt idx="4">
                  <c:v>1.3999999999999997</c:v>
                </c:pt>
                <c:pt idx="5">
                  <c:v>18.93333333333333</c:v>
                </c:pt>
                <c:pt idx="6">
                  <c:v>18.93333333333333</c:v>
                </c:pt>
                <c:pt idx="7">
                  <c:v>24.933333333333334</c:v>
                </c:pt>
                <c:pt idx="8">
                  <c:v>24.933333333333334</c:v>
                </c:pt>
                <c:pt idx="9">
                  <c:v>8.2666666666666675</c:v>
                </c:pt>
                <c:pt idx="10">
                  <c:v>8.2666666666666675</c:v>
                </c:pt>
                <c:pt idx="11">
                  <c:v>4.6000000000000023</c:v>
                </c:pt>
                <c:pt idx="12">
                  <c:v>4.6000000000000023</c:v>
                </c:pt>
                <c:pt idx="13">
                  <c:v>-0.73333333333332951</c:v>
                </c:pt>
                <c:pt idx="14">
                  <c:v>-4.7333333333333307</c:v>
                </c:pt>
                <c:pt idx="15">
                  <c:v>-16.599999999999998</c:v>
                </c:pt>
                <c:pt idx="16">
                  <c:v>-19.933333333333334</c:v>
                </c:pt>
                <c:pt idx="17">
                  <c:v>-24.933333333333334</c:v>
                </c:pt>
                <c:pt idx="18">
                  <c:v>-24.933333333333334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C5-4476-A8EC-6C8C6C80B679}"/>
            </c:ext>
          </c:extLst>
        </c:ser>
        <c:ser>
          <c:idx val="1"/>
          <c:order val="1"/>
          <c:tx>
            <c:v>Wingwall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Table!$H$213:$H$216</c:f>
              <c:numCache>
                <c:formatCode>0.00</c:formatCode>
                <c:ptCount val="4"/>
                <c:pt idx="0">
                  <c:v>-18.666666666666668</c:v>
                </c:pt>
                <c:pt idx="1">
                  <c:v>-28</c:v>
                </c:pt>
                <c:pt idx="2">
                  <c:v>-28</c:v>
                </c:pt>
                <c:pt idx="3">
                  <c:v>-1.3333333333333344</c:v>
                </c:pt>
              </c:numCache>
            </c:numRef>
          </c:xVal>
          <c:yVal>
            <c:numRef>
              <c:f>Table!$I$213:$I$216</c:f>
              <c:numCache>
                <c:formatCode>0.00</c:formatCode>
                <c:ptCount val="4"/>
                <c:pt idx="0">
                  <c:v>-19.933333333333334</c:v>
                </c:pt>
                <c:pt idx="1">
                  <c:v>-15.066666666666665</c:v>
                </c:pt>
                <c:pt idx="2">
                  <c:v>24.933333333333334</c:v>
                </c:pt>
                <c:pt idx="3">
                  <c:v>24.933333333333334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C5-4476-A8EC-6C8C6C80B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653016"/>
        <c:axId val="751654000"/>
      </c:scatterChart>
      <c:valAx>
        <c:axId val="751653016"/>
        <c:scaling>
          <c:orientation val="minMax"/>
          <c:max val="30"/>
          <c:min val="-3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crossAx val="751654000"/>
        <c:crosses val="autoZero"/>
        <c:crossBetween val="midCat"/>
        <c:majorUnit val="5"/>
      </c:valAx>
      <c:valAx>
        <c:axId val="751654000"/>
        <c:scaling>
          <c:orientation val="minMax"/>
          <c:max val="30"/>
          <c:min val="-3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crossAx val="751653016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petra.id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png"/><Relationship Id="rId2" Type="http://schemas.openxmlformats.org/officeDocument/2006/relationships/image" Target="../media/image34.png"/><Relationship Id="rId1" Type="http://schemas.openxmlformats.org/officeDocument/2006/relationships/image" Target="../media/image33.png"/><Relationship Id="rId4" Type="http://schemas.openxmlformats.org/officeDocument/2006/relationships/image" Target="../media/image3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39" Type="http://schemas.openxmlformats.org/officeDocument/2006/relationships/chart" Target="../charts/chart11.xml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chart" Target="../charts/chart10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3.png"/><Relationship Id="rId37" Type="http://schemas.openxmlformats.org/officeDocument/2006/relationships/chart" Target="../charts/chart9.xml"/><Relationship Id="rId40" Type="http://schemas.openxmlformats.org/officeDocument/2006/relationships/image" Target="../media/image37.png"/><Relationship Id="rId5" Type="http://schemas.openxmlformats.org/officeDocument/2006/relationships/image" Target="../media/image7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chart" Target="../charts/chart8.xml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31" Type="http://schemas.openxmlformats.org/officeDocument/2006/relationships/image" Target="../media/image32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png"/><Relationship Id="rId35" Type="http://schemas.openxmlformats.org/officeDocument/2006/relationships/image" Target="../media/image3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18" Type="http://schemas.openxmlformats.org/officeDocument/2006/relationships/image" Target="../media/image28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17" Type="http://schemas.openxmlformats.org/officeDocument/2006/relationships/image" Target="../media/image27.png"/><Relationship Id="rId2" Type="http://schemas.openxmlformats.org/officeDocument/2006/relationships/image" Target="../media/image12.png"/><Relationship Id="rId16" Type="http://schemas.openxmlformats.org/officeDocument/2006/relationships/image" Target="../media/image26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5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image" Target="../media/image2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18</xdr:row>
      <xdr:rowOff>171450</xdr:rowOff>
    </xdr:from>
    <xdr:to>
      <xdr:col>5</xdr:col>
      <xdr:colOff>552450</xdr:colOff>
      <xdr:row>20</xdr:row>
      <xdr:rowOff>28575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A091EC-4972-4617-A414-3AEC339317B3}"/>
            </a:ext>
          </a:extLst>
        </xdr:cNvPr>
        <xdr:cNvSpPr/>
      </xdr:nvSpPr>
      <xdr:spPr>
        <a:xfrm>
          <a:off x="1724025" y="4114800"/>
          <a:ext cx="1638300" cy="3333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Web</a:t>
          </a:r>
          <a:r>
            <a:rPr lang="en-US" sz="1100" b="1" baseline="0"/>
            <a:t> : Inpetra.ID</a:t>
          </a:r>
          <a:endParaRPr lang="en-US" sz="1100" b="1"/>
        </a:p>
      </xdr:txBody>
    </xdr:sp>
    <xdr:clientData/>
  </xdr:twoCellAnchor>
  <xdr:twoCellAnchor editAs="oneCell">
    <xdr:from>
      <xdr:col>3</xdr:col>
      <xdr:colOff>219075</xdr:colOff>
      <xdr:row>11</xdr:row>
      <xdr:rowOff>142875</xdr:rowOff>
    </xdr:from>
    <xdr:to>
      <xdr:col>5</xdr:col>
      <xdr:colOff>485775</xdr:colOff>
      <xdr:row>18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0309C5-70AC-4AD7-86E1-AD92D918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457450"/>
          <a:ext cx="1485900" cy="14859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33</xdr:row>
      <xdr:rowOff>1</xdr:rowOff>
    </xdr:from>
    <xdr:to>
      <xdr:col>5</xdr:col>
      <xdr:colOff>800250</xdr:colOff>
      <xdr:row>43</xdr:row>
      <xdr:rowOff>38101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C7DBFA-C408-42BE-8F7C-838DADA8C6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8096251"/>
          <a:ext cx="2610000" cy="2419350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65</xdr:row>
      <xdr:rowOff>123826</xdr:rowOff>
    </xdr:from>
    <xdr:to>
      <xdr:col>6</xdr:col>
      <xdr:colOff>734796</xdr:colOff>
      <xdr:row>76</xdr:row>
      <xdr:rowOff>190501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E0AF40-9BD7-4B35-B4E8-F068D533D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3951" y="15601951"/>
          <a:ext cx="4744820" cy="26860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800250</xdr:colOff>
      <xdr:row>13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57F2AB-498B-45E5-B7B8-BB4C78D6C1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0" y="714375"/>
          <a:ext cx="2610000" cy="2695575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266701</xdr:colOff>
      <xdr:row>96</xdr:row>
      <xdr:rowOff>171450</xdr:rowOff>
    </xdr:from>
    <xdr:to>
      <xdr:col>6</xdr:col>
      <xdr:colOff>533401</xdr:colOff>
      <xdr:row>107</xdr:row>
      <xdr:rowOff>193762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9F26E0B-23E7-4544-9ED7-D005FB1DC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1176" y="23031450"/>
          <a:ext cx="3886200" cy="264168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123825</xdr:colOff>
      <xdr:row>16</xdr:row>
      <xdr:rowOff>219948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084553-C8B5-424E-8B2D-B1F0F162E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381000"/>
          <a:ext cx="5457825" cy="3791823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398145</xdr:colOff>
      <xdr:row>73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831566A-3B66-49D5-BD7F-B8C519A161D2}"/>
            </a:ext>
          </a:extLst>
        </xdr:cNvPr>
        <xdr:cNvSpPr txBox="1"/>
      </xdr:nvSpPr>
      <xdr:spPr>
        <a:xfrm>
          <a:off x="4972050" y="8810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72</xdr:row>
      <xdr:rowOff>0</xdr:rowOff>
    </xdr:from>
    <xdr:to>
      <xdr:col>7</xdr:col>
      <xdr:colOff>398145</xdr:colOff>
      <xdr:row>73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2F8F008-354C-4D2E-ABFD-3D7D9FD2BD30}"/>
            </a:ext>
          </a:extLst>
        </xdr:cNvPr>
        <xdr:cNvSpPr txBox="1"/>
      </xdr:nvSpPr>
      <xdr:spPr>
        <a:xfrm>
          <a:off x="5876925" y="8810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0</xdr:colOff>
      <xdr:row>73</xdr:row>
      <xdr:rowOff>0</xdr:rowOff>
    </xdr:from>
    <xdr:to>
      <xdr:col>6</xdr:col>
      <xdr:colOff>398145</xdr:colOff>
      <xdr:row>74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2AE73F6-86F9-4D99-BD9B-E37369D04008}"/>
            </a:ext>
          </a:extLst>
        </xdr:cNvPr>
        <xdr:cNvSpPr txBox="1"/>
      </xdr:nvSpPr>
      <xdr:spPr>
        <a:xfrm>
          <a:off x="4257675" y="173831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73</xdr:row>
      <xdr:rowOff>0</xdr:rowOff>
    </xdr:from>
    <xdr:to>
      <xdr:col>7</xdr:col>
      <xdr:colOff>398145</xdr:colOff>
      <xdr:row>74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B6D24FF-D52A-4F9F-A8E2-15D95694BD57}"/>
            </a:ext>
          </a:extLst>
        </xdr:cNvPr>
        <xdr:cNvSpPr txBox="1"/>
      </xdr:nvSpPr>
      <xdr:spPr>
        <a:xfrm>
          <a:off x="5019675" y="173831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7</xdr:col>
      <xdr:colOff>0</xdr:colOff>
      <xdr:row>73</xdr:row>
      <xdr:rowOff>0</xdr:rowOff>
    </xdr:from>
    <xdr:to>
      <xdr:col>7</xdr:col>
      <xdr:colOff>398145</xdr:colOff>
      <xdr:row>74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0D56AD3-B893-4DDE-96AE-930B5832348C}"/>
            </a:ext>
          </a:extLst>
        </xdr:cNvPr>
        <xdr:cNvSpPr txBox="1"/>
      </xdr:nvSpPr>
      <xdr:spPr>
        <a:xfrm>
          <a:off x="5019675" y="173831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0</xdr:colOff>
      <xdr:row>74</xdr:row>
      <xdr:rowOff>0</xdr:rowOff>
    </xdr:from>
    <xdr:to>
      <xdr:col>6</xdr:col>
      <xdr:colOff>398145</xdr:colOff>
      <xdr:row>75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3FA2C37-2423-42DF-A592-D1AAD2D47B1E}"/>
            </a:ext>
          </a:extLst>
        </xdr:cNvPr>
        <xdr:cNvSpPr txBox="1"/>
      </xdr:nvSpPr>
      <xdr:spPr>
        <a:xfrm>
          <a:off x="4257675" y="1785937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74</xdr:row>
      <xdr:rowOff>0</xdr:rowOff>
    </xdr:from>
    <xdr:to>
      <xdr:col>7</xdr:col>
      <xdr:colOff>398145</xdr:colOff>
      <xdr:row>75</xdr:row>
      <xdr:rowOff>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E3E887E-3D3B-4E89-9CE3-9E743C034725}"/>
            </a:ext>
          </a:extLst>
        </xdr:cNvPr>
        <xdr:cNvSpPr txBox="1"/>
      </xdr:nvSpPr>
      <xdr:spPr>
        <a:xfrm>
          <a:off x="5019675" y="1785937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7</xdr:col>
      <xdr:colOff>0</xdr:colOff>
      <xdr:row>74</xdr:row>
      <xdr:rowOff>0</xdr:rowOff>
    </xdr:from>
    <xdr:to>
      <xdr:col>7</xdr:col>
      <xdr:colOff>398145</xdr:colOff>
      <xdr:row>75</xdr:row>
      <xdr:rowOff>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D59315C-A160-498A-B840-275B9E671AD4}"/>
            </a:ext>
          </a:extLst>
        </xdr:cNvPr>
        <xdr:cNvSpPr txBox="1"/>
      </xdr:nvSpPr>
      <xdr:spPr>
        <a:xfrm>
          <a:off x="5019675" y="1785937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7</xdr:col>
      <xdr:colOff>0</xdr:colOff>
      <xdr:row>74</xdr:row>
      <xdr:rowOff>0</xdr:rowOff>
    </xdr:from>
    <xdr:to>
      <xdr:col>7</xdr:col>
      <xdr:colOff>398145</xdr:colOff>
      <xdr:row>75</xdr:row>
      <xdr:rowOff>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41B740D-EA23-426A-A3E9-BC21E40658CE}"/>
            </a:ext>
          </a:extLst>
        </xdr:cNvPr>
        <xdr:cNvSpPr txBox="1"/>
      </xdr:nvSpPr>
      <xdr:spPr>
        <a:xfrm>
          <a:off x="5019675" y="1785937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0</xdr:colOff>
      <xdr:row>75</xdr:row>
      <xdr:rowOff>0</xdr:rowOff>
    </xdr:from>
    <xdr:to>
      <xdr:col>6</xdr:col>
      <xdr:colOff>398145</xdr:colOff>
      <xdr:row>76</xdr:row>
      <xdr:rowOff>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D8447C9-269A-4E17-830A-49A51F641A22}"/>
            </a:ext>
          </a:extLst>
        </xdr:cNvPr>
        <xdr:cNvSpPr txBox="1"/>
      </xdr:nvSpPr>
      <xdr:spPr>
        <a:xfrm>
          <a:off x="4257675" y="18335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75</xdr:row>
      <xdr:rowOff>0</xdr:rowOff>
    </xdr:from>
    <xdr:to>
      <xdr:col>7</xdr:col>
      <xdr:colOff>398145</xdr:colOff>
      <xdr:row>76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93450A67-1E1F-4950-8A42-7F7008314777}"/>
            </a:ext>
          </a:extLst>
        </xdr:cNvPr>
        <xdr:cNvSpPr txBox="1"/>
      </xdr:nvSpPr>
      <xdr:spPr>
        <a:xfrm>
          <a:off x="5019675" y="18335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7</xdr:col>
      <xdr:colOff>0</xdr:colOff>
      <xdr:row>75</xdr:row>
      <xdr:rowOff>0</xdr:rowOff>
    </xdr:from>
    <xdr:to>
      <xdr:col>7</xdr:col>
      <xdr:colOff>398145</xdr:colOff>
      <xdr:row>76</xdr:row>
      <xdr:rowOff>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BCBDBAF-86DC-40D0-95BA-1973D80D63F1}"/>
            </a:ext>
          </a:extLst>
        </xdr:cNvPr>
        <xdr:cNvSpPr txBox="1"/>
      </xdr:nvSpPr>
      <xdr:spPr>
        <a:xfrm>
          <a:off x="5019675" y="18335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7</xdr:col>
      <xdr:colOff>0</xdr:colOff>
      <xdr:row>75</xdr:row>
      <xdr:rowOff>0</xdr:rowOff>
    </xdr:from>
    <xdr:to>
      <xdr:col>7</xdr:col>
      <xdr:colOff>398145</xdr:colOff>
      <xdr:row>76</xdr:row>
      <xdr:rowOff>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CB1F700F-1A34-4007-B9A0-E8F7126437C0}"/>
            </a:ext>
          </a:extLst>
        </xdr:cNvPr>
        <xdr:cNvSpPr txBox="1"/>
      </xdr:nvSpPr>
      <xdr:spPr>
        <a:xfrm>
          <a:off x="5019675" y="18335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7</xdr:col>
      <xdr:colOff>0</xdr:colOff>
      <xdr:row>75</xdr:row>
      <xdr:rowOff>0</xdr:rowOff>
    </xdr:from>
    <xdr:to>
      <xdr:col>7</xdr:col>
      <xdr:colOff>398145</xdr:colOff>
      <xdr:row>76</xdr:row>
      <xdr:rowOff>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4133486D-32F7-42FA-96EA-4EDAFF5DE9EF}"/>
            </a:ext>
          </a:extLst>
        </xdr:cNvPr>
        <xdr:cNvSpPr txBox="1"/>
      </xdr:nvSpPr>
      <xdr:spPr>
        <a:xfrm>
          <a:off x="5019675" y="18335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0</xdr:colOff>
      <xdr:row>76</xdr:row>
      <xdr:rowOff>0</xdr:rowOff>
    </xdr:from>
    <xdr:to>
      <xdr:col>6</xdr:col>
      <xdr:colOff>398145</xdr:colOff>
      <xdr:row>77</xdr:row>
      <xdr:rowOff>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BA22D80-7346-4533-A658-029772A5BF6F}"/>
            </a:ext>
          </a:extLst>
        </xdr:cNvPr>
        <xdr:cNvSpPr txBox="1"/>
      </xdr:nvSpPr>
      <xdr:spPr>
        <a:xfrm>
          <a:off x="4257675" y="1881187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76</xdr:row>
      <xdr:rowOff>0</xdr:rowOff>
    </xdr:from>
    <xdr:to>
      <xdr:col>7</xdr:col>
      <xdr:colOff>398145</xdr:colOff>
      <xdr:row>77</xdr:row>
      <xdr:rowOff>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FE79BC78-F20E-4B58-965B-781C37A09F4A}"/>
            </a:ext>
          </a:extLst>
        </xdr:cNvPr>
        <xdr:cNvSpPr txBox="1"/>
      </xdr:nvSpPr>
      <xdr:spPr>
        <a:xfrm>
          <a:off x="5019675" y="1881187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0</xdr:colOff>
      <xdr:row>77</xdr:row>
      <xdr:rowOff>0</xdr:rowOff>
    </xdr:from>
    <xdr:to>
      <xdr:col>6</xdr:col>
      <xdr:colOff>398145</xdr:colOff>
      <xdr:row>78</xdr:row>
      <xdr:rowOff>30481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F3BF0C42-83B9-4ACF-AAD4-9274AB578BE6}"/>
            </a:ext>
          </a:extLst>
        </xdr:cNvPr>
        <xdr:cNvSpPr txBox="1"/>
      </xdr:nvSpPr>
      <xdr:spPr>
        <a:xfrm>
          <a:off x="4257675" y="192881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77</xdr:row>
      <xdr:rowOff>0</xdr:rowOff>
    </xdr:from>
    <xdr:to>
      <xdr:col>7</xdr:col>
      <xdr:colOff>398145</xdr:colOff>
      <xdr:row>78</xdr:row>
      <xdr:rowOff>30481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CD21E3D-EC19-4A8E-8AF2-C0788B5B6373}"/>
            </a:ext>
          </a:extLst>
        </xdr:cNvPr>
        <xdr:cNvSpPr txBox="1"/>
      </xdr:nvSpPr>
      <xdr:spPr>
        <a:xfrm>
          <a:off x="5019675" y="192881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0</xdr:colOff>
      <xdr:row>78</xdr:row>
      <xdr:rowOff>0</xdr:rowOff>
    </xdr:from>
    <xdr:to>
      <xdr:col>6</xdr:col>
      <xdr:colOff>398145</xdr:colOff>
      <xdr:row>79</xdr:row>
      <xdr:rowOff>30481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555B6D57-2641-4213-BD1F-F91A88175975}"/>
            </a:ext>
          </a:extLst>
        </xdr:cNvPr>
        <xdr:cNvSpPr txBox="1"/>
      </xdr:nvSpPr>
      <xdr:spPr>
        <a:xfrm>
          <a:off x="4257675" y="18335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78</xdr:row>
      <xdr:rowOff>0</xdr:rowOff>
    </xdr:from>
    <xdr:to>
      <xdr:col>7</xdr:col>
      <xdr:colOff>398145</xdr:colOff>
      <xdr:row>79</xdr:row>
      <xdr:rowOff>30481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1F1D654-A96F-4EB6-B3E6-29D9E031FF91}"/>
            </a:ext>
          </a:extLst>
        </xdr:cNvPr>
        <xdr:cNvSpPr txBox="1"/>
      </xdr:nvSpPr>
      <xdr:spPr>
        <a:xfrm>
          <a:off x="5019675" y="18335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0</xdr:colOff>
      <xdr:row>79</xdr:row>
      <xdr:rowOff>0</xdr:rowOff>
    </xdr:from>
    <xdr:to>
      <xdr:col>6</xdr:col>
      <xdr:colOff>398145</xdr:colOff>
      <xdr:row>80</xdr:row>
      <xdr:rowOff>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C86ED70-BEFA-4746-9C56-7BF88420F6F6}"/>
            </a:ext>
          </a:extLst>
        </xdr:cNvPr>
        <xdr:cNvSpPr txBox="1"/>
      </xdr:nvSpPr>
      <xdr:spPr>
        <a:xfrm>
          <a:off x="4257675" y="17621250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79</xdr:row>
      <xdr:rowOff>0</xdr:rowOff>
    </xdr:from>
    <xdr:to>
      <xdr:col>7</xdr:col>
      <xdr:colOff>398145</xdr:colOff>
      <xdr:row>80</xdr:row>
      <xdr:rowOff>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2170C52-5D89-45B3-9478-2F92C699C828}"/>
            </a:ext>
          </a:extLst>
        </xdr:cNvPr>
        <xdr:cNvSpPr txBox="1"/>
      </xdr:nvSpPr>
      <xdr:spPr>
        <a:xfrm>
          <a:off x="5019675" y="17621250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7</xdr:col>
      <xdr:colOff>0</xdr:colOff>
      <xdr:row>79</xdr:row>
      <xdr:rowOff>0</xdr:rowOff>
    </xdr:from>
    <xdr:to>
      <xdr:col>7</xdr:col>
      <xdr:colOff>398145</xdr:colOff>
      <xdr:row>80</xdr:row>
      <xdr:rowOff>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96E2145-D25B-4D46-AD0A-D7DA000FF102}"/>
            </a:ext>
          </a:extLst>
        </xdr:cNvPr>
        <xdr:cNvSpPr txBox="1"/>
      </xdr:nvSpPr>
      <xdr:spPr>
        <a:xfrm>
          <a:off x="5019675" y="17621250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7</xdr:col>
      <xdr:colOff>0</xdr:colOff>
      <xdr:row>79</xdr:row>
      <xdr:rowOff>0</xdr:rowOff>
    </xdr:from>
    <xdr:to>
      <xdr:col>7</xdr:col>
      <xdr:colOff>398145</xdr:colOff>
      <xdr:row>80</xdr:row>
      <xdr:rowOff>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ACF6BC94-C4B7-43E3-9ACA-09F82BEF23D0}"/>
            </a:ext>
          </a:extLst>
        </xdr:cNvPr>
        <xdr:cNvSpPr txBox="1"/>
      </xdr:nvSpPr>
      <xdr:spPr>
        <a:xfrm>
          <a:off x="5019675" y="17621250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36</xdr:row>
      <xdr:rowOff>123825</xdr:rowOff>
    </xdr:from>
    <xdr:to>
      <xdr:col>7</xdr:col>
      <xdr:colOff>486411</xdr:colOff>
      <xdr:row>50</xdr:row>
      <xdr:rowOff>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52E431F5-8885-4B93-BBFD-3C5B517DE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6" y="9191625"/>
          <a:ext cx="4620260" cy="3209925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180976</xdr:colOff>
      <xdr:row>107</xdr:row>
      <xdr:rowOff>95250</xdr:rowOff>
    </xdr:from>
    <xdr:to>
      <xdr:col>5</xdr:col>
      <xdr:colOff>224731</xdr:colOff>
      <xdr:row>119</xdr:row>
      <xdr:rowOff>117750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1F647169-31ED-4684-AC36-72B6938FB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1" y="26793825"/>
          <a:ext cx="2825055" cy="28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154</xdr:row>
      <xdr:rowOff>76200</xdr:rowOff>
    </xdr:from>
    <xdr:to>
      <xdr:col>5</xdr:col>
      <xdr:colOff>533400</xdr:colOff>
      <xdr:row>168</xdr:row>
      <xdr:rowOff>34225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4E3B1DE-B704-46D4-8B7D-0CA37ED5B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31870650"/>
          <a:ext cx="3228975" cy="3291775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542926</xdr:colOff>
      <xdr:row>183</xdr:row>
      <xdr:rowOff>219076</xdr:rowOff>
    </xdr:from>
    <xdr:to>
      <xdr:col>8</xdr:col>
      <xdr:colOff>114301</xdr:colOff>
      <xdr:row>196</xdr:row>
      <xdr:rowOff>207202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B674F40D-B722-41AB-839E-92FDCDB9A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1" y="45158026"/>
          <a:ext cx="4438650" cy="3083751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6</xdr:col>
      <xdr:colOff>398145</xdr:colOff>
      <xdr:row>256</xdr:row>
      <xdr:rowOff>0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AE3A7841-3641-4BEA-AA81-FE24AD49A432}"/>
            </a:ext>
          </a:extLst>
        </xdr:cNvPr>
        <xdr:cNvSpPr txBox="1"/>
      </xdr:nvSpPr>
      <xdr:spPr>
        <a:xfrm>
          <a:off x="4257675" y="17145000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255</xdr:row>
      <xdr:rowOff>0</xdr:rowOff>
    </xdr:from>
    <xdr:to>
      <xdr:col>7</xdr:col>
      <xdr:colOff>398145</xdr:colOff>
      <xdr:row>256</xdr:row>
      <xdr:rowOff>0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2A37D867-6D30-430A-965F-7AE95FB8F669}"/>
            </a:ext>
          </a:extLst>
        </xdr:cNvPr>
        <xdr:cNvSpPr txBox="1"/>
      </xdr:nvSpPr>
      <xdr:spPr>
        <a:xfrm>
          <a:off x="5019675" y="17145000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398145</xdr:colOff>
      <xdr:row>257</xdr:row>
      <xdr:rowOff>0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B10AF448-A457-4390-A5AE-D951ABB16F0B}"/>
            </a:ext>
          </a:extLst>
        </xdr:cNvPr>
        <xdr:cNvSpPr txBox="1"/>
      </xdr:nvSpPr>
      <xdr:spPr>
        <a:xfrm>
          <a:off x="4257675" y="17383125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256</xdr:row>
      <xdr:rowOff>0</xdr:rowOff>
    </xdr:from>
    <xdr:to>
      <xdr:col>7</xdr:col>
      <xdr:colOff>398145</xdr:colOff>
      <xdr:row>257</xdr:row>
      <xdr:rowOff>0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A7D2EC27-4519-425B-BA4A-643309A735DC}"/>
            </a:ext>
          </a:extLst>
        </xdr:cNvPr>
        <xdr:cNvSpPr txBox="1"/>
      </xdr:nvSpPr>
      <xdr:spPr>
        <a:xfrm>
          <a:off x="5019675" y="17383125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7</xdr:col>
      <xdr:colOff>0</xdr:colOff>
      <xdr:row>256</xdr:row>
      <xdr:rowOff>0</xdr:rowOff>
    </xdr:from>
    <xdr:to>
      <xdr:col>7</xdr:col>
      <xdr:colOff>398145</xdr:colOff>
      <xdr:row>257</xdr:row>
      <xdr:rowOff>0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C0D60E88-2B33-4437-9B74-F2CE56A5DB5B}"/>
            </a:ext>
          </a:extLst>
        </xdr:cNvPr>
        <xdr:cNvSpPr txBox="1"/>
      </xdr:nvSpPr>
      <xdr:spPr>
        <a:xfrm>
          <a:off x="5019675" y="17383125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398145</xdr:colOff>
      <xdr:row>258</xdr:row>
      <xdr:rowOff>0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F7C88B1F-9125-44C5-B7F8-7B2B00073113}"/>
            </a:ext>
          </a:extLst>
        </xdr:cNvPr>
        <xdr:cNvSpPr txBox="1"/>
      </xdr:nvSpPr>
      <xdr:spPr>
        <a:xfrm>
          <a:off x="4257675" y="17621250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257</xdr:row>
      <xdr:rowOff>0</xdr:rowOff>
    </xdr:from>
    <xdr:to>
      <xdr:col>7</xdr:col>
      <xdr:colOff>398145</xdr:colOff>
      <xdr:row>258</xdr:row>
      <xdr:rowOff>0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120564B-A4C6-4B93-9297-D2977A4D867D}"/>
            </a:ext>
          </a:extLst>
        </xdr:cNvPr>
        <xdr:cNvSpPr txBox="1"/>
      </xdr:nvSpPr>
      <xdr:spPr>
        <a:xfrm>
          <a:off x="5019675" y="17621250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7</xdr:col>
      <xdr:colOff>0</xdr:colOff>
      <xdr:row>257</xdr:row>
      <xdr:rowOff>0</xdr:rowOff>
    </xdr:from>
    <xdr:to>
      <xdr:col>7</xdr:col>
      <xdr:colOff>398145</xdr:colOff>
      <xdr:row>258</xdr:row>
      <xdr:rowOff>0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B0287D3D-C077-4D2D-A102-63CA8B28966E}"/>
            </a:ext>
          </a:extLst>
        </xdr:cNvPr>
        <xdr:cNvSpPr txBox="1"/>
      </xdr:nvSpPr>
      <xdr:spPr>
        <a:xfrm>
          <a:off x="5019675" y="17621250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7</xdr:col>
      <xdr:colOff>0</xdr:colOff>
      <xdr:row>257</xdr:row>
      <xdr:rowOff>0</xdr:rowOff>
    </xdr:from>
    <xdr:to>
      <xdr:col>7</xdr:col>
      <xdr:colOff>398145</xdr:colOff>
      <xdr:row>258</xdr:row>
      <xdr:rowOff>0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DD241174-9F03-441A-B48C-EA3F2A0325FE}"/>
            </a:ext>
          </a:extLst>
        </xdr:cNvPr>
        <xdr:cNvSpPr txBox="1"/>
      </xdr:nvSpPr>
      <xdr:spPr>
        <a:xfrm>
          <a:off x="5019675" y="17621250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398145</xdr:colOff>
      <xdr:row>259</xdr:row>
      <xdr:rowOff>0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79D0A96A-8DE7-4011-A4F2-C837B8E34542}"/>
            </a:ext>
          </a:extLst>
        </xdr:cNvPr>
        <xdr:cNvSpPr txBox="1"/>
      </xdr:nvSpPr>
      <xdr:spPr>
        <a:xfrm>
          <a:off x="4257675" y="17859375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258</xdr:row>
      <xdr:rowOff>0</xdr:rowOff>
    </xdr:from>
    <xdr:to>
      <xdr:col>7</xdr:col>
      <xdr:colOff>398145</xdr:colOff>
      <xdr:row>259</xdr:row>
      <xdr:rowOff>0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B412B5B1-E374-4B10-B56A-584E56B7F635}"/>
            </a:ext>
          </a:extLst>
        </xdr:cNvPr>
        <xdr:cNvSpPr txBox="1"/>
      </xdr:nvSpPr>
      <xdr:spPr>
        <a:xfrm>
          <a:off x="5019675" y="17859375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7</xdr:col>
      <xdr:colOff>0</xdr:colOff>
      <xdr:row>258</xdr:row>
      <xdr:rowOff>0</xdr:rowOff>
    </xdr:from>
    <xdr:to>
      <xdr:col>7</xdr:col>
      <xdr:colOff>398145</xdr:colOff>
      <xdr:row>259</xdr:row>
      <xdr:rowOff>0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B144F981-B7C3-48D2-BC14-C9B652A3094E}"/>
            </a:ext>
          </a:extLst>
        </xdr:cNvPr>
        <xdr:cNvSpPr txBox="1"/>
      </xdr:nvSpPr>
      <xdr:spPr>
        <a:xfrm>
          <a:off x="5019675" y="17859375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7</xdr:col>
      <xdr:colOff>0</xdr:colOff>
      <xdr:row>258</xdr:row>
      <xdr:rowOff>0</xdr:rowOff>
    </xdr:from>
    <xdr:to>
      <xdr:col>7</xdr:col>
      <xdr:colOff>398145</xdr:colOff>
      <xdr:row>259</xdr:row>
      <xdr:rowOff>0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99935B89-AC6A-47EF-8AA6-9E9817774C06}"/>
            </a:ext>
          </a:extLst>
        </xdr:cNvPr>
        <xdr:cNvSpPr txBox="1"/>
      </xdr:nvSpPr>
      <xdr:spPr>
        <a:xfrm>
          <a:off x="5019675" y="17859375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7</xdr:col>
      <xdr:colOff>0</xdr:colOff>
      <xdr:row>258</xdr:row>
      <xdr:rowOff>0</xdr:rowOff>
    </xdr:from>
    <xdr:to>
      <xdr:col>7</xdr:col>
      <xdr:colOff>398145</xdr:colOff>
      <xdr:row>259</xdr:row>
      <xdr:rowOff>0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651FFB06-4B39-42CE-9C04-930685A17B69}"/>
            </a:ext>
          </a:extLst>
        </xdr:cNvPr>
        <xdr:cNvSpPr txBox="1"/>
      </xdr:nvSpPr>
      <xdr:spPr>
        <a:xfrm>
          <a:off x="5019675" y="17859375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398145</xdr:colOff>
      <xdr:row>260</xdr:row>
      <xdr:rowOff>0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21B5065-D30E-4AD3-8325-821F0AF84B17}"/>
            </a:ext>
          </a:extLst>
        </xdr:cNvPr>
        <xdr:cNvSpPr txBox="1"/>
      </xdr:nvSpPr>
      <xdr:spPr>
        <a:xfrm>
          <a:off x="4257675" y="18097500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259</xdr:row>
      <xdr:rowOff>0</xdr:rowOff>
    </xdr:from>
    <xdr:to>
      <xdr:col>7</xdr:col>
      <xdr:colOff>398145</xdr:colOff>
      <xdr:row>260</xdr:row>
      <xdr:rowOff>0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A943F9AE-481D-4F51-8C08-FE09090B54FA}"/>
            </a:ext>
          </a:extLst>
        </xdr:cNvPr>
        <xdr:cNvSpPr txBox="1"/>
      </xdr:nvSpPr>
      <xdr:spPr>
        <a:xfrm>
          <a:off x="5019675" y="18097500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398145</xdr:colOff>
      <xdr:row>261</xdr:row>
      <xdr:rowOff>30481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FBAF410C-BD04-431F-9C04-EA17969F08DB}"/>
            </a:ext>
          </a:extLst>
        </xdr:cNvPr>
        <xdr:cNvSpPr txBox="1"/>
      </xdr:nvSpPr>
      <xdr:spPr>
        <a:xfrm>
          <a:off x="4257675" y="18335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260</xdr:row>
      <xdr:rowOff>0</xdr:rowOff>
    </xdr:from>
    <xdr:to>
      <xdr:col>7</xdr:col>
      <xdr:colOff>398145</xdr:colOff>
      <xdr:row>261</xdr:row>
      <xdr:rowOff>30481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495A58A6-A7DE-475B-A514-E668151DD600}"/>
            </a:ext>
          </a:extLst>
        </xdr:cNvPr>
        <xdr:cNvSpPr txBox="1"/>
      </xdr:nvSpPr>
      <xdr:spPr>
        <a:xfrm>
          <a:off x="5019675" y="18335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398145</xdr:colOff>
      <xdr:row>262</xdr:row>
      <xdr:rowOff>30481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87E744E-57CF-484F-9571-45E1271B692D}"/>
            </a:ext>
          </a:extLst>
        </xdr:cNvPr>
        <xdr:cNvSpPr txBox="1"/>
      </xdr:nvSpPr>
      <xdr:spPr>
        <a:xfrm>
          <a:off x="4257675" y="18573750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261</xdr:row>
      <xdr:rowOff>0</xdr:rowOff>
    </xdr:from>
    <xdr:to>
      <xdr:col>7</xdr:col>
      <xdr:colOff>398145</xdr:colOff>
      <xdr:row>262</xdr:row>
      <xdr:rowOff>30481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917BF2FE-46D8-49C8-B874-26A1D4E3F54E}"/>
            </a:ext>
          </a:extLst>
        </xdr:cNvPr>
        <xdr:cNvSpPr txBox="1"/>
      </xdr:nvSpPr>
      <xdr:spPr>
        <a:xfrm>
          <a:off x="5019675" y="18573750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398145</xdr:colOff>
      <xdr:row>263</xdr:row>
      <xdr:rowOff>0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EB08C559-79FD-4F7D-B386-333F94BC6F6C}"/>
            </a:ext>
          </a:extLst>
        </xdr:cNvPr>
        <xdr:cNvSpPr txBox="1"/>
      </xdr:nvSpPr>
      <xdr:spPr>
        <a:xfrm>
          <a:off x="4257675" y="18811875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262</xdr:row>
      <xdr:rowOff>0</xdr:rowOff>
    </xdr:from>
    <xdr:to>
      <xdr:col>7</xdr:col>
      <xdr:colOff>398145</xdr:colOff>
      <xdr:row>263</xdr:row>
      <xdr:rowOff>0</xdr:rowOff>
    </xdr:to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E1D2B115-93B9-44B2-9C71-EF29CDE320F1}"/>
            </a:ext>
          </a:extLst>
        </xdr:cNvPr>
        <xdr:cNvSpPr txBox="1"/>
      </xdr:nvSpPr>
      <xdr:spPr>
        <a:xfrm>
          <a:off x="5019675" y="18811875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7</xdr:col>
      <xdr:colOff>0</xdr:colOff>
      <xdr:row>262</xdr:row>
      <xdr:rowOff>0</xdr:rowOff>
    </xdr:from>
    <xdr:to>
      <xdr:col>7</xdr:col>
      <xdr:colOff>398145</xdr:colOff>
      <xdr:row>263</xdr:row>
      <xdr:rowOff>0</xdr:rowOff>
    </xdr:to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6772BBA1-F84C-4947-9ED4-09EB49A62BF6}"/>
            </a:ext>
          </a:extLst>
        </xdr:cNvPr>
        <xdr:cNvSpPr txBox="1"/>
      </xdr:nvSpPr>
      <xdr:spPr>
        <a:xfrm>
          <a:off x="5019675" y="18811875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7</xdr:col>
      <xdr:colOff>0</xdr:colOff>
      <xdr:row>262</xdr:row>
      <xdr:rowOff>0</xdr:rowOff>
    </xdr:from>
    <xdr:to>
      <xdr:col>7</xdr:col>
      <xdr:colOff>398145</xdr:colOff>
      <xdr:row>263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FC2A6A1C-D851-428A-B203-309022DBE357}"/>
            </a:ext>
          </a:extLst>
        </xdr:cNvPr>
        <xdr:cNvSpPr txBox="1"/>
      </xdr:nvSpPr>
      <xdr:spPr>
        <a:xfrm>
          <a:off x="5019675" y="18811875"/>
          <a:ext cx="398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1</xdr:col>
      <xdr:colOff>85724</xdr:colOff>
      <xdr:row>330</xdr:row>
      <xdr:rowOff>95250</xdr:rowOff>
    </xdr:from>
    <xdr:to>
      <xdr:col>8</xdr:col>
      <xdr:colOff>514816</xdr:colOff>
      <xdr:row>340</xdr:row>
      <xdr:rowOff>228600</xdr:rowOff>
    </xdr:to>
    <xdr:grpSp>
      <xdr:nvGrpSpPr>
        <xdr:cNvPr id="75" name="Group 74">
          <a:extLst>
            <a:ext uri="{FF2B5EF4-FFF2-40B4-BE49-F238E27FC236}">
              <a16:creationId xmlns:a16="http://schemas.microsoft.com/office/drawing/2014/main" id="{B43017D1-9DBC-41CA-A901-33595709618A}"/>
            </a:ext>
          </a:extLst>
        </xdr:cNvPr>
        <xdr:cNvGrpSpPr/>
      </xdr:nvGrpSpPr>
      <xdr:grpSpPr>
        <a:xfrm>
          <a:off x="400049" y="80038575"/>
          <a:ext cx="5629742" cy="2514600"/>
          <a:chOff x="476250" y="247650"/>
          <a:chExt cx="9372600" cy="4875768"/>
        </a:xfrm>
      </xdr:grpSpPr>
      <xdr:pic>
        <xdr:nvPicPr>
          <xdr:cNvPr id="76" name="Picture 75">
            <a:extLst>
              <a:ext uri="{FF2B5EF4-FFF2-40B4-BE49-F238E27FC236}">
                <a16:creationId xmlns:a16="http://schemas.microsoft.com/office/drawing/2014/main" id="{2A0B8773-3F88-4E32-A32A-1CCC93D35F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76250" y="247650"/>
            <a:ext cx="4898263" cy="4875768"/>
          </a:xfrm>
          <a:prstGeom prst="rect">
            <a:avLst/>
          </a:prstGeom>
        </xdr:spPr>
      </xdr:pic>
      <xdr:pic>
        <xdr:nvPicPr>
          <xdr:cNvPr id="77" name="Picture 76">
            <a:extLst>
              <a:ext uri="{FF2B5EF4-FFF2-40B4-BE49-F238E27FC236}">
                <a16:creationId xmlns:a16="http://schemas.microsoft.com/office/drawing/2014/main" id="{47588D14-2BB3-401C-B7B4-B88A41B2DD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5457825" y="276225"/>
            <a:ext cx="4391025" cy="4805769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104775</xdr:colOff>
      <xdr:row>420</xdr:row>
      <xdr:rowOff>47625</xdr:rowOff>
    </xdr:from>
    <xdr:to>
      <xdr:col>6</xdr:col>
      <xdr:colOff>390525</xdr:colOff>
      <xdr:row>432</xdr:row>
      <xdr:rowOff>222827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1EB052F6-A57F-47FD-A562-8049E1DB5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0050" y="94468950"/>
          <a:ext cx="3762375" cy="3032702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378</xdr:row>
      <xdr:rowOff>19050</xdr:rowOff>
    </xdr:from>
    <xdr:to>
      <xdr:col>7</xdr:col>
      <xdr:colOff>666750</xdr:colOff>
      <xdr:row>389</xdr:row>
      <xdr:rowOff>192002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22E7D5A1-D7EE-48BA-A76F-483D0D55A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8625" y="84677250"/>
          <a:ext cx="4705350" cy="279232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513</xdr:row>
      <xdr:rowOff>66674</xdr:rowOff>
    </xdr:from>
    <xdr:to>
      <xdr:col>7</xdr:col>
      <xdr:colOff>213126</xdr:colOff>
      <xdr:row>528</xdr:row>
      <xdr:rowOff>171450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2E4D188C-E136-4D4D-8560-5C1C9D582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0600" y="100679249"/>
          <a:ext cx="3689751" cy="3676651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556</xdr:row>
      <xdr:rowOff>114300</xdr:rowOff>
    </xdr:from>
    <xdr:to>
      <xdr:col>8</xdr:col>
      <xdr:colOff>466725</xdr:colOff>
      <xdr:row>566</xdr:row>
      <xdr:rowOff>101620</xdr:rowOff>
    </xdr:to>
    <xdr:grpSp>
      <xdr:nvGrpSpPr>
        <xdr:cNvPr id="82" name="Group 81">
          <a:extLst>
            <a:ext uri="{FF2B5EF4-FFF2-40B4-BE49-F238E27FC236}">
              <a16:creationId xmlns:a16="http://schemas.microsoft.com/office/drawing/2014/main" id="{B72634CA-BBC3-4722-8F4F-5C8EDBD3AACA}"/>
            </a:ext>
          </a:extLst>
        </xdr:cNvPr>
        <xdr:cNvGrpSpPr/>
      </xdr:nvGrpSpPr>
      <xdr:grpSpPr>
        <a:xfrm>
          <a:off x="371475" y="134512050"/>
          <a:ext cx="5610225" cy="2368570"/>
          <a:chOff x="476250" y="29718000"/>
          <a:chExt cx="6652097" cy="3240000"/>
        </a:xfrm>
      </xdr:grpSpPr>
      <xdr:pic>
        <xdr:nvPicPr>
          <xdr:cNvPr id="83" name="Picture 82">
            <a:extLst>
              <a:ext uri="{FF2B5EF4-FFF2-40B4-BE49-F238E27FC236}">
                <a16:creationId xmlns:a16="http://schemas.microsoft.com/office/drawing/2014/main" id="{A96F23D7-DF2C-4939-977B-62CE1C61F8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476250" y="29718000"/>
            <a:ext cx="3006906" cy="3240000"/>
          </a:xfrm>
          <a:prstGeom prst="rect">
            <a:avLst/>
          </a:prstGeom>
        </xdr:spPr>
      </xdr:pic>
      <xdr:pic>
        <xdr:nvPicPr>
          <xdr:cNvPr id="84" name="Picture 83">
            <a:extLst>
              <a:ext uri="{FF2B5EF4-FFF2-40B4-BE49-F238E27FC236}">
                <a16:creationId xmlns:a16="http://schemas.microsoft.com/office/drawing/2014/main" id="{895F5657-4557-4374-995D-25A7BD494C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3505201" y="29718000"/>
            <a:ext cx="3623146" cy="3240000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1</xdr:colOff>
      <xdr:row>623</xdr:row>
      <xdr:rowOff>66676</xdr:rowOff>
    </xdr:from>
    <xdr:to>
      <xdr:col>6</xdr:col>
      <xdr:colOff>542926</xdr:colOff>
      <xdr:row>640</xdr:row>
      <xdr:rowOff>116277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70052B45-C2F3-4DAF-A338-29F92672C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726" y="3209926"/>
          <a:ext cx="4019550" cy="4097726"/>
        </a:xfrm>
        <a:prstGeom prst="rect">
          <a:avLst/>
        </a:prstGeom>
      </xdr:spPr>
    </xdr:pic>
    <xdr:clientData/>
  </xdr:twoCellAnchor>
  <xdr:twoCellAnchor editAs="oneCell">
    <xdr:from>
      <xdr:col>1</xdr:col>
      <xdr:colOff>76198</xdr:colOff>
      <xdr:row>772</xdr:row>
      <xdr:rowOff>95250</xdr:rowOff>
    </xdr:from>
    <xdr:to>
      <xdr:col>4</xdr:col>
      <xdr:colOff>523820</xdr:colOff>
      <xdr:row>783</xdr:row>
      <xdr:rowOff>175875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C668C9DA-317C-4300-81A5-2CAE16AF4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71473" y="159524700"/>
          <a:ext cx="2533597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807</xdr:row>
      <xdr:rowOff>28575</xdr:rowOff>
    </xdr:from>
    <xdr:to>
      <xdr:col>6</xdr:col>
      <xdr:colOff>257954</xdr:colOff>
      <xdr:row>818</xdr:row>
      <xdr:rowOff>109200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D0D7490E-9298-411D-A296-2C24A4848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95275" y="165887400"/>
          <a:ext cx="3734579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844</xdr:row>
      <xdr:rowOff>66675</xdr:rowOff>
    </xdr:from>
    <xdr:to>
      <xdr:col>6</xdr:col>
      <xdr:colOff>183013</xdr:colOff>
      <xdr:row>855</xdr:row>
      <xdr:rowOff>147300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35068649-12FF-45BC-BE93-75E34CB66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95275" y="172831125"/>
          <a:ext cx="3659638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869</xdr:row>
      <xdr:rowOff>38100</xdr:rowOff>
    </xdr:from>
    <xdr:to>
      <xdr:col>4</xdr:col>
      <xdr:colOff>285750</xdr:colOff>
      <xdr:row>879</xdr:row>
      <xdr:rowOff>205570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7D1960B4-1BD9-40C3-8CFB-570A6AC7E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95275" y="191376300"/>
          <a:ext cx="2371725" cy="25487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899</xdr:row>
      <xdr:rowOff>38100</xdr:rowOff>
    </xdr:from>
    <xdr:to>
      <xdr:col>4</xdr:col>
      <xdr:colOff>441570</xdr:colOff>
      <xdr:row>910</xdr:row>
      <xdr:rowOff>118725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28770515-075A-41CB-9ADE-DCC31A357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95275" y="186851925"/>
          <a:ext cx="2527545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956</xdr:row>
      <xdr:rowOff>38100</xdr:rowOff>
    </xdr:from>
    <xdr:to>
      <xdr:col>4</xdr:col>
      <xdr:colOff>446959</xdr:colOff>
      <xdr:row>967</xdr:row>
      <xdr:rowOff>118725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3F638D52-1A60-47E5-BDBD-762D154C0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95275" y="198281925"/>
          <a:ext cx="2532934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975</xdr:row>
      <xdr:rowOff>57150</xdr:rowOff>
    </xdr:from>
    <xdr:to>
      <xdr:col>5</xdr:col>
      <xdr:colOff>594971</xdr:colOff>
      <xdr:row>986</xdr:row>
      <xdr:rowOff>137775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9BE8F716-FEAE-45C1-9984-678DD8B21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95275" y="202825350"/>
          <a:ext cx="3376271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1004</xdr:row>
      <xdr:rowOff>85725</xdr:rowOff>
    </xdr:from>
    <xdr:to>
      <xdr:col>5</xdr:col>
      <xdr:colOff>546355</xdr:colOff>
      <xdr:row>1015</xdr:row>
      <xdr:rowOff>166350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98C25EE1-F277-40F6-BDF5-745466642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95275" y="209759550"/>
          <a:ext cx="3327655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1029</xdr:row>
      <xdr:rowOff>85725</xdr:rowOff>
    </xdr:from>
    <xdr:to>
      <xdr:col>4</xdr:col>
      <xdr:colOff>473625</xdr:colOff>
      <xdr:row>1040</xdr:row>
      <xdr:rowOff>166350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79C0ED9F-131A-45C5-89E4-A7AD83D6F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95275" y="215712675"/>
          <a:ext cx="2559600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1067</xdr:row>
      <xdr:rowOff>104775</xdr:rowOff>
    </xdr:from>
    <xdr:to>
      <xdr:col>4</xdr:col>
      <xdr:colOff>441225</xdr:colOff>
      <xdr:row>1078</xdr:row>
      <xdr:rowOff>185400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1EC0B801-CD59-4353-BA27-0F062DFF8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95275" y="224304225"/>
          <a:ext cx="2527200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1086</xdr:row>
      <xdr:rowOff>57150</xdr:rowOff>
    </xdr:from>
    <xdr:to>
      <xdr:col>5</xdr:col>
      <xdr:colOff>670990</xdr:colOff>
      <xdr:row>1097</xdr:row>
      <xdr:rowOff>137775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C4325FC6-3601-4F11-B333-4097737B6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95275" y="228780975"/>
          <a:ext cx="3452290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1115</xdr:row>
      <xdr:rowOff>104775</xdr:rowOff>
    </xdr:from>
    <xdr:to>
      <xdr:col>5</xdr:col>
      <xdr:colOff>540518</xdr:colOff>
      <xdr:row>1126</xdr:row>
      <xdr:rowOff>185400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E29B316A-98E1-42E8-9441-7EB61C97B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95275" y="235734225"/>
          <a:ext cx="3321818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1140</xdr:row>
      <xdr:rowOff>66675</xdr:rowOff>
    </xdr:from>
    <xdr:to>
      <xdr:col>4</xdr:col>
      <xdr:colOff>445953</xdr:colOff>
      <xdr:row>1151</xdr:row>
      <xdr:rowOff>147300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74C03769-CECD-43EF-8F2A-D1EF2E498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95275" y="241649250"/>
          <a:ext cx="2531928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1177</xdr:row>
      <xdr:rowOff>0</xdr:rowOff>
    </xdr:from>
    <xdr:to>
      <xdr:col>4</xdr:col>
      <xdr:colOff>661186</xdr:colOff>
      <xdr:row>1188</xdr:row>
      <xdr:rowOff>80625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D0F905C0-B86B-40B6-BADF-11A2DB17A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47675" y="86658450"/>
          <a:ext cx="2747161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1193</xdr:row>
      <xdr:rowOff>0</xdr:rowOff>
    </xdr:from>
    <xdr:to>
      <xdr:col>7</xdr:col>
      <xdr:colOff>168510</xdr:colOff>
      <xdr:row>1208</xdr:row>
      <xdr:rowOff>28125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E76083A5-0F18-41AC-81F9-18BAB06CC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47675" y="90706575"/>
          <a:ext cx="4340460" cy="3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1267</xdr:row>
      <xdr:rowOff>28576</xdr:rowOff>
    </xdr:from>
    <xdr:to>
      <xdr:col>8</xdr:col>
      <xdr:colOff>532725</xdr:colOff>
      <xdr:row>1277</xdr:row>
      <xdr:rowOff>80719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21603A05-AF80-49A7-B3D4-2F4254217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95275" y="270900526"/>
          <a:ext cx="5400000" cy="243339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1228</xdr:row>
      <xdr:rowOff>28575</xdr:rowOff>
    </xdr:from>
    <xdr:to>
      <xdr:col>8</xdr:col>
      <xdr:colOff>532725</xdr:colOff>
      <xdr:row>1238</xdr:row>
      <xdr:rowOff>145834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27AF8DDD-06A3-4E48-9546-DA870E9DA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95275" y="261851775"/>
          <a:ext cx="5400000" cy="2498509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1304</xdr:row>
      <xdr:rowOff>0</xdr:rowOff>
    </xdr:from>
    <xdr:to>
      <xdr:col>7</xdr:col>
      <xdr:colOff>658774</xdr:colOff>
      <xdr:row>1315</xdr:row>
      <xdr:rowOff>80625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47AB75D4-D2F5-4B56-BEB1-0E6634F78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47676" y="116967000"/>
          <a:ext cx="4830723" cy="2700000"/>
        </a:xfrm>
        <a:prstGeom prst="rect">
          <a:avLst/>
        </a:prstGeom>
      </xdr:spPr>
    </xdr:pic>
    <xdr:clientData/>
  </xdr:twoCellAnchor>
  <xdr:twoCellAnchor>
    <xdr:from>
      <xdr:col>4</xdr:col>
      <xdr:colOff>346710</xdr:colOff>
      <xdr:row>1414</xdr:row>
      <xdr:rowOff>0</xdr:rowOff>
    </xdr:from>
    <xdr:to>
      <xdr:col>4</xdr:col>
      <xdr:colOff>744855</xdr:colOff>
      <xdr:row>1415</xdr:row>
      <xdr:rowOff>30481</xdr:rowOff>
    </xdr:to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32A08E45-341E-4B05-871F-24A44AEBFE71}"/>
            </a:ext>
          </a:extLst>
        </xdr:cNvPr>
        <xdr:cNvSpPr txBox="1"/>
      </xdr:nvSpPr>
      <xdr:spPr>
        <a:xfrm>
          <a:off x="3509010" y="12382500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>
    <xdr:from>
      <xdr:col>3</xdr:col>
      <xdr:colOff>720090</xdr:colOff>
      <xdr:row>1387</xdr:row>
      <xdr:rowOff>175260</xdr:rowOff>
    </xdr:from>
    <xdr:to>
      <xdr:col>4</xdr:col>
      <xdr:colOff>154305</xdr:colOff>
      <xdr:row>1389</xdr:row>
      <xdr:rowOff>15240</xdr:rowOff>
    </xdr:to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188135CE-E206-4008-9D21-57F04664D3E1}"/>
            </a:ext>
          </a:extLst>
        </xdr:cNvPr>
        <xdr:cNvSpPr txBox="1"/>
      </xdr:nvSpPr>
      <xdr:spPr>
        <a:xfrm>
          <a:off x="2977515" y="6128385"/>
          <a:ext cx="339090" cy="316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1388</xdr:row>
      <xdr:rowOff>0</xdr:rowOff>
    </xdr:from>
    <xdr:to>
      <xdr:col>5</xdr:col>
      <xdr:colOff>127635</xdr:colOff>
      <xdr:row>1389</xdr:row>
      <xdr:rowOff>22860</xdr:rowOff>
    </xdr:to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F640BD3B-C5DB-47DE-BF7E-27743E306E1B}"/>
            </a:ext>
          </a:extLst>
        </xdr:cNvPr>
        <xdr:cNvSpPr txBox="1"/>
      </xdr:nvSpPr>
      <xdr:spPr>
        <a:xfrm>
          <a:off x="4067175" y="6191250"/>
          <a:ext cx="127635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714375</xdr:colOff>
      <xdr:row>1388</xdr:row>
      <xdr:rowOff>190500</xdr:rowOff>
    </xdr:from>
    <xdr:to>
      <xdr:col>4</xdr:col>
      <xdr:colOff>139065</xdr:colOff>
      <xdr:row>1390</xdr:row>
      <xdr:rowOff>32385</xdr:rowOff>
    </xdr:to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9F589AC8-C683-4D06-AC57-1B17D6A3A34A}"/>
            </a:ext>
          </a:extLst>
        </xdr:cNvPr>
        <xdr:cNvSpPr txBox="1"/>
      </xdr:nvSpPr>
      <xdr:spPr>
        <a:xfrm>
          <a:off x="2971800" y="6381750"/>
          <a:ext cx="32956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1388</xdr:row>
      <xdr:rowOff>198120</xdr:rowOff>
    </xdr:from>
    <xdr:to>
      <xdr:col>5</xdr:col>
      <xdr:colOff>112395</xdr:colOff>
      <xdr:row>1390</xdr:row>
      <xdr:rowOff>40005</xdr:rowOff>
    </xdr:to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6F6277A5-7F98-489D-9F44-2B1D8C61AEE4}"/>
            </a:ext>
          </a:extLst>
        </xdr:cNvPr>
        <xdr:cNvSpPr txBox="1"/>
      </xdr:nvSpPr>
      <xdr:spPr>
        <a:xfrm>
          <a:off x="4067175" y="6389370"/>
          <a:ext cx="11239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7</xdr:col>
      <xdr:colOff>390525</xdr:colOff>
      <xdr:row>1403</xdr:row>
      <xdr:rowOff>0</xdr:rowOff>
    </xdr:from>
    <xdr:to>
      <xdr:col>8</xdr:col>
      <xdr:colOff>95250</xdr:colOff>
      <xdr:row>1403</xdr:row>
      <xdr:rowOff>30481</xdr:rowOff>
    </xdr:to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A5427438-FF3D-4752-9B83-2AAEAAA464D5}"/>
            </a:ext>
          </a:extLst>
        </xdr:cNvPr>
        <xdr:cNvSpPr txBox="1"/>
      </xdr:nvSpPr>
      <xdr:spPr>
        <a:xfrm>
          <a:off x="6267450" y="9763125"/>
          <a:ext cx="609600" cy="30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(c - d') / c</a:t>
          </a:r>
          <a:endParaRPr lang="id-ID" sz="1100"/>
        </a:p>
      </xdr:txBody>
    </xdr:sp>
    <xdr:clientData/>
  </xdr:twoCellAnchor>
  <xdr:twoCellAnchor>
    <xdr:from>
      <xdr:col>7</xdr:col>
      <xdr:colOff>499110</xdr:colOff>
      <xdr:row>1402</xdr:row>
      <xdr:rowOff>234315</xdr:rowOff>
    </xdr:from>
    <xdr:to>
      <xdr:col>8</xdr:col>
      <xdr:colOff>200025</xdr:colOff>
      <xdr:row>1404</xdr:row>
      <xdr:rowOff>66676</xdr:rowOff>
    </xdr:to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1F718C5F-59D7-4C71-8B0B-F455BCF7BBA6}"/>
            </a:ext>
          </a:extLst>
        </xdr:cNvPr>
        <xdr:cNvSpPr txBox="1"/>
      </xdr:nvSpPr>
      <xdr:spPr>
        <a:xfrm>
          <a:off x="4966335" y="318493140"/>
          <a:ext cx="396240" cy="308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</a:t>
          </a:r>
          <a:endParaRPr lang="id-ID" sz="1100"/>
        </a:p>
      </xdr:txBody>
    </xdr:sp>
    <xdr:clientData/>
  </xdr:twoCellAnchor>
  <xdr:twoCellAnchor>
    <xdr:from>
      <xdr:col>6</xdr:col>
      <xdr:colOff>340995</xdr:colOff>
      <xdr:row>1405</xdr:row>
      <xdr:rowOff>232410</xdr:rowOff>
    </xdr:from>
    <xdr:to>
      <xdr:col>7</xdr:col>
      <xdr:colOff>209550</xdr:colOff>
      <xdr:row>1407</xdr:row>
      <xdr:rowOff>95250</xdr:rowOff>
    </xdr:to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9D784055-0A84-4287-9F98-A1D73572F1B9}"/>
            </a:ext>
          </a:extLst>
        </xdr:cNvPr>
        <xdr:cNvSpPr txBox="1"/>
      </xdr:nvSpPr>
      <xdr:spPr>
        <a:xfrm>
          <a:off x="4112895" y="319205610"/>
          <a:ext cx="563880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=</a:t>
          </a:r>
          <a:endParaRPr lang="id-ID" sz="1100"/>
        </a:p>
      </xdr:txBody>
    </xdr:sp>
    <xdr:clientData/>
  </xdr:twoCellAnchor>
  <xdr:twoCellAnchor>
    <xdr:from>
      <xdr:col>6</xdr:col>
      <xdr:colOff>0</xdr:colOff>
      <xdr:row>1399</xdr:row>
      <xdr:rowOff>0</xdr:rowOff>
    </xdr:from>
    <xdr:to>
      <xdr:col>6</xdr:col>
      <xdr:colOff>398145</xdr:colOff>
      <xdr:row>1400</xdr:row>
      <xdr:rowOff>30481</xdr:rowOff>
    </xdr:to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1CFB569B-BCCD-433F-8111-D2ECE710F813}"/>
            </a:ext>
          </a:extLst>
        </xdr:cNvPr>
        <xdr:cNvSpPr txBox="1"/>
      </xdr:nvSpPr>
      <xdr:spPr>
        <a:xfrm>
          <a:off x="4972050" y="8810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1399</xdr:row>
      <xdr:rowOff>0</xdr:rowOff>
    </xdr:from>
    <xdr:to>
      <xdr:col>7</xdr:col>
      <xdr:colOff>398145</xdr:colOff>
      <xdr:row>1400</xdr:row>
      <xdr:rowOff>30481</xdr:rowOff>
    </xdr:to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C8B3619B-F23A-4A3D-8617-8E660339A1B0}"/>
            </a:ext>
          </a:extLst>
        </xdr:cNvPr>
        <xdr:cNvSpPr txBox="1"/>
      </xdr:nvSpPr>
      <xdr:spPr>
        <a:xfrm>
          <a:off x="5876925" y="8810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4</xdr:col>
      <xdr:colOff>346710</xdr:colOff>
      <xdr:row>1493</xdr:row>
      <xdr:rowOff>0</xdr:rowOff>
    </xdr:from>
    <xdr:to>
      <xdr:col>4</xdr:col>
      <xdr:colOff>744855</xdr:colOff>
      <xdr:row>1494</xdr:row>
      <xdr:rowOff>30481</xdr:rowOff>
    </xdr:to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ECC20942-A877-424A-8EC7-F007A5C39CFE}"/>
            </a:ext>
          </a:extLst>
        </xdr:cNvPr>
        <xdr:cNvSpPr txBox="1"/>
      </xdr:nvSpPr>
      <xdr:spPr>
        <a:xfrm>
          <a:off x="3509010" y="3119437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>
    <xdr:from>
      <xdr:col>3</xdr:col>
      <xdr:colOff>720090</xdr:colOff>
      <xdr:row>1467</xdr:row>
      <xdr:rowOff>175260</xdr:rowOff>
    </xdr:from>
    <xdr:to>
      <xdr:col>4</xdr:col>
      <xdr:colOff>154305</xdr:colOff>
      <xdr:row>1469</xdr:row>
      <xdr:rowOff>15240</xdr:rowOff>
    </xdr:to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DED2C6A3-AF24-4CB4-8E3D-4E53023FCC1A}"/>
            </a:ext>
          </a:extLst>
        </xdr:cNvPr>
        <xdr:cNvSpPr txBox="1"/>
      </xdr:nvSpPr>
      <xdr:spPr>
        <a:xfrm>
          <a:off x="2977515" y="24940260"/>
          <a:ext cx="339090" cy="316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1468</xdr:row>
      <xdr:rowOff>0</xdr:rowOff>
    </xdr:from>
    <xdr:to>
      <xdr:col>5</xdr:col>
      <xdr:colOff>127635</xdr:colOff>
      <xdr:row>1469</xdr:row>
      <xdr:rowOff>22860</xdr:rowOff>
    </xdr:to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5F0E42FC-25DD-4A1A-8FF9-2FE973FFF571}"/>
            </a:ext>
          </a:extLst>
        </xdr:cNvPr>
        <xdr:cNvSpPr txBox="1"/>
      </xdr:nvSpPr>
      <xdr:spPr>
        <a:xfrm>
          <a:off x="4067175" y="25003125"/>
          <a:ext cx="127635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714375</xdr:colOff>
      <xdr:row>1468</xdr:row>
      <xdr:rowOff>190500</xdr:rowOff>
    </xdr:from>
    <xdr:to>
      <xdr:col>4</xdr:col>
      <xdr:colOff>139065</xdr:colOff>
      <xdr:row>1470</xdr:row>
      <xdr:rowOff>32385</xdr:rowOff>
    </xdr:to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7FA7F107-0E0D-4188-A865-47924498BA95}"/>
            </a:ext>
          </a:extLst>
        </xdr:cNvPr>
        <xdr:cNvSpPr txBox="1"/>
      </xdr:nvSpPr>
      <xdr:spPr>
        <a:xfrm>
          <a:off x="2971800" y="25193625"/>
          <a:ext cx="32956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1468</xdr:row>
      <xdr:rowOff>198120</xdr:rowOff>
    </xdr:from>
    <xdr:to>
      <xdr:col>5</xdr:col>
      <xdr:colOff>112395</xdr:colOff>
      <xdr:row>1470</xdr:row>
      <xdr:rowOff>40005</xdr:rowOff>
    </xdr:to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869EADDA-834D-4B20-9E17-41D90AAB7D5E}"/>
            </a:ext>
          </a:extLst>
        </xdr:cNvPr>
        <xdr:cNvSpPr txBox="1"/>
      </xdr:nvSpPr>
      <xdr:spPr>
        <a:xfrm>
          <a:off x="4067175" y="25201245"/>
          <a:ext cx="11239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7</xdr:col>
      <xdr:colOff>390525</xdr:colOff>
      <xdr:row>1482</xdr:row>
      <xdr:rowOff>0</xdr:rowOff>
    </xdr:from>
    <xdr:to>
      <xdr:col>8</xdr:col>
      <xdr:colOff>95250</xdr:colOff>
      <xdr:row>1482</xdr:row>
      <xdr:rowOff>30481</xdr:rowOff>
    </xdr:to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1AC2F5E3-B39D-4FAC-98D9-CB4666603491}"/>
            </a:ext>
          </a:extLst>
        </xdr:cNvPr>
        <xdr:cNvSpPr txBox="1"/>
      </xdr:nvSpPr>
      <xdr:spPr>
        <a:xfrm>
          <a:off x="6267450" y="28575000"/>
          <a:ext cx="609600" cy="30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(c - d') / c</a:t>
          </a:r>
          <a:endParaRPr lang="id-ID" sz="1100"/>
        </a:p>
      </xdr:txBody>
    </xdr:sp>
    <xdr:clientData/>
  </xdr:twoCellAnchor>
  <xdr:twoCellAnchor>
    <xdr:from>
      <xdr:col>7</xdr:col>
      <xdr:colOff>499110</xdr:colOff>
      <xdr:row>1481</xdr:row>
      <xdr:rowOff>234315</xdr:rowOff>
    </xdr:from>
    <xdr:to>
      <xdr:col>8</xdr:col>
      <xdr:colOff>171450</xdr:colOff>
      <xdr:row>1483</xdr:row>
      <xdr:rowOff>66676</xdr:rowOff>
    </xdr:to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F5B8E057-6C4E-40B7-BE69-E332FCE05452}"/>
            </a:ext>
          </a:extLst>
        </xdr:cNvPr>
        <xdr:cNvSpPr txBox="1"/>
      </xdr:nvSpPr>
      <xdr:spPr>
        <a:xfrm>
          <a:off x="4966335" y="320874390"/>
          <a:ext cx="367665" cy="308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</a:t>
          </a:r>
          <a:endParaRPr lang="id-ID" sz="1100"/>
        </a:p>
      </xdr:txBody>
    </xdr:sp>
    <xdr:clientData/>
  </xdr:twoCellAnchor>
  <xdr:twoCellAnchor>
    <xdr:from>
      <xdr:col>6</xdr:col>
      <xdr:colOff>369570</xdr:colOff>
      <xdr:row>1484</xdr:row>
      <xdr:rowOff>232410</xdr:rowOff>
    </xdr:from>
    <xdr:to>
      <xdr:col>7</xdr:col>
      <xdr:colOff>361950</xdr:colOff>
      <xdr:row>1486</xdr:row>
      <xdr:rowOff>95250</xdr:rowOff>
    </xdr:to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24B3AF90-6368-4C4A-B6AD-4D6B5E8A69D6}"/>
            </a:ext>
          </a:extLst>
        </xdr:cNvPr>
        <xdr:cNvSpPr txBox="1"/>
      </xdr:nvSpPr>
      <xdr:spPr>
        <a:xfrm>
          <a:off x="4141470" y="321586860"/>
          <a:ext cx="687705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=</a:t>
          </a:r>
          <a:endParaRPr lang="id-ID" sz="1100"/>
        </a:p>
      </xdr:txBody>
    </xdr:sp>
    <xdr:clientData/>
  </xdr:twoCellAnchor>
  <xdr:twoCellAnchor>
    <xdr:from>
      <xdr:col>6</xdr:col>
      <xdr:colOff>0</xdr:colOff>
      <xdr:row>1478</xdr:row>
      <xdr:rowOff>0</xdr:rowOff>
    </xdr:from>
    <xdr:to>
      <xdr:col>6</xdr:col>
      <xdr:colOff>398145</xdr:colOff>
      <xdr:row>1479</xdr:row>
      <xdr:rowOff>30481</xdr:rowOff>
    </xdr:to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93B37A27-F513-424A-BA9E-0BD46D1D91E3}"/>
            </a:ext>
          </a:extLst>
        </xdr:cNvPr>
        <xdr:cNvSpPr txBox="1"/>
      </xdr:nvSpPr>
      <xdr:spPr>
        <a:xfrm>
          <a:off x="4972050" y="27622500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1478</xdr:row>
      <xdr:rowOff>0</xdr:rowOff>
    </xdr:from>
    <xdr:to>
      <xdr:col>7</xdr:col>
      <xdr:colOff>398145</xdr:colOff>
      <xdr:row>1479</xdr:row>
      <xdr:rowOff>30481</xdr:rowOff>
    </xdr:to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78AAE313-D018-4A2E-AD3F-A10DB09C4329}"/>
            </a:ext>
          </a:extLst>
        </xdr:cNvPr>
        <xdr:cNvSpPr txBox="1"/>
      </xdr:nvSpPr>
      <xdr:spPr>
        <a:xfrm>
          <a:off x="5876925" y="27622500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4</xdr:col>
      <xdr:colOff>241935</xdr:colOff>
      <xdr:row>1573</xdr:row>
      <xdr:rowOff>0</xdr:rowOff>
    </xdr:from>
    <xdr:to>
      <xdr:col>4</xdr:col>
      <xdr:colOff>592455</xdr:colOff>
      <xdr:row>1574</xdr:row>
      <xdr:rowOff>30481</xdr:rowOff>
    </xdr:to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3F5BCD0C-58DB-475E-BED9-0520D34DE365}"/>
            </a:ext>
          </a:extLst>
        </xdr:cNvPr>
        <xdr:cNvSpPr txBox="1"/>
      </xdr:nvSpPr>
      <xdr:spPr>
        <a:xfrm>
          <a:off x="2623185" y="342547575"/>
          <a:ext cx="350520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>
    <xdr:from>
      <xdr:col>3</xdr:col>
      <xdr:colOff>605790</xdr:colOff>
      <xdr:row>1546</xdr:row>
      <xdr:rowOff>213360</xdr:rowOff>
    </xdr:from>
    <xdr:to>
      <xdr:col>4</xdr:col>
      <xdr:colOff>68580</xdr:colOff>
      <xdr:row>1548</xdr:row>
      <xdr:rowOff>53340</xdr:rowOff>
    </xdr:to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CDFFBDE7-E5D9-4AF0-AEB7-474773C88518}"/>
            </a:ext>
          </a:extLst>
        </xdr:cNvPr>
        <xdr:cNvSpPr txBox="1"/>
      </xdr:nvSpPr>
      <xdr:spPr>
        <a:xfrm>
          <a:off x="2291715" y="336331560"/>
          <a:ext cx="158115" cy="316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619125</xdr:colOff>
      <xdr:row>1546</xdr:row>
      <xdr:rowOff>209550</xdr:rowOff>
    </xdr:from>
    <xdr:to>
      <xdr:col>5</xdr:col>
      <xdr:colOff>51435</xdr:colOff>
      <xdr:row>1547</xdr:row>
      <xdr:rowOff>232410</xdr:rowOff>
    </xdr:to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78667366-5347-4DDD-BF58-7F4D4A3B6DEF}"/>
            </a:ext>
          </a:extLst>
        </xdr:cNvPr>
        <xdr:cNvSpPr txBox="1"/>
      </xdr:nvSpPr>
      <xdr:spPr>
        <a:xfrm>
          <a:off x="3000375" y="336327750"/>
          <a:ext cx="127635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609600</xdr:colOff>
      <xdr:row>1547</xdr:row>
      <xdr:rowOff>228600</xdr:rowOff>
    </xdr:from>
    <xdr:to>
      <xdr:col>4</xdr:col>
      <xdr:colOff>53340</xdr:colOff>
      <xdr:row>1549</xdr:row>
      <xdr:rowOff>70485</xdr:rowOff>
    </xdr:to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2E89099E-5AE3-4414-B72B-042B84219874}"/>
            </a:ext>
          </a:extLst>
        </xdr:cNvPr>
        <xdr:cNvSpPr txBox="1"/>
      </xdr:nvSpPr>
      <xdr:spPr>
        <a:xfrm>
          <a:off x="2295525" y="336584925"/>
          <a:ext cx="13906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619125</xdr:colOff>
      <xdr:row>1547</xdr:row>
      <xdr:rowOff>198120</xdr:rowOff>
    </xdr:from>
    <xdr:to>
      <xdr:col>5</xdr:col>
      <xdr:colOff>36195</xdr:colOff>
      <xdr:row>1549</xdr:row>
      <xdr:rowOff>40005</xdr:rowOff>
    </xdr:to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382699FE-1D78-4D53-BE18-1B7CD8693C75}"/>
            </a:ext>
          </a:extLst>
        </xdr:cNvPr>
        <xdr:cNvSpPr txBox="1"/>
      </xdr:nvSpPr>
      <xdr:spPr>
        <a:xfrm>
          <a:off x="3000375" y="336554445"/>
          <a:ext cx="11239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7</xdr:col>
      <xdr:colOff>390525</xdr:colOff>
      <xdr:row>1562</xdr:row>
      <xdr:rowOff>0</xdr:rowOff>
    </xdr:from>
    <xdr:to>
      <xdr:col>8</xdr:col>
      <xdr:colOff>95250</xdr:colOff>
      <xdr:row>1562</xdr:row>
      <xdr:rowOff>30481</xdr:rowOff>
    </xdr:to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5806B471-82F2-4E94-877E-4316BACE918C}"/>
            </a:ext>
          </a:extLst>
        </xdr:cNvPr>
        <xdr:cNvSpPr txBox="1"/>
      </xdr:nvSpPr>
      <xdr:spPr>
        <a:xfrm>
          <a:off x="6267450" y="47386875"/>
          <a:ext cx="609600" cy="30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(c - d') / c</a:t>
          </a:r>
          <a:endParaRPr lang="id-ID" sz="1100"/>
        </a:p>
      </xdr:txBody>
    </xdr:sp>
    <xdr:clientData/>
  </xdr:twoCellAnchor>
  <xdr:twoCellAnchor>
    <xdr:from>
      <xdr:col>7</xdr:col>
      <xdr:colOff>499110</xdr:colOff>
      <xdr:row>1561</xdr:row>
      <xdr:rowOff>234315</xdr:rowOff>
    </xdr:from>
    <xdr:to>
      <xdr:col>8</xdr:col>
      <xdr:colOff>190500</xdr:colOff>
      <xdr:row>1563</xdr:row>
      <xdr:rowOff>66676</xdr:rowOff>
    </xdr:to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CCD65141-7CE5-4A79-938F-BE4BA10E0A0B}"/>
            </a:ext>
          </a:extLst>
        </xdr:cNvPr>
        <xdr:cNvSpPr txBox="1"/>
      </xdr:nvSpPr>
      <xdr:spPr>
        <a:xfrm>
          <a:off x="4966335" y="339924390"/>
          <a:ext cx="386715" cy="308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</a:t>
          </a:r>
          <a:endParaRPr lang="id-ID" sz="1100"/>
        </a:p>
      </xdr:txBody>
    </xdr:sp>
    <xdr:clientData/>
  </xdr:twoCellAnchor>
  <xdr:twoCellAnchor>
    <xdr:from>
      <xdr:col>6</xdr:col>
      <xdr:colOff>350520</xdr:colOff>
      <xdr:row>1564</xdr:row>
      <xdr:rowOff>232410</xdr:rowOff>
    </xdr:from>
    <xdr:to>
      <xdr:col>7</xdr:col>
      <xdr:colOff>333375</xdr:colOff>
      <xdr:row>1566</xdr:row>
      <xdr:rowOff>95250</xdr:rowOff>
    </xdr:to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E7672E5A-5273-476D-87F1-3610E14A0736}"/>
            </a:ext>
          </a:extLst>
        </xdr:cNvPr>
        <xdr:cNvSpPr txBox="1"/>
      </xdr:nvSpPr>
      <xdr:spPr>
        <a:xfrm>
          <a:off x="4122420" y="340636860"/>
          <a:ext cx="678180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=</a:t>
          </a:r>
          <a:endParaRPr lang="id-ID" sz="1100"/>
        </a:p>
      </xdr:txBody>
    </xdr:sp>
    <xdr:clientData/>
  </xdr:twoCellAnchor>
  <xdr:twoCellAnchor>
    <xdr:from>
      <xdr:col>6</xdr:col>
      <xdr:colOff>0</xdr:colOff>
      <xdr:row>1558</xdr:row>
      <xdr:rowOff>0</xdr:rowOff>
    </xdr:from>
    <xdr:to>
      <xdr:col>6</xdr:col>
      <xdr:colOff>398145</xdr:colOff>
      <xdr:row>1559</xdr:row>
      <xdr:rowOff>30481</xdr:rowOff>
    </xdr:to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57FCA101-DC27-4AD1-8954-817330207F8D}"/>
            </a:ext>
          </a:extLst>
        </xdr:cNvPr>
        <xdr:cNvSpPr txBox="1"/>
      </xdr:nvSpPr>
      <xdr:spPr>
        <a:xfrm>
          <a:off x="4972050" y="4643437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1558</xdr:row>
      <xdr:rowOff>0</xdr:rowOff>
    </xdr:from>
    <xdr:to>
      <xdr:col>7</xdr:col>
      <xdr:colOff>398145</xdr:colOff>
      <xdr:row>1559</xdr:row>
      <xdr:rowOff>30481</xdr:rowOff>
    </xdr:to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622F7F94-1B36-4DD4-B571-A58EB5829B64}"/>
            </a:ext>
          </a:extLst>
        </xdr:cNvPr>
        <xdr:cNvSpPr txBox="1"/>
      </xdr:nvSpPr>
      <xdr:spPr>
        <a:xfrm>
          <a:off x="5876925" y="4643437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4</xdr:col>
      <xdr:colOff>346710</xdr:colOff>
      <xdr:row>1653</xdr:row>
      <xdr:rowOff>0</xdr:rowOff>
    </xdr:from>
    <xdr:to>
      <xdr:col>4</xdr:col>
      <xdr:colOff>744855</xdr:colOff>
      <xdr:row>1654</xdr:row>
      <xdr:rowOff>30481</xdr:rowOff>
    </xdr:to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65C450D0-5822-4B90-8FEB-E5FF397BA7FD}"/>
            </a:ext>
          </a:extLst>
        </xdr:cNvPr>
        <xdr:cNvSpPr txBox="1"/>
      </xdr:nvSpPr>
      <xdr:spPr>
        <a:xfrm>
          <a:off x="3509010" y="688181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>
    <xdr:from>
      <xdr:col>3</xdr:col>
      <xdr:colOff>615315</xdr:colOff>
      <xdr:row>1627</xdr:row>
      <xdr:rowOff>22860</xdr:rowOff>
    </xdr:from>
    <xdr:to>
      <xdr:col>4</xdr:col>
      <xdr:colOff>78105</xdr:colOff>
      <xdr:row>1628</xdr:row>
      <xdr:rowOff>100965</xdr:rowOff>
    </xdr:to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A61195DD-6FED-4D88-99E3-223324BAAA83}"/>
            </a:ext>
          </a:extLst>
        </xdr:cNvPr>
        <xdr:cNvSpPr txBox="1"/>
      </xdr:nvSpPr>
      <xdr:spPr>
        <a:xfrm>
          <a:off x="2301240" y="355429185"/>
          <a:ext cx="158115" cy="316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638175</xdr:colOff>
      <xdr:row>1627</xdr:row>
      <xdr:rowOff>0</xdr:rowOff>
    </xdr:from>
    <xdr:to>
      <xdr:col>5</xdr:col>
      <xdr:colOff>70485</xdr:colOff>
      <xdr:row>1628</xdr:row>
      <xdr:rowOff>22860</xdr:rowOff>
    </xdr:to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24E5DBE0-20D4-4B5F-AA1E-15CADBBC720C}"/>
            </a:ext>
          </a:extLst>
        </xdr:cNvPr>
        <xdr:cNvSpPr txBox="1"/>
      </xdr:nvSpPr>
      <xdr:spPr>
        <a:xfrm>
          <a:off x="3019425" y="355406325"/>
          <a:ext cx="127635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619125</xdr:colOff>
      <xdr:row>1627</xdr:row>
      <xdr:rowOff>219075</xdr:rowOff>
    </xdr:from>
    <xdr:to>
      <xdr:col>4</xdr:col>
      <xdr:colOff>62865</xdr:colOff>
      <xdr:row>1629</xdr:row>
      <xdr:rowOff>60960</xdr:rowOff>
    </xdr:to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142888CA-6286-4A9A-8381-918FE2DF6CE0}"/>
            </a:ext>
          </a:extLst>
        </xdr:cNvPr>
        <xdr:cNvSpPr txBox="1"/>
      </xdr:nvSpPr>
      <xdr:spPr>
        <a:xfrm>
          <a:off x="2305050" y="355625400"/>
          <a:ext cx="13906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638175</xdr:colOff>
      <xdr:row>1627</xdr:row>
      <xdr:rowOff>198120</xdr:rowOff>
    </xdr:from>
    <xdr:to>
      <xdr:col>5</xdr:col>
      <xdr:colOff>55245</xdr:colOff>
      <xdr:row>1629</xdr:row>
      <xdr:rowOff>40005</xdr:rowOff>
    </xdr:to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9C701548-FC36-4C78-BB05-36DF7E6DF36D}"/>
            </a:ext>
          </a:extLst>
        </xdr:cNvPr>
        <xdr:cNvSpPr txBox="1"/>
      </xdr:nvSpPr>
      <xdr:spPr>
        <a:xfrm>
          <a:off x="3019425" y="355604445"/>
          <a:ext cx="11239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7</xdr:col>
      <xdr:colOff>390525</xdr:colOff>
      <xdr:row>1642</xdr:row>
      <xdr:rowOff>0</xdr:rowOff>
    </xdr:from>
    <xdr:to>
      <xdr:col>8</xdr:col>
      <xdr:colOff>95250</xdr:colOff>
      <xdr:row>1642</xdr:row>
      <xdr:rowOff>30481</xdr:rowOff>
    </xdr:to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8C201C80-F9B2-41B3-837D-6923FF78036B}"/>
            </a:ext>
          </a:extLst>
        </xdr:cNvPr>
        <xdr:cNvSpPr txBox="1"/>
      </xdr:nvSpPr>
      <xdr:spPr>
        <a:xfrm>
          <a:off x="6267450" y="66198750"/>
          <a:ext cx="609600" cy="30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(c - d') / c</a:t>
          </a:r>
          <a:endParaRPr lang="id-ID" sz="1100"/>
        </a:p>
      </xdr:txBody>
    </xdr:sp>
    <xdr:clientData/>
  </xdr:twoCellAnchor>
  <xdr:twoCellAnchor>
    <xdr:from>
      <xdr:col>7</xdr:col>
      <xdr:colOff>499110</xdr:colOff>
      <xdr:row>1641</xdr:row>
      <xdr:rowOff>234315</xdr:rowOff>
    </xdr:from>
    <xdr:to>
      <xdr:col>8</xdr:col>
      <xdr:colOff>180975</xdr:colOff>
      <xdr:row>1643</xdr:row>
      <xdr:rowOff>66676</xdr:rowOff>
    </xdr:to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DBC7E461-B60E-4E60-8BC7-1C3C430BBA8C}"/>
            </a:ext>
          </a:extLst>
        </xdr:cNvPr>
        <xdr:cNvSpPr txBox="1"/>
      </xdr:nvSpPr>
      <xdr:spPr>
        <a:xfrm>
          <a:off x="4966335" y="358974390"/>
          <a:ext cx="377190" cy="308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</a:t>
          </a:r>
          <a:endParaRPr lang="id-ID" sz="1100"/>
        </a:p>
      </xdr:txBody>
    </xdr:sp>
    <xdr:clientData/>
  </xdr:twoCellAnchor>
  <xdr:twoCellAnchor>
    <xdr:from>
      <xdr:col>6</xdr:col>
      <xdr:colOff>360045</xdr:colOff>
      <xdr:row>1644</xdr:row>
      <xdr:rowOff>232410</xdr:rowOff>
    </xdr:from>
    <xdr:to>
      <xdr:col>7</xdr:col>
      <xdr:colOff>152400</xdr:colOff>
      <xdr:row>1646</xdr:row>
      <xdr:rowOff>95250</xdr:rowOff>
    </xdr:to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F9C32E43-33DE-4323-91C0-3996F7B359A5}"/>
            </a:ext>
          </a:extLst>
        </xdr:cNvPr>
        <xdr:cNvSpPr txBox="1"/>
      </xdr:nvSpPr>
      <xdr:spPr>
        <a:xfrm>
          <a:off x="4131945" y="359686860"/>
          <a:ext cx="487680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=</a:t>
          </a:r>
          <a:endParaRPr lang="id-ID" sz="1100"/>
        </a:p>
      </xdr:txBody>
    </xdr:sp>
    <xdr:clientData/>
  </xdr:twoCellAnchor>
  <xdr:twoCellAnchor>
    <xdr:from>
      <xdr:col>6</xdr:col>
      <xdr:colOff>0</xdr:colOff>
      <xdr:row>1638</xdr:row>
      <xdr:rowOff>0</xdr:rowOff>
    </xdr:from>
    <xdr:to>
      <xdr:col>6</xdr:col>
      <xdr:colOff>398145</xdr:colOff>
      <xdr:row>1639</xdr:row>
      <xdr:rowOff>30481</xdr:rowOff>
    </xdr:to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CBD3E69-D3E9-44F8-B4CE-48B96B8528D7}"/>
            </a:ext>
          </a:extLst>
        </xdr:cNvPr>
        <xdr:cNvSpPr txBox="1"/>
      </xdr:nvSpPr>
      <xdr:spPr>
        <a:xfrm>
          <a:off x="4972050" y="65246250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1638</xdr:row>
      <xdr:rowOff>0</xdr:rowOff>
    </xdr:from>
    <xdr:to>
      <xdr:col>7</xdr:col>
      <xdr:colOff>398145</xdr:colOff>
      <xdr:row>1639</xdr:row>
      <xdr:rowOff>30481</xdr:rowOff>
    </xdr:to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941B4924-18CC-40D7-BF23-707F06E1E066}"/>
            </a:ext>
          </a:extLst>
        </xdr:cNvPr>
        <xdr:cNvSpPr txBox="1"/>
      </xdr:nvSpPr>
      <xdr:spPr>
        <a:xfrm>
          <a:off x="5876925" y="65246250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4</xdr:col>
      <xdr:colOff>346710</xdr:colOff>
      <xdr:row>1733</xdr:row>
      <xdr:rowOff>0</xdr:rowOff>
    </xdr:from>
    <xdr:to>
      <xdr:col>4</xdr:col>
      <xdr:colOff>744855</xdr:colOff>
      <xdr:row>1734</xdr:row>
      <xdr:rowOff>30481</xdr:rowOff>
    </xdr:to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20356A65-CB23-4152-9400-4D3F49F74FE7}"/>
            </a:ext>
          </a:extLst>
        </xdr:cNvPr>
        <xdr:cNvSpPr txBox="1"/>
      </xdr:nvSpPr>
      <xdr:spPr>
        <a:xfrm>
          <a:off x="3509010" y="87630000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>
    <xdr:from>
      <xdr:col>3</xdr:col>
      <xdr:colOff>720090</xdr:colOff>
      <xdr:row>1706</xdr:row>
      <xdr:rowOff>175260</xdr:rowOff>
    </xdr:from>
    <xdr:to>
      <xdr:col>4</xdr:col>
      <xdr:colOff>154305</xdr:colOff>
      <xdr:row>1708</xdr:row>
      <xdr:rowOff>15240</xdr:rowOff>
    </xdr:to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4272039F-7FA1-42A5-A78E-35DD2458E446}"/>
            </a:ext>
          </a:extLst>
        </xdr:cNvPr>
        <xdr:cNvSpPr txBox="1"/>
      </xdr:nvSpPr>
      <xdr:spPr>
        <a:xfrm>
          <a:off x="2977515" y="81375885"/>
          <a:ext cx="339090" cy="316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1707</xdr:row>
      <xdr:rowOff>0</xdr:rowOff>
    </xdr:from>
    <xdr:to>
      <xdr:col>5</xdr:col>
      <xdr:colOff>127635</xdr:colOff>
      <xdr:row>1708</xdr:row>
      <xdr:rowOff>22860</xdr:rowOff>
    </xdr:to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131ECBCF-9CB4-453E-8F28-7DE26A082027}"/>
            </a:ext>
          </a:extLst>
        </xdr:cNvPr>
        <xdr:cNvSpPr txBox="1"/>
      </xdr:nvSpPr>
      <xdr:spPr>
        <a:xfrm>
          <a:off x="4067175" y="81438750"/>
          <a:ext cx="127635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714375</xdr:colOff>
      <xdr:row>1707</xdr:row>
      <xdr:rowOff>190500</xdr:rowOff>
    </xdr:from>
    <xdr:to>
      <xdr:col>4</xdr:col>
      <xdr:colOff>139065</xdr:colOff>
      <xdr:row>1709</xdr:row>
      <xdr:rowOff>32385</xdr:rowOff>
    </xdr:to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65731F8E-2E4B-4ED1-8EE1-D77F52708357}"/>
            </a:ext>
          </a:extLst>
        </xdr:cNvPr>
        <xdr:cNvSpPr txBox="1"/>
      </xdr:nvSpPr>
      <xdr:spPr>
        <a:xfrm>
          <a:off x="2971800" y="81629250"/>
          <a:ext cx="32956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1707</xdr:row>
      <xdr:rowOff>198120</xdr:rowOff>
    </xdr:from>
    <xdr:to>
      <xdr:col>5</xdr:col>
      <xdr:colOff>112395</xdr:colOff>
      <xdr:row>1709</xdr:row>
      <xdr:rowOff>40005</xdr:rowOff>
    </xdr:to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9B7794B3-69A6-4DEC-AFAE-F1CF61A946E3}"/>
            </a:ext>
          </a:extLst>
        </xdr:cNvPr>
        <xdr:cNvSpPr txBox="1"/>
      </xdr:nvSpPr>
      <xdr:spPr>
        <a:xfrm>
          <a:off x="4067175" y="81636870"/>
          <a:ext cx="11239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7</xdr:col>
      <xdr:colOff>390525</xdr:colOff>
      <xdr:row>1722</xdr:row>
      <xdr:rowOff>0</xdr:rowOff>
    </xdr:from>
    <xdr:to>
      <xdr:col>8</xdr:col>
      <xdr:colOff>95250</xdr:colOff>
      <xdr:row>1722</xdr:row>
      <xdr:rowOff>30481</xdr:rowOff>
    </xdr:to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88E394A6-5786-44B2-87BD-7FD5149B0A39}"/>
            </a:ext>
          </a:extLst>
        </xdr:cNvPr>
        <xdr:cNvSpPr txBox="1"/>
      </xdr:nvSpPr>
      <xdr:spPr>
        <a:xfrm>
          <a:off x="6267450" y="85010625"/>
          <a:ext cx="609600" cy="30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(c - d') / c</a:t>
          </a:r>
          <a:endParaRPr lang="id-ID" sz="1100"/>
        </a:p>
      </xdr:txBody>
    </xdr:sp>
    <xdr:clientData/>
  </xdr:twoCellAnchor>
  <xdr:twoCellAnchor>
    <xdr:from>
      <xdr:col>7</xdr:col>
      <xdr:colOff>461010</xdr:colOff>
      <xdr:row>1721</xdr:row>
      <xdr:rowOff>234315</xdr:rowOff>
    </xdr:from>
    <xdr:to>
      <xdr:col>8</xdr:col>
      <xdr:colOff>228600</xdr:colOff>
      <xdr:row>1723</xdr:row>
      <xdr:rowOff>66676</xdr:rowOff>
    </xdr:to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6D4E6B83-7158-45F4-BA8F-A6160C6209B1}"/>
            </a:ext>
          </a:extLst>
        </xdr:cNvPr>
        <xdr:cNvSpPr txBox="1"/>
      </xdr:nvSpPr>
      <xdr:spPr>
        <a:xfrm>
          <a:off x="4928235" y="378024390"/>
          <a:ext cx="462915" cy="308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</a:t>
          </a:r>
          <a:endParaRPr lang="id-ID" sz="1100"/>
        </a:p>
      </xdr:txBody>
    </xdr:sp>
    <xdr:clientData/>
  </xdr:twoCellAnchor>
  <xdr:twoCellAnchor>
    <xdr:from>
      <xdr:col>6</xdr:col>
      <xdr:colOff>331470</xdr:colOff>
      <xdr:row>1724</xdr:row>
      <xdr:rowOff>232410</xdr:rowOff>
    </xdr:from>
    <xdr:to>
      <xdr:col>7</xdr:col>
      <xdr:colOff>133350</xdr:colOff>
      <xdr:row>1726</xdr:row>
      <xdr:rowOff>95250</xdr:rowOff>
    </xdr:to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16318E17-F5A7-4D4A-A118-123F8A524B5F}"/>
            </a:ext>
          </a:extLst>
        </xdr:cNvPr>
        <xdr:cNvSpPr txBox="1"/>
      </xdr:nvSpPr>
      <xdr:spPr>
        <a:xfrm>
          <a:off x="4103370" y="378736860"/>
          <a:ext cx="497205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=</a:t>
          </a:r>
          <a:endParaRPr lang="id-ID" sz="1100"/>
        </a:p>
      </xdr:txBody>
    </xdr:sp>
    <xdr:clientData/>
  </xdr:twoCellAnchor>
  <xdr:twoCellAnchor>
    <xdr:from>
      <xdr:col>6</xdr:col>
      <xdr:colOff>0</xdr:colOff>
      <xdr:row>1718</xdr:row>
      <xdr:rowOff>0</xdr:rowOff>
    </xdr:from>
    <xdr:to>
      <xdr:col>6</xdr:col>
      <xdr:colOff>398145</xdr:colOff>
      <xdr:row>1719</xdr:row>
      <xdr:rowOff>30481</xdr:rowOff>
    </xdr:to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D0F8C154-182A-489D-B8D2-11C2F9CDB9BE}"/>
            </a:ext>
          </a:extLst>
        </xdr:cNvPr>
        <xdr:cNvSpPr txBox="1"/>
      </xdr:nvSpPr>
      <xdr:spPr>
        <a:xfrm>
          <a:off x="4972050" y="840581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1718</xdr:row>
      <xdr:rowOff>0</xdr:rowOff>
    </xdr:from>
    <xdr:to>
      <xdr:col>7</xdr:col>
      <xdr:colOff>398145</xdr:colOff>
      <xdr:row>1719</xdr:row>
      <xdr:rowOff>30481</xdr:rowOff>
    </xdr:to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3AB941B-CF85-47B4-AD7A-1073823959BA}"/>
            </a:ext>
          </a:extLst>
        </xdr:cNvPr>
        <xdr:cNvSpPr txBox="1"/>
      </xdr:nvSpPr>
      <xdr:spPr>
        <a:xfrm>
          <a:off x="5876925" y="840581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3</xdr:col>
      <xdr:colOff>773430</xdr:colOff>
      <xdr:row>1790</xdr:row>
      <xdr:rowOff>0</xdr:rowOff>
    </xdr:from>
    <xdr:to>
      <xdr:col>4</xdr:col>
      <xdr:colOff>207645</xdr:colOff>
      <xdr:row>1791</xdr:row>
      <xdr:rowOff>22860</xdr:rowOff>
    </xdr:to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22C944F6-724E-4A6E-A0C0-2820D4F84F3B}"/>
            </a:ext>
          </a:extLst>
        </xdr:cNvPr>
        <xdr:cNvSpPr txBox="1"/>
      </xdr:nvSpPr>
      <xdr:spPr>
        <a:xfrm>
          <a:off x="3030855" y="100488750"/>
          <a:ext cx="339090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750570</xdr:colOff>
      <xdr:row>1790</xdr:row>
      <xdr:rowOff>0</xdr:rowOff>
    </xdr:from>
    <xdr:to>
      <xdr:col>5</xdr:col>
      <xdr:colOff>127635</xdr:colOff>
      <xdr:row>1791</xdr:row>
      <xdr:rowOff>22860</xdr:rowOff>
    </xdr:to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45199FC2-2E98-4DB7-9F03-EC36C6CE41A1}"/>
            </a:ext>
          </a:extLst>
        </xdr:cNvPr>
        <xdr:cNvSpPr txBox="1"/>
      </xdr:nvSpPr>
      <xdr:spPr>
        <a:xfrm>
          <a:off x="3912870" y="100488750"/>
          <a:ext cx="281940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767715</xdr:colOff>
      <xdr:row>1790</xdr:row>
      <xdr:rowOff>198120</xdr:rowOff>
    </xdr:from>
    <xdr:to>
      <xdr:col>4</xdr:col>
      <xdr:colOff>192405</xdr:colOff>
      <xdr:row>1791</xdr:row>
      <xdr:rowOff>182880</xdr:rowOff>
    </xdr:to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38E3BD08-700F-43F8-BC58-D51D1F8B7BA9}"/>
            </a:ext>
          </a:extLst>
        </xdr:cNvPr>
        <xdr:cNvSpPr txBox="1"/>
      </xdr:nvSpPr>
      <xdr:spPr>
        <a:xfrm>
          <a:off x="3025140" y="100686870"/>
          <a:ext cx="329565" cy="2228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754380</xdr:colOff>
      <xdr:row>1790</xdr:row>
      <xdr:rowOff>198120</xdr:rowOff>
    </xdr:from>
    <xdr:to>
      <xdr:col>5</xdr:col>
      <xdr:colOff>112395</xdr:colOff>
      <xdr:row>1791</xdr:row>
      <xdr:rowOff>182880</xdr:rowOff>
    </xdr:to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FDAB8D6-CF55-4271-8F78-2E071B85D3CA}"/>
            </a:ext>
          </a:extLst>
        </xdr:cNvPr>
        <xdr:cNvSpPr txBox="1"/>
      </xdr:nvSpPr>
      <xdr:spPr>
        <a:xfrm>
          <a:off x="3916680" y="100686870"/>
          <a:ext cx="262890" cy="2228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6</xdr:col>
      <xdr:colOff>379095</xdr:colOff>
      <xdr:row>1830</xdr:row>
      <xdr:rowOff>209550</xdr:rowOff>
    </xdr:from>
    <xdr:to>
      <xdr:col>6</xdr:col>
      <xdr:colOff>666750</xdr:colOff>
      <xdr:row>1832</xdr:row>
      <xdr:rowOff>19050</xdr:rowOff>
    </xdr:to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A6A4190F-EA93-46C1-A1B4-A550168100B4}"/>
            </a:ext>
          </a:extLst>
        </xdr:cNvPr>
        <xdr:cNvSpPr txBox="1"/>
      </xdr:nvSpPr>
      <xdr:spPr>
        <a:xfrm>
          <a:off x="5351145" y="109747050"/>
          <a:ext cx="28765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x</a:t>
          </a:r>
          <a:endParaRPr lang="id-ID" sz="1100"/>
        </a:p>
      </xdr:txBody>
    </xdr:sp>
    <xdr:clientData/>
  </xdr:twoCellAnchor>
  <xdr:twoCellAnchor>
    <xdr:from>
      <xdr:col>7</xdr:col>
      <xdr:colOff>0</xdr:colOff>
      <xdr:row>1822</xdr:row>
      <xdr:rowOff>0</xdr:rowOff>
    </xdr:from>
    <xdr:to>
      <xdr:col>7</xdr:col>
      <xdr:colOff>449580</xdr:colOff>
      <xdr:row>1823</xdr:row>
      <xdr:rowOff>9525</xdr:rowOff>
    </xdr:to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E21D0D8-C6CC-4204-AED4-0F2509A8DC90}"/>
            </a:ext>
          </a:extLst>
        </xdr:cNvPr>
        <xdr:cNvSpPr txBox="1"/>
      </xdr:nvSpPr>
      <xdr:spPr>
        <a:xfrm>
          <a:off x="5876925" y="107632500"/>
          <a:ext cx="44958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1831</xdr:row>
      <xdr:rowOff>0</xdr:rowOff>
    </xdr:from>
    <xdr:to>
      <xdr:col>7</xdr:col>
      <xdr:colOff>449580</xdr:colOff>
      <xdr:row>1832</xdr:row>
      <xdr:rowOff>9525</xdr:rowOff>
    </xdr:to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1ADC065-9560-488B-8088-E360C10E114B}"/>
            </a:ext>
          </a:extLst>
        </xdr:cNvPr>
        <xdr:cNvSpPr txBox="1"/>
      </xdr:nvSpPr>
      <xdr:spPr>
        <a:xfrm>
          <a:off x="5876925" y="109775625"/>
          <a:ext cx="44958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 editAs="oneCell">
    <xdr:from>
      <xdr:col>1</xdr:col>
      <xdr:colOff>0</xdr:colOff>
      <xdr:row>1843</xdr:row>
      <xdr:rowOff>66675</xdr:rowOff>
    </xdr:from>
    <xdr:to>
      <xdr:col>8</xdr:col>
      <xdr:colOff>532725</xdr:colOff>
      <xdr:row>1854</xdr:row>
      <xdr:rowOff>117278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F5FCDF2-3F7E-44E3-8C92-5851721937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t="6208" b="22393"/>
        <a:stretch/>
      </xdr:blipFill>
      <xdr:spPr>
        <a:xfrm>
          <a:off x="295275" y="404526750"/>
          <a:ext cx="5400000" cy="2669978"/>
        </a:xfrm>
        <a:prstGeom prst="rect">
          <a:avLst/>
        </a:prstGeom>
      </xdr:spPr>
    </xdr:pic>
    <xdr:clientData/>
  </xdr:twoCellAnchor>
  <xdr:twoCellAnchor>
    <xdr:from>
      <xdr:col>4</xdr:col>
      <xdr:colOff>346710</xdr:colOff>
      <xdr:row>1977</xdr:row>
      <xdr:rowOff>0</xdr:rowOff>
    </xdr:from>
    <xdr:to>
      <xdr:col>4</xdr:col>
      <xdr:colOff>744855</xdr:colOff>
      <xdr:row>1978</xdr:row>
      <xdr:rowOff>30481</xdr:rowOff>
    </xdr:to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538A48AE-3F75-461E-A9D6-E1943DF0F81D}"/>
            </a:ext>
          </a:extLst>
        </xdr:cNvPr>
        <xdr:cNvSpPr txBox="1"/>
      </xdr:nvSpPr>
      <xdr:spPr>
        <a:xfrm>
          <a:off x="3509010" y="44767500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>
    <xdr:from>
      <xdr:col>3</xdr:col>
      <xdr:colOff>720090</xdr:colOff>
      <xdr:row>1950</xdr:row>
      <xdr:rowOff>175260</xdr:rowOff>
    </xdr:from>
    <xdr:to>
      <xdr:col>4</xdr:col>
      <xdr:colOff>154305</xdr:colOff>
      <xdr:row>1952</xdr:row>
      <xdr:rowOff>15240</xdr:rowOff>
    </xdr:to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D58A940-6B1E-4BF2-965B-DD9CCD9BB62F}"/>
            </a:ext>
          </a:extLst>
        </xdr:cNvPr>
        <xdr:cNvSpPr txBox="1"/>
      </xdr:nvSpPr>
      <xdr:spPr>
        <a:xfrm>
          <a:off x="2977515" y="38513385"/>
          <a:ext cx="339090" cy="316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1951</xdr:row>
      <xdr:rowOff>0</xdr:rowOff>
    </xdr:from>
    <xdr:to>
      <xdr:col>5</xdr:col>
      <xdr:colOff>127635</xdr:colOff>
      <xdr:row>1952</xdr:row>
      <xdr:rowOff>22860</xdr:rowOff>
    </xdr:to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506E1633-94BF-4794-963B-CD95FE4E82F4}"/>
            </a:ext>
          </a:extLst>
        </xdr:cNvPr>
        <xdr:cNvSpPr txBox="1"/>
      </xdr:nvSpPr>
      <xdr:spPr>
        <a:xfrm>
          <a:off x="4067175" y="38576250"/>
          <a:ext cx="127635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714375</xdr:colOff>
      <xdr:row>1951</xdr:row>
      <xdr:rowOff>190500</xdr:rowOff>
    </xdr:from>
    <xdr:to>
      <xdr:col>4</xdr:col>
      <xdr:colOff>139065</xdr:colOff>
      <xdr:row>1953</xdr:row>
      <xdr:rowOff>32385</xdr:rowOff>
    </xdr:to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930FF78B-F76F-4E21-A201-60331FE30119}"/>
            </a:ext>
          </a:extLst>
        </xdr:cNvPr>
        <xdr:cNvSpPr txBox="1"/>
      </xdr:nvSpPr>
      <xdr:spPr>
        <a:xfrm>
          <a:off x="2971800" y="38766750"/>
          <a:ext cx="32956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1951</xdr:row>
      <xdr:rowOff>198120</xdr:rowOff>
    </xdr:from>
    <xdr:to>
      <xdr:col>5</xdr:col>
      <xdr:colOff>112395</xdr:colOff>
      <xdr:row>1953</xdr:row>
      <xdr:rowOff>40005</xdr:rowOff>
    </xdr:to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AC400672-0F86-4EEA-9CEC-0140F2AF0F65}"/>
            </a:ext>
          </a:extLst>
        </xdr:cNvPr>
        <xdr:cNvSpPr txBox="1"/>
      </xdr:nvSpPr>
      <xdr:spPr>
        <a:xfrm>
          <a:off x="4067175" y="38774370"/>
          <a:ext cx="11239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7</xdr:col>
      <xdr:colOff>390525</xdr:colOff>
      <xdr:row>2065</xdr:row>
      <xdr:rowOff>0</xdr:rowOff>
    </xdr:from>
    <xdr:to>
      <xdr:col>8</xdr:col>
      <xdr:colOff>95250</xdr:colOff>
      <xdr:row>2065</xdr:row>
      <xdr:rowOff>30481</xdr:rowOff>
    </xdr:to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B09861AD-B8C7-454F-B64F-E28D40467623}"/>
            </a:ext>
          </a:extLst>
        </xdr:cNvPr>
        <xdr:cNvSpPr txBox="1"/>
      </xdr:nvSpPr>
      <xdr:spPr>
        <a:xfrm>
          <a:off x="6267450" y="42148125"/>
          <a:ext cx="609600" cy="30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(c - d') / c</a:t>
          </a:r>
          <a:endParaRPr lang="id-ID" sz="1100"/>
        </a:p>
      </xdr:txBody>
    </xdr:sp>
    <xdr:clientData/>
  </xdr:twoCellAnchor>
  <xdr:twoCellAnchor>
    <xdr:from>
      <xdr:col>7</xdr:col>
      <xdr:colOff>499111</xdr:colOff>
      <xdr:row>1965</xdr:row>
      <xdr:rowOff>234315</xdr:rowOff>
    </xdr:from>
    <xdr:to>
      <xdr:col>8</xdr:col>
      <xdr:colOff>161926</xdr:colOff>
      <xdr:row>1967</xdr:row>
      <xdr:rowOff>9525</xdr:rowOff>
    </xdr:to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583E977F-7323-479A-845A-5407799FE661}"/>
            </a:ext>
          </a:extLst>
        </xdr:cNvPr>
        <xdr:cNvSpPr txBox="1"/>
      </xdr:nvSpPr>
      <xdr:spPr>
        <a:xfrm>
          <a:off x="4966336" y="452557515"/>
          <a:ext cx="35814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</a:t>
          </a:r>
          <a:endParaRPr lang="id-ID" sz="1100"/>
        </a:p>
      </xdr:txBody>
    </xdr:sp>
    <xdr:clientData/>
  </xdr:twoCellAnchor>
  <xdr:twoCellAnchor>
    <xdr:from>
      <xdr:col>6</xdr:col>
      <xdr:colOff>340995</xdr:colOff>
      <xdr:row>2067</xdr:row>
      <xdr:rowOff>232410</xdr:rowOff>
    </xdr:from>
    <xdr:to>
      <xdr:col>7</xdr:col>
      <xdr:colOff>123825</xdr:colOff>
      <xdr:row>2069</xdr:row>
      <xdr:rowOff>95250</xdr:rowOff>
    </xdr:to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4782CC57-B3A7-44A3-9E5E-D45B339551A7}"/>
            </a:ext>
          </a:extLst>
        </xdr:cNvPr>
        <xdr:cNvSpPr txBox="1"/>
      </xdr:nvSpPr>
      <xdr:spPr>
        <a:xfrm>
          <a:off x="4112895" y="476844360"/>
          <a:ext cx="478155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=</a:t>
          </a:r>
          <a:endParaRPr lang="id-ID" sz="1100"/>
        </a:p>
      </xdr:txBody>
    </xdr:sp>
    <xdr:clientData/>
  </xdr:twoCellAnchor>
  <xdr:twoCellAnchor>
    <xdr:from>
      <xdr:col>6</xdr:col>
      <xdr:colOff>0</xdr:colOff>
      <xdr:row>2094</xdr:row>
      <xdr:rowOff>0</xdr:rowOff>
    </xdr:from>
    <xdr:to>
      <xdr:col>6</xdr:col>
      <xdr:colOff>398145</xdr:colOff>
      <xdr:row>2095</xdr:row>
      <xdr:rowOff>30481</xdr:rowOff>
    </xdr:to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F62CDAE7-90B2-4031-B145-7B5B10FCD09E}"/>
            </a:ext>
          </a:extLst>
        </xdr:cNvPr>
        <xdr:cNvSpPr txBox="1"/>
      </xdr:nvSpPr>
      <xdr:spPr>
        <a:xfrm>
          <a:off x="4972050" y="49053750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6</xdr:col>
      <xdr:colOff>0</xdr:colOff>
      <xdr:row>2095</xdr:row>
      <xdr:rowOff>0</xdr:rowOff>
    </xdr:from>
    <xdr:to>
      <xdr:col>6</xdr:col>
      <xdr:colOff>398145</xdr:colOff>
      <xdr:row>2096</xdr:row>
      <xdr:rowOff>30481</xdr:rowOff>
    </xdr:to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F1AD9F61-EE03-4BAB-8967-81B70734E837}"/>
            </a:ext>
          </a:extLst>
        </xdr:cNvPr>
        <xdr:cNvSpPr txBox="1"/>
      </xdr:nvSpPr>
      <xdr:spPr>
        <a:xfrm>
          <a:off x="4972050" y="4929187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6</xdr:col>
      <xdr:colOff>0</xdr:colOff>
      <xdr:row>2061</xdr:row>
      <xdr:rowOff>0</xdr:rowOff>
    </xdr:from>
    <xdr:to>
      <xdr:col>6</xdr:col>
      <xdr:colOff>398145</xdr:colOff>
      <xdr:row>2062</xdr:row>
      <xdr:rowOff>30481</xdr:rowOff>
    </xdr:to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41B35D52-1A3A-4640-8CE2-D295FD71F9B7}"/>
            </a:ext>
          </a:extLst>
        </xdr:cNvPr>
        <xdr:cNvSpPr txBox="1"/>
      </xdr:nvSpPr>
      <xdr:spPr>
        <a:xfrm>
          <a:off x="4972050" y="41195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2061</xdr:row>
      <xdr:rowOff>0</xdr:rowOff>
    </xdr:from>
    <xdr:to>
      <xdr:col>7</xdr:col>
      <xdr:colOff>398145</xdr:colOff>
      <xdr:row>2062</xdr:row>
      <xdr:rowOff>30481</xdr:rowOff>
    </xdr:to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77BCD12E-3312-4E41-8FF6-2BB814008D11}"/>
            </a:ext>
          </a:extLst>
        </xdr:cNvPr>
        <xdr:cNvSpPr txBox="1"/>
      </xdr:nvSpPr>
      <xdr:spPr>
        <a:xfrm>
          <a:off x="5876925" y="41195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 editAs="oneCell">
    <xdr:from>
      <xdr:col>1</xdr:col>
      <xdr:colOff>123838</xdr:colOff>
      <xdr:row>1882</xdr:row>
      <xdr:rowOff>104775</xdr:rowOff>
    </xdr:from>
    <xdr:to>
      <xdr:col>7</xdr:col>
      <xdr:colOff>292079</xdr:colOff>
      <xdr:row>1893</xdr:row>
      <xdr:rowOff>185400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20B3E91C-3053-4A38-9615-CD5062A7F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19113" y="410994225"/>
          <a:ext cx="4340191" cy="27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1917</xdr:row>
      <xdr:rowOff>200025</xdr:rowOff>
    </xdr:from>
    <xdr:to>
      <xdr:col>8</xdr:col>
      <xdr:colOff>40053</xdr:colOff>
      <xdr:row>1927</xdr:row>
      <xdr:rowOff>158775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1CA4BA18-C6D5-4484-A98B-0126DA980D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t="7156"/>
        <a:stretch/>
      </xdr:blipFill>
      <xdr:spPr>
        <a:xfrm>
          <a:off x="1876425" y="9010650"/>
          <a:ext cx="3688128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114301</xdr:colOff>
      <xdr:row>1990</xdr:row>
      <xdr:rowOff>46915</xdr:rowOff>
    </xdr:from>
    <xdr:to>
      <xdr:col>8</xdr:col>
      <xdr:colOff>352426</xdr:colOff>
      <xdr:row>2002</xdr:row>
      <xdr:rowOff>170236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F67BFAA6-7FC7-41C7-A843-40D1870D1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09576" y="458323240"/>
          <a:ext cx="5105400" cy="2980821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2140</xdr:row>
      <xdr:rowOff>1</xdr:rowOff>
    </xdr:from>
    <xdr:to>
      <xdr:col>6</xdr:col>
      <xdr:colOff>343050</xdr:colOff>
      <xdr:row>2150</xdr:row>
      <xdr:rowOff>38101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17BF686E-3E0B-4FA2-8F04-DC14DD7506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504950" y="468515701"/>
          <a:ext cx="2610000" cy="241935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2176</xdr:row>
      <xdr:rowOff>123826</xdr:rowOff>
    </xdr:from>
    <xdr:to>
      <xdr:col>8</xdr:col>
      <xdr:colOff>134721</xdr:colOff>
      <xdr:row>2187</xdr:row>
      <xdr:rowOff>190501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676A22D9-417D-4928-A109-B8663E2AD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52451" y="476259526"/>
          <a:ext cx="4744820" cy="2686050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2103</xdr:row>
      <xdr:rowOff>57150</xdr:rowOff>
    </xdr:from>
    <xdr:to>
      <xdr:col>6</xdr:col>
      <xdr:colOff>419250</xdr:colOff>
      <xdr:row>2114</xdr:row>
      <xdr:rowOff>133350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A8E21A33-A148-4E0E-AA0B-C9A9F31252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581150" y="460952850"/>
          <a:ext cx="2610000" cy="2695575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323851</xdr:colOff>
      <xdr:row>2213</xdr:row>
      <xdr:rowOff>123825</xdr:rowOff>
    </xdr:from>
    <xdr:to>
      <xdr:col>7</xdr:col>
      <xdr:colOff>38101</xdr:colOff>
      <xdr:row>2224</xdr:row>
      <xdr:rowOff>146137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759353EC-836B-4D98-BC71-8F034A382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19126" y="483641400"/>
          <a:ext cx="3886200" cy="2641687"/>
        </a:xfrm>
        <a:prstGeom prst="rect">
          <a:avLst/>
        </a:prstGeom>
      </xdr:spPr>
    </xdr:pic>
    <xdr:clientData/>
  </xdr:twoCellAnchor>
  <xdr:twoCellAnchor>
    <xdr:from>
      <xdr:col>7</xdr:col>
      <xdr:colOff>426720</xdr:colOff>
      <xdr:row>2064</xdr:row>
      <xdr:rowOff>222885</xdr:rowOff>
    </xdr:from>
    <xdr:to>
      <xdr:col>8</xdr:col>
      <xdr:colOff>209550</xdr:colOff>
      <xdr:row>2066</xdr:row>
      <xdr:rowOff>85725</xdr:rowOff>
    </xdr:to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562B208D-0880-4BA1-BAB7-B9713ED58622}"/>
            </a:ext>
          </a:extLst>
        </xdr:cNvPr>
        <xdr:cNvSpPr txBox="1"/>
      </xdr:nvSpPr>
      <xdr:spPr>
        <a:xfrm>
          <a:off x="4893945" y="476120460"/>
          <a:ext cx="478155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</a:t>
          </a:r>
          <a:endParaRPr lang="id-ID" sz="1100"/>
        </a:p>
      </xdr:txBody>
    </xdr:sp>
    <xdr:clientData/>
  </xdr:twoCellAnchor>
  <xdr:twoCellAnchor>
    <xdr:from>
      <xdr:col>4</xdr:col>
      <xdr:colOff>226696</xdr:colOff>
      <xdr:row>2076</xdr:row>
      <xdr:rowOff>13335</xdr:rowOff>
    </xdr:from>
    <xdr:to>
      <xdr:col>4</xdr:col>
      <xdr:colOff>466726</xdr:colOff>
      <xdr:row>2077</xdr:row>
      <xdr:rowOff>114300</xdr:rowOff>
    </xdr:to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F6432FF0-D046-4345-A0E5-1111ADB1144D}"/>
            </a:ext>
          </a:extLst>
        </xdr:cNvPr>
        <xdr:cNvSpPr txBox="1"/>
      </xdr:nvSpPr>
      <xdr:spPr>
        <a:xfrm>
          <a:off x="2607946" y="478768410"/>
          <a:ext cx="240030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>
    <xdr:from>
      <xdr:col>5</xdr:col>
      <xdr:colOff>0</xdr:colOff>
      <xdr:row>72</xdr:row>
      <xdr:rowOff>19050</xdr:rowOff>
    </xdr:from>
    <xdr:to>
      <xdr:col>8</xdr:col>
      <xdr:colOff>434025</xdr:colOff>
      <xdr:row>82</xdr:row>
      <xdr:rowOff>157800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299A720-0AF5-49E3-ADE7-F5CCCD0C298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4</xdr:col>
      <xdr:colOff>434025</xdr:colOff>
      <xdr:row>82</xdr:row>
      <xdr:rowOff>157800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556F2FC-2BDC-4A09-84F4-9C8A8D492E1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0</xdr:colOff>
      <xdr:row>130</xdr:row>
      <xdr:rowOff>76200</xdr:rowOff>
    </xdr:from>
    <xdr:to>
      <xdr:col>5</xdr:col>
      <xdr:colOff>56796</xdr:colOff>
      <xdr:row>142</xdr:row>
      <xdr:rowOff>98700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41116F8-22EF-4558-B534-E33D2E33F80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494</xdr:row>
      <xdr:rowOff>0</xdr:rowOff>
    </xdr:from>
    <xdr:to>
      <xdr:col>8</xdr:col>
      <xdr:colOff>159737</xdr:colOff>
      <xdr:row>507</xdr:row>
      <xdr:rowOff>20550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9496A0F-BEF2-403D-9479-987CE7085D9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 editAs="oneCell">
    <xdr:from>
      <xdr:col>0</xdr:col>
      <xdr:colOff>304800</xdr:colOff>
      <xdr:row>0</xdr:row>
      <xdr:rowOff>209550</xdr:rowOff>
    </xdr:from>
    <xdr:to>
      <xdr:col>2</xdr:col>
      <xdr:colOff>687525</xdr:colOff>
      <xdr:row>4</xdr:row>
      <xdr:rowOff>220800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38ED064-D1B8-41BE-0062-E816C5614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209550"/>
          <a:ext cx="1440000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48</xdr:row>
      <xdr:rowOff>1</xdr:rowOff>
    </xdr:from>
    <xdr:to>
      <xdr:col>8</xdr:col>
      <xdr:colOff>95250</xdr:colOff>
      <xdr:row>49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4241156-D10F-441E-AC12-ACC39BE7DEF5}"/>
            </a:ext>
          </a:extLst>
        </xdr:cNvPr>
        <xdr:cNvSpPr txBox="1"/>
      </xdr:nvSpPr>
      <xdr:spPr>
        <a:xfrm>
          <a:off x="3943350" y="12792076"/>
          <a:ext cx="952500" cy="238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100"/>
            <a:t>≥                  m</a:t>
          </a: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12</xdr:col>
      <xdr:colOff>95250</xdr:colOff>
      <xdr:row>57</xdr:row>
      <xdr:rowOff>238124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EF2A2AA-DA0C-4085-8BF9-2E0A4DD82C71}"/>
            </a:ext>
          </a:extLst>
        </xdr:cNvPr>
        <xdr:cNvSpPr txBox="1"/>
      </xdr:nvSpPr>
      <xdr:spPr>
        <a:xfrm>
          <a:off x="6972300" y="12192000"/>
          <a:ext cx="952500" cy="238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100"/>
            <a:t>≥                  m</a:t>
          </a:r>
        </a:p>
      </xdr:txBody>
    </xdr:sp>
    <xdr:clientData/>
  </xdr:twoCellAnchor>
  <xdr:twoCellAnchor>
    <xdr:from>
      <xdr:col>11</xdr:col>
      <xdr:colOff>0</xdr:colOff>
      <xdr:row>57</xdr:row>
      <xdr:rowOff>1</xdr:rowOff>
    </xdr:from>
    <xdr:to>
      <xdr:col>12</xdr:col>
      <xdr:colOff>95250</xdr:colOff>
      <xdr:row>58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FDA7BC9-5420-4ADB-A67A-BB6242958778}"/>
            </a:ext>
          </a:extLst>
        </xdr:cNvPr>
        <xdr:cNvSpPr txBox="1"/>
      </xdr:nvSpPr>
      <xdr:spPr>
        <a:xfrm>
          <a:off x="3943350" y="10048876"/>
          <a:ext cx="952500" cy="238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100"/>
            <a:t>≥                  m</a:t>
          </a:r>
        </a:p>
      </xdr:txBody>
    </xdr:sp>
    <xdr:clientData/>
  </xdr:twoCellAnchor>
  <xdr:twoCellAnchor editAs="oneCell">
    <xdr:from>
      <xdr:col>0</xdr:col>
      <xdr:colOff>180976</xdr:colOff>
      <xdr:row>24</xdr:row>
      <xdr:rowOff>9526</xdr:rowOff>
    </xdr:from>
    <xdr:to>
      <xdr:col>6</xdr:col>
      <xdr:colOff>502448</xdr:colOff>
      <xdr:row>34</xdr:row>
      <xdr:rowOff>180976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C91145-00A4-4428-8544-5BCCF87D9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5753101"/>
          <a:ext cx="3674272" cy="2552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246528</xdr:rowOff>
    </xdr:from>
    <xdr:to>
      <xdr:col>7</xdr:col>
      <xdr:colOff>383835</xdr:colOff>
      <xdr:row>92</xdr:row>
      <xdr:rowOff>194822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BD93A0-E493-4820-9172-6C523AFDF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3412" y="17705293"/>
          <a:ext cx="3947305" cy="3960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23</xdr:row>
      <xdr:rowOff>0</xdr:rowOff>
    </xdr:from>
    <xdr:to>
      <xdr:col>10</xdr:col>
      <xdr:colOff>549600</xdr:colOff>
      <xdr:row>35</xdr:row>
      <xdr:rowOff>130500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8B3CB24-EA73-48B1-9F3C-A713DFB14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304800</xdr:colOff>
      <xdr:row>106</xdr:row>
      <xdr:rowOff>0</xdr:rowOff>
    </xdr:from>
    <xdr:to>
      <xdr:col>8</xdr:col>
      <xdr:colOff>94800</xdr:colOff>
      <xdr:row>121</xdr:row>
      <xdr:rowOff>28125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737C418-A752-4763-9AA2-64DAFACF9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14</xdr:col>
      <xdr:colOff>587700</xdr:colOff>
      <xdr:row>35</xdr:row>
      <xdr:rowOff>130500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2242885-F84F-4502-993A-BA127DED56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537882</xdr:colOff>
      <xdr:row>76</xdr:row>
      <xdr:rowOff>0</xdr:rowOff>
    </xdr:from>
    <xdr:to>
      <xdr:col>12</xdr:col>
      <xdr:colOff>598235</xdr:colOff>
      <xdr:row>92</xdr:row>
      <xdr:rowOff>194823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085583-B06C-454F-AEB9-E5D8147EA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14</xdr:row>
      <xdr:rowOff>47625</xdr:rowOff>
    </xdr:from>
    <xdr:to>
      <xdr:col>19</xdr:col>
      <xdr:colOff>533400</xdr:colOff>
      <xdr:row>30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5D44AF-F18E-4CC1-B554-B42DB9C3C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142875</xdr:rowOff>
    </xdr:from>
    <xdr:to>
      <xdr:col>5</xdr:col>
      <xdr:colOff>371475</xdr:colOff>
      <xdr:row>18</xdr:row>
      <xdr:rowOff>122760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461B01-EA5E-4E45-AB75-708DF51F9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" y="142875"/>
          <a:ext cx="4352925" cy="4437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228600</xdr:rowOff>
    </xdr:from>
    <xdr:to>
      <xdr:col>9</xdr:col>
      <xdr:colOff>552450</xdr:colOff>
      <xdr:row>13</xdr:row>
      <xdr:rowOff>220126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969F20F2-4DD0-4291-9714-A28FC7EA6096}"/>
            </a:ext>
          </a:extLst>
        </xdr:cNvPr>
        <xdr:cNvGrpSpPr/>
      </xdr:nvGrpSpPr>
      <xdr:grpSpPr>
        <a:xfrm>
          <a:off x="561975" y="476250"/>
          <a:ext cx="5743575" cy="2963326"/>
          <a:chOff x="476250" y="247650"/>
          <a:chExt cx="9372600" cy="4875768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CAD9A140-7750-4027-8100-87355EA9B1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76250" y="247650"/>
            <a:ext cx="4898263" cy="4875768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9B3A71DD-4681-434F-908C-C6D695866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457825" y="276225"/>
            <a:ext cx="4391025" cy="4805769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1</xdr:colOff>
      <xdr:row>25</xdr:row>
      <xdr:rowOff>0</xdr:rowOff>
    </xdr:from>
    <xdr:to>
      <xdr:col>9</xdr:col>
      <xdr:colOff>364865</xdr:colOff>
      <xdr:row>38</xdr:row>
      <xdr:rowOff>128550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309778B-8786-46A1-AAE3-F8F8078AB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1" y="13620750"/>
          <a:ext cx="5641714" cy="33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7</xdr:col>
      <xdr:colOff>495934</xdr:colOff>
      <xdr:row>81</xdr:row>
      <xdr:rowOff>128550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C79D14-73B7-4A6B-B62B-DCFCCAA39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24269700"/>
          <a:ext cx="4153534" cy="33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94</xdr:row>
      <xdr:rowOff>247649</xdr:rowOff>
    </xdr:from>
    <xdr:to>
      <xdr:col>8</xdr:col>
      <xdr:colOff>628650</xdr:colOff>
      <xdr:row>113</xdr:row>
      <xdr:rowOff>60102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08CA14-80A2-43EF-A6F3-E62FE5563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0600" y="23526749"/>
          <a:ext cx="4533900" cy="451780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9</xdr:col>
      <xdr:colOff>237923</xdr:colOff>
      <xdr:row>193</xdr:row>
      <xdr:rowOff>209550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33D3CFA5-CC85-4263-8D4D-F0976150C8C0}"/>
            </a:ext>
          </a:extLst>
        </xdr:cNvPr>
        <xdr:cNvGrpSpPr/>
      </xdr:nvGrpSpPr>
      <xdr:grpSpPr>
        <a:xfrm>
          <a:off x="476250" y="45319950"/>
          <a:ext cx="5514773" cy="2686050"/>
          <a:chOff x="476250" y="29718000"/>
          <a:chExt cx="6652097" cy="3240000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FFAC48FD-CFF3-4B57-A402-7957B9B7EE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476250" y="29718000"/>
            <a:ext cx="3006906" cy="3240000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111A0FCC-AD06-4321-A467-BF3564B8FF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3505201" y="29718000"/>
            <a:ext cx="3623146" cy="3240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0</xdr:colOff>
      <xdr:row>162</xdr:row>
      <xdr:rowOff>0</xdr:rowOff>
    </xdr:from>
    <xdr:to>
      <xdr:col>9</xdr:col>
      <xdr:colOff>200025</xdr:colOff>
      <xdr:row>176</xdr:row>
      <xdr:rowOff>228599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85B2086-4B39-4510-966D-1B1E0098E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13</xdr:row>
      <xdr:rowOff>66676</xdr:rowOff>
    </xdr:from>
    <xdr:to>
      <xdr:col>7</xdr:col>
      <xdr:colOff>19051</xdr:colOff>
      <xdr:row>31</xdr:row>
      <xdr:rowOff>49602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4843C6-40D0-4945-84AB-59B482BB7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6" y="3209926"/>
          <a:ext cx="4019550" cy="409772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66675</xdr:rowOff>
    </xdr:from>
    <xdr:to>
      <xdr:col>6</xdr:col>
      <xdr:colOff>266250</xdr:colOff>
      <xdr:row>82</xdr:row>
      <xdr:rowOff>9075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A28000A-A671-4957-85E4-6408CEA99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76198</xdr:colOff>
      <xdr:row>2</xdr:row>
      <xdr:rowOff>38100</xdr:rowOff>
    </xdr:from>
    <xdr:to>
      <xdr:col>4</xdr:col>
      <xdr:colOff>323795</xdr:colOff>
      <xdr:row>13</xdr:row>
      <xdr:rowOff>118725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C55B52-7E9B-46B3-A2CA-331D162B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3" y="514350"/>
          <a:ext cx="2533597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5</xdr:col>
      <xdr:colOff>686579</xdr:colOff>
      <xdr:row>41</xdr:row>
      <xdr:rowOff>80625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AFDDEE-9150-4008-B8C6-B76E42DF5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5" y="7143750"/>
          <a:ext cx="3734579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5</xdr:col>
      <xdr:colOff>611638</xdr:colOff>
      <xdr:row>71</xdr:row>
      <xdr:rowOff>80625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3172CE5-BB08-45C9-921D-DC60DAABB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7675" y="15925800"/>
          <a:ext cx="3659638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4</xdr:col>
      <xdr:colOff>226500</xdr:colOff>
      <xdr:row>95</xdr:row>
      <xdr:rowOff>80625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1927CB6-FB52-44F2-9994-296868414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7675" y="20221575"/>
          <a:ext cx="2512500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4</xdr:col>
      <xdr:colOff>241545</xdr:colOff>
      <xdr:row>127</xdr:row>
      <xdr:rowOff>80625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E6A4A81-ED38-4CFD-920E-83021C03E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7675" y="27127200"/>
          <a:ext cx="2527545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4</xdr:col>
      <xdr:colOff>246934</xdr:colOff>
      <xdr:row>149</xdr:row>
      <xdr:rowOff>80625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B85C45A-0380-4897-B913-094D52F2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7675" y="32604075"/>
          <a:ext cx="2532934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5</xdr:col>
      <xdr:colOff>328271</xdr:colOff>
      <xdr:row>169</xdr:row>
      <xdr:rowOff>80625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09D5051-B3BE-4B51-B2D2-7D185849D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7675" y="38080950"/>
          <a:ext cx="3376271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188</xdr:row>
      <xdr:rowOff>0</xdr:rowOff>
    </xdr:from>
    <xdr:to>
      <xdr:col>5</xdr:col>
      <xdr:colOff>279655</xdr:colOff>
      <xdr:row>199</xdr:row>
      <xdr:rowOff>80625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D7B9614-9665-4C29-B86C-BCD43DE67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7675" y="45367575"/>
          <a:ext cx="3327655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213</xdr:row>
      <xdr:rowOff>0</xdr:rowOff>
    </xdr:from>
    <xdr:to>
      <xdr:col>4</xdr:col>
      <xdr:colOff>273600</xdr:colOff>
      <xdr:row>224</xdr:row>
      <xdr:rowOff>80625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7552719-7854-495B-8446-95CA834E1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47675" y="51387375"/>
          <a:ext cx="2559600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250</xdr:row>
      <xdr:rowOff>0</xdr:rowOff>
    </xdr:from>
    <xdr:to>
      <xdr:col>4</xdr:col>
      <xdr:colOff>241200</xdr:colOff>
      <xdr:row>261</xdr:row>
      <xdr:rowOff>80625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B03A91-D8C8-43B1-8DC2-379E2BDE3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7675" y="59007375"/>
          <a:ext cx="2527200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270</xdr:row>
      <xdr:rowOff>0</xdr:rowOff>
    </xdr:from>
    <xdr:to>
      <xdr:col>5</xdr:col>
      <xdr:colOff>404290</xdr:colOff>
      <xdr:row>281</xdr:row>
      <xdr:rowOff>80625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6AA2949-8B35-45F1-B566-BB78AB1F3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47675" y="63769875"/>
          <a:ext cx="3452290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300</xdr:row>
      <xdr:rowOff>0</xdr:rowOff>
    </xdr:from>
    <xdr:to>
      <xdr:col>5</xdr:col>
      <xdr:colOff>273818</xdr:colOff>
      <xdr:row>311</xdr:row>
      <xdr:rowOff>80625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B2388AE-6418-4744-AF9B-E59B63D6B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7675" y="71056500"/>
          <a:ext cx="3321818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325</xdr:row>
      <xdr:rowOff>0</xdr:rowOff>
    </xdr:from>
    <xdr:to>
      <xdr:col>4</xdr:col>
      <xdr:colOff>245928</xdr:colOff>
      <xdr:row>336</xdr:row>
      <xdr:rowOff>80625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E90FE8E-AE59-4716-A94A-6FE429EE7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7675" y="77076300"/>
          <a:ext cx="2531928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361</xdr:row>
      <xdr:rowOff>0</xdr:rowOff>
    </xdr:from>
    <xdr:to>
      <xdr:col>4</xdr:col>
      <xdr:colOff>461161</xdr:colOff>
      <xdr:row>372</xdr:row>
      <xdr:rowOff>80625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02A1DE9-E687-4EDA-83CF-40FA54FB1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7675" y="85172550"/>
          <a:ext cx="2747161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378</xdr:row>
      <xdr:rowOff>0</xdr:rowOff>
    </xdr:from>
    <xdr:to>
      <xdr:col>6</xdr:col>
      <xdr:colOff>530460</xdr:colOff>
      <xdr:row>393</xdr:row>
      <xdr:rowOff>28125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879D5B0-2BFB-4708-B4D4-8BFBE131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7675" y="89220675"/>
          <a:ext cx="4340460" cy="3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451</xdr:row>
      <xdr:rowOff>0</xdr:rowOff>
    </xdr:from>
    <xdr:to>
      <xdr:col>8</xdr:col>
      <xdr:colOff>657634</xdr:colOff>
      <xdr:row>462</xdr:row>
      <xdr:rowOff>80625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61230E2-584E-4EA7-A11A-DBFC68112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7675" y="102984300"/>
          <a:ext cx="5991634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412</xdr:row>
      <xdr:rowOff>0</xdr:rowOff>
    </xdr:from>
    <xdr:to>
      <xdr:col>8</xdr:col>
      <xdr:colOff>501483</xdr:colOff>
      <xdr:row>423</xdr:row>
      <xdr:rowOff>80625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3AE8DAD-D406-4DC0-AF9B-D5B1ADB08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47675" y="93506925"/>
          <a:ext cx="5835483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487</xdr:row>
      <xdr:rowOff>0</xdr:rowOff>
    </xdr:from>
    <xdr:to>
      <xdr:col>7</xdr:col>
      <xdr:colOff>258724</xdr:colOff>
      <xdr:row>498</xdr:row>
      <xdr:rowOff>80625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17E5F3A-BCFD-40DD-B809-62B4EE02D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47676" y="111671100"/>
          <a:ext cx="4830723" cy="270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346710</xdr:colOff>
      <xdr:row>52</xdr:row>
      <xdr:rowOff>0</xdr:rowOff>
    </xdr:from>
    <xdr:to>
      <xdr:col>4</xdr:col>
      <xdr:colOff>744855</xdr:colOff>
      <xdr:row>53</xdr:row>
      <xdr:rowOff>30481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56AC470-AD73-4B2F-A898-BA81F65B57B8}"/>
            </a:ext>
          </a:extLst>
        </xdr:cNvPr>
        <xdr:cNvSpPr txBox="1"/>
      </xdr:nvSpPr>
      <xdr:spPr>
        <a:xfrm>
          <a:off x="3509010" y="440531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>
    <xdr:from>
      <xdr:col>3</xdr:col>
      <xdr:colOff>720090</xdr:colOff>
      <xdr:row>25</xdr:row>
      <xdr:rowOff>175260</xdr:rowOff>
    </xdr:from>
    <xdr:to>
      <xdr:col>4</xdr:col>
      <xdr:colOff>154305</xdr:colOff>
      <xdr:row>27</xdr:row>
      <xdr:rowOff>15240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91B9BCB-E22A-43CC-A6F0-E15C2EA813E0}"/>
            </a:ext>
          </a:extLst>
        </xdr:cNvPr>
        <xdr:cNvSpPr txBox="1"/>
      </xdr:nvSpPr>
      <xdr:spPr>
        <a:xfrm>
          <a:off x="2977515" y="37799010"/>
          <a:ext cx="339090" cy="316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127635</xdr:colOff>
      <xdr:row>27</xdr:row>
      <xdr:rowOff>22860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86F04DA-EF9D-4B79-B8B0-34CE4F521AC8}"/>
            </a:ext>
          </a:extLst>
        </xdr:cNvPr>
        <xdr:cNvSpPr txBox="1"/>
      </xdr:nvSpPr>
      <xdr:spPr>
        <a:xfrm>
          <a:off x="4067175" y="37861875"/>
          <a:ext cx="127635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714375</xdr:colOff>
      <xdr:row>26</xdr:row>
      <xdr:rowOff>190500</xdr:rowOff>
    </xdr:from>
    <xdr:to>
      <xdr:col>4</xdr:col>
      <xdr:colOff>139065</xdr:colOff>
      <xdr:row>28</xdr:row>
      <xdr:rowOff>32385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0202D9A-831B-449F-A0CE-92E0EF2C4433}"/>
            </a:ext>
          </a:extLst>
        </xdr:cNvPr>
        <xdr:cNvSpPr txBox="1"/>
      </xdr:nvSpPr>
      <xdr:spPr>
        <a:xfrm>
          <a:off x="2971800" y="38052375"/>
          <a:ext cx="32956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26</xdr:row>
      <xdr:rowOff>198120</xdr:rowOff>
    </xdr:from>
    <xdr:to>
      <xdr:col>5</xdr:col>
      <xdr:colOff>112395</xdr:colOff>
      <xdr:row>28</xdr:row>
      <xdr:rowOff>40005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0207C1C-39F0-4E62-9251-B19527669AB4}"/>
            </a:ext>
          </a:extLst>
        </xdr:cNvPr>
        <xdr:cNvSpPr txBox="1"/>
      </xdr:nvSpPr>
      <xdr:spPr>
        <a:xfrm>
          <a:off x="4067175" y="38059995"/>
          <a:ext cx="11239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7</xdr:col>
      <xdr:colOff>390525</xdr:colOff>
      <xdr:row>41</xdr:row>
      <xdr:rowOff>0</xdr:rowOff>
    </xdr:from>
    <xdr:to>
      <xdr:col>8</xdr:col>
      <xdr:colOff>95250</xdr:colOff>
      <xdr:row>41</xdr:row>
      <xdr:rowOff>30481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72B16A9-E5A7-4A3D-B73E-C312DB2DE1F2}"/>
            </a:ext>
          </a:extLst>
        </xdr:cNvPr>
        <xdr:cNvSpPr txBox="1"/>
      </xdr:nvSpPr>
      <xdr:spPr>
        <a:xfrm>
          <a:off x="6267450" y="41433750"/>
          <a:ext cx="609600" cy="30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(c - d') / c</a:t>
          </a:r>
          <a:endParaRPr lang="id-ID" sz="1100"/>
        </a:p>
      </xdr:txBody>
    </xdr:sp>
    <xdr:clientData/>
  </xdr:twoCellAnchor>
  <xdr:twoCellAnchor>
    <xdr:from>
      <xdr:col>7</xdr:col>
      <xdr:colOff>499110</xdr:colOff>
      <xdr:row>40</xdr:row>
      <xdr:rowOff>234315</xdr:rowOff>
    </xdr:from>
    <xdr:to>
      <xdr:col>8</xdr:col>
      <xdr:colOff>0</xdr:colOff>
      <xdr:row>42</xdr:row>
      <xdr:rowOff>66676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EF9847E-34A6-4E3E-8964-A39D442B2D4D}"/>
            </a:ext>
          </a:extLst>
        </xdr:cNvPr>
        <xdr:cNvSpPr txBox="1"/>
      </xdr:nvSpPr>
      <xdr:spPr>
        <a:xfrm>
          <a:off x="6376035" y="41429940"/>
          <a:ext cx="405765" cy="308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</a:t>
          </a:r>
          <a:endParaRPr lang="id-ID" sz="1100"/>
        </a:p>
      </xdr:txBody>
    </xdr:sp>
    <xdr:clientData/>
  </xdr:twoCellAnchor>
  <xdr:twoCellAnchor>
    <xdr:from>
      <xdr:col>6</xdr:col>
      <xdr:colOff>493395</xdr:colOff>
      <xdr:row>43</xdr:row>
      <xdr:rowOff>232410</xdr:rowOff>
    </xdr:from>
    <xdr:to>
      <xdr:col>7</xdr:col>
      <xdr:colOff>135255</xdr:colOff>
      <xdr:row>45</xdr:row>
      <xdr:rowOff>95250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53FADBA7-F9E6-439F-B510-146A0C320AC8}"/>
            </a:ext>
          </a:extLst>
        </xdr:cNvPr>
        <xdr:cNvSpPr txBox="1"/>
      </xdr:nvSpPr>
      <xdr:spPr>
        <a:xfrm>
          <a:off x="5465445" y="42142410"/>
          <a:ext cx="546735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=</a:t>
          </a:r>
          <a:endParaRPr lang="id-ID" sz="1100"/>
        </a:p>
      </xdr:txBody>
    </xdr:sp>
    <xdr:clientData/>
  </xdr:twoCellAnchor>
  <xdr:twoCellAnchor>
    <xdr:from>
      <xdr:col>6</xdr:col>
      <xdr:colOff>0</xdr:colOff>
      <xdr:row>37</xdr:row>
      <xdr:rowOff>0</xdr:rowOff>
    </xdr:from>
    <xdr:to>
      <xdr:col>6</xdr:col>
      <xdr:colOff>398145</xdr:colOff>
      <xdr:row>38</xdr:row>
      <xdr:rowOff>30481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F9FB58-57BE-448C-AE8C-3409F0E30AA8}"/>
            </a:ext>
          </a:extLst>
        </xdr:cNvPr>
        <xdr:cNvSpPr txBox="1"/>
      </xdr:nvSpPr>
      <xdr:spPr>
        <a:xfrm>
          <a:off x="4972050" y="40481250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398145</xdr:colOff>
      <xdr:row>38</xdr:row>
      <xdr:rowOff>30481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5FFFCA9-8363-43B8-928C-77C1B6DC98D4}"/>
            </a:ext>
          </a:extLst>
        </xdr:cNvPr>
        <xdr:cNvSpPr txBox="1"/>
      </xdr:nvSpPr>
      <xdr:spPr>
        <a:xfrm>
          <a:off x="5876925" y="40481250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4</xdr:col>
      <xdr:colOff>346710</xdr:colOff>
      <xdr:row>131</xdr:row>
      <xdr:rowOff>0</xdr:rowOff>
    </xdr:from>
    <xdr:to>
      <xdr:col>4</xdr:col>
      <xdr:colOff>744855</xdr:colOff>
      <xdr:row>132</xdr:row>
      <xdr:rowOff>30481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CAB1578-2DD4-41E8-ADC5-D03A2742BB68}"/>
            </a:ext>
          </a:extLst>
        </xdr:cNvPr>
        <xdr:cNvSpPr txBox="1"/>
      </xdr:nvSpPr>
      <xdr:spPr>
        <a:xfrm>
          <a:off x="3509010" y="12382500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>
    <xdr:from>
      <xdr:col>3</xdr:col>
      <xdr:colOff>720090</xdr:colOff>
      <xdr:row>104</xdr:row>
      <xdr:rowOff>175260</xdr:rowOff>
    </xdr:from>
    <xdr:to>
      <xdr:col>4</xdr:col>
      <xdr:colOff>154305</xdr:colOff>
      <xdr:row>106</xdr:row>
      <xdr:rowOff>15240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EFC9D16-7CD9-4B69-9419-D48B37D250C2}"/>
            </a:ext>
          </a:extLst>
        </xdr:cNvPr>
        <xdr:cNvSpPr txBox="1"/>
      </xdr:nvSpPr>
      <xdr:spPr>
        <a:xfrm>
          <a:off x="2977515" y="6128385"/>
          <a:ext cx="339090" cy="316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105</xdr:row>
      <xdr:rowOff>0</xdr:rowOff>
    </xdr:from>
    <xdr:to>
      <xdr:col>5</xdr:col>
      <xdr:colOff>127635</xdr:colOff>
      <xdr:row>106</xdr:row>
      <xdr:rowOff>22860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FEC18AA-A941-44C7-BAD6-1419658765EC}"/>
            </a:ext>
          </a:extLst>
        </xdr:cNvPr>
        <xdr:cNvSpPr txBox="1"/>
      </xdr:nvSpPr>
      <xdr:spPr>
        <a:xfrm>
          <a:off x="4067175" y="6191250"/>
          <a:ext cx="127635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714375</xdr:colOff>
      <xdr:row>105</xdr:row>
      <xdr:rowOff>190500</xdr:rowOff>
    </xdr:from>
    <xdr:to>
      <xdr:col>4</xdr:col>
      <xdr:colOff>139065</xdr:colOff>
      <xdr:row>107</xdr:row>
      <xdr:rowOff>32385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BFEDEC7-2589-4C00-BB4C-55BD5AF5CDFC}"/>
            </a:ext>
          </a:extLst>
        </xdr:cNvPr>
        <xdr:cNvSpPr txBox="1"/>
      </xdr:nvSpPr>
      <xdr:spPr>
        <a:xfrm>
          <a:off x="2971800" y="6381750"/>
          <a:ext cx="32956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105</xdr:row>
      <xdr:rowOff>198120</xdr:rowOff>
    </xdr:from>
    <xdr:to>
      <xdr:col>5</xdr:col>
      <xdr:colOff>112395</xdr:colOff>
      <xdr:row>107</xdr:row>
      <xdr:rowOff>40005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2C017931-8929-4086-8BD1-0FB2223D5F9B}"/>
            </a:ext>
          </a:extLst>
        </xdr:cNvPr>
        <xdr:cNvSpPr txBox="1"/>
      </xdr:nvSpPr>
      <xdr:spPr>
        <a:xfrm>
          <a:off x="4067175" y="6389370"/>
          <a:ext cx="11239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7</xdr:col>
      <xdr:colOff>390525</xdr:colOff>
      <xdr:row>120</xdr:row>
      <xdr:rowOff>0</xdr:rowOff>
    </xdr:from>
    <xdr:to>
      <xdr:col>8</xdr:col>
      <xdr:colOff>95250</xdr:colOff>
      <xdr:row>120</xdr:row>
      <xdr:rowOff>30481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449BAAEF-8EBC-4CE5-B5CF-EFFC71B2F887}"/>
            </a:ext>
          </a:extLst>
        </xdr:cNvPr>
        <xdr:cNvSpPr txBox="1"/>
      </xdr:nvSpPr>
      <xdr:spPr>
        <a:xfrm>
          <a:off x="6267450" y="9763125"/>
          <a:ext cx="609600" cy="30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(c - d') / c</a:t>
          </a:r>
          <a:endParaRPr lang="id-ID" sz="1100"/>
        </a:p>
      </xdr:txBody>
    </xdr:sp>
    <xdr:clientData/>
  </xdr:twoCellAnchor>
  <xdr:twoCellAnchor>
    <xdr:from>
      <xdr:col>7</xdr:col>
      <xdr:colOff>499110</xdr:colOff>
      <xdr:row>119</xdr:row>
      <xdr:rowOff>234315</xdr:rowOff>
    </xdr:from>
    <xdr:to>
      <xdr:col>8</xdr:col>
      <xdr:colOff>0</xdr:colOff>
      <xdr:row>121</xdr:row>
      <xdr:rowOff>66676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07094CD-DB03-444D-851B-BBE16CEA8708}"/>
            </a:ext>
          </a:extLst>
        </xdr:cNvPr>
        <xdr:cNvSpPr txBox="1"/>
      </xdr:nvSpPr>
      <xdr:spPr>
        <a:xfrm>
          <a:off x="6376035" y="9759315"/>
          <a:ext cx="405765" cy="308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</a:t>
          </a:r>
          <a:endParaRPr lang="id-ID" sz="1100"/>
        </a:p>
      </xdr:txBody>
    </xdr:sp>
    <xdr:clientData/>
  </xdr:twoCellAnchor>
  <xdr:twoCellAnchor>
    <xdr:from>
      <xdr:col>6</xdr:col>
      <xdr:colOff>493395</xdr:colOff>
      <xdr:row>122</xdr:row>
      <xdr:rowOff>232410</xdr:rowOff>
    </xdr:from>
    <xdr:to>
      <xdr:col>7</xdr:col>
      <xdr:colOff>135255</xdr:colOff>
      <xdr:row>124</xdr:row>
      <xdr:rowOff>95250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9325792-E1F0-455D-93A0-E88C083E88EB}"/>
            </a:ext>
          </a:extLst>
        </xdr:cNvPr>
        <xdr:cNvSpPr txBox="1"/>
      </xdr:nvSpPr>
      <xdr:spPr>
        <a:xfrm>
          <a:off x="5465445" y="10471785"/>
          <a:ext cx="546735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=</a:t>
          </a:r>
          <a:endParaRPr lang="id-ID" sz="1100"/>
        </a:p>
      </xdr:txBody>
    </xdr:sp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398145</xdr:colOff>
      <xdr:row>117</xdr:row>
      <xdr:rowOff>30481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F23A3A15-EF66-4FC3-A577-46E5C445855F}"/>
            </a:ext>
          </a:extLst>
        </xdr:cNvPr>
        <xdr:cNvSpPr txBox="1"/>
      </xdr:nvSpPr>
      <xdr:spPr>
        <a:xfrm>
          <a:off x="4972050" y="8810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116</xdr:row>
      <xdr:rowOff>0</xdr:rowOff>
    </xdr:from>
    <xdr:to>
      <xdr:col>7</xdr:col>
      <xdr:colOff>398145</xdr:colOff>
      <xdr:row>117</xdr:row>
      <xdr:rowOff>30481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FF2797F4-BBB7-4094-B3FE-D50EBBE1A3CD}"/>
            </a:ext>
          </a:extLst>
        </xdr:cNvPr>
        <xdr:cNvSpPr txBox="1"/>
      </xdr:nvSpPr>
      <xdr:spPr>
        <a:xfrm>
          <a:off x="5876925" y="8810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4</xdr:col>
      <xdr:colOff>346710</xdr:colOff>
      <xdr:row>210</xdr:row>
      <xdr:rowOff>0</xdr:rowOff>
    </xdr:from>
    <xdr:to>
      <xdr:col>4</xdr:col>
      <xdr:colOff>744855</xdr:colOff>
      <xdr:row>211</xdr:row>
      <xdr:rowOff>30481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57F02119-A8A3-4B29-9735-BDD2D36130C9}"/>
            </a:ext>
          </a:extLst>
        </xdr:cNvPr>
        <xdr:cNvSpPr txBox="1"/>
      </xdr:nvSpPr>
      <xdr:spPr>
        <a:xfrm>
          <a:off x="3509010" y="3119437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>
    <xdr:from>
      <xdr:col>3</xdr:col>
      <xdr:colOff>720090</xdr:colOff>
      <xdr:row>183</xdr:row>
      <xdr:rowOff>175260</xdr:rowOff>
    </xdr:from>
    <xdr:to>
      <xdr:col>4</xdr:col>
      <xdr:colOff>154305</xdr:colOff>
      <xdr:row>185</xdr:row>
      <xdr:rowOff>15240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FA03C882-A3B0-44A0-B26B-D2C38EA01D04}"/>
            </a:ext>
          </a:extLst>
        </xdr:cNvPr>
        <xdr:cNvSpPr txBox="1"/>
      </xdr:nvSpPr>
      <xdr:spPr>
        <a:xfrm>
          <a:off x="2977515" y="24940260"/>
          <a:ext cx="339090" cy="316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184</xdr:row>
      <xdr:rowOff>0</xdr:rowOff>
    </xdr:from>
    <xdr:to>
      <xdr:col>5</xdr:col>
      <xdr:colOff>127635</xdr:colOff>
      <xdr:row>185</xdr:row>
      <xdr:rowOff>22860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31D135E2-893F-4CBE-80DB-276EF1BC1EE1}"/>
            </a:ext>
          </a:extLst>
        </xdr:cNvPr>
        <xdr:cNvSpPr txBox="1"/>
      </xdr:nvSpPr>
      <xdr:spPr>
        <a:xfrm>
          <a:off x="4067175" y="25003125"/>
          <a:ext cx="127635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714375</xdr:colOff>
      <xdr:row>184</xdr:row>
      <xdr:rowOff>190500</xdr:rowOff>
    </xdr:from>
    <xdr:to>
      <xdr:col>4</xdr:col>
      <xdr:colOff>139065</xdr:colOff>
      <xdr:row>186</xdr:row>
      <xdr:rowOff>32385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7416218E-CE21-499D-8934-E8E4B6A58F15}"/>
            </a:ext>
          </a:extLst>
        </xdr:cNvPr>
        <xdr:cNvSpPr txBox="1"/>
      </xdr:nvSpPr>
      <xdr:spPr>
        <a:xfrm>
          <a:off x="2971800" y="25193625"/>
          <a:ext cx="32956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184</xdr:row>
      <xdr:rowOff>198120</xdr:rowOff>
    </xdr:from>
    <xdr:to>
      <xdr:col>5</xdr:col>
      <xdr:colOff>112395</xdr:colOff>
      <xdr:row>186</xdr:row>
      <xdr:rowOff>40005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BBFD9B1-F584-4AD0-9B00-A183D5840A30}"/>
            </a:ext>
          </a:extLst>
        </xdr:cNvPr>
        <xdr:cNvSpPr txBox="1"/>
      </xdr:nvSpPr>
      <xdr:spPr>
        <a:xfrm>
          <a:off x="4067175" y="25201245"/>
          <a:ext cx="11239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7</xdr:col>
      <xdr:colOff>390525</xdr:colOff>
      <xdr:row>199</xdr:row>
      <xdr:rowOff>0</xdr:rowOff>
    </xdr:from>
    <xdr:to>
      <xdr:col>8</xdr:col>
      <xdr:colOff>95250</xdr:colOff>
      <xdr:row>199</xdr:row>
      <xdr:rowOff>30481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E3702CC-C200-420F-82EB-8417C14FE802}"/>
            </a:ext>
          </a:extLst>
        </xdr:cNvPr>
        <xdr:cNvSpPr txBox="1"/>
      </xdr:nvSpPr>
      <xdr:spPr>
        <a:xfrm>
          <a:off x="6267450" y="28575000"/>
          <a:ext cx="609600" cy="30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(c - d') / c</a:t>
          </a:r>
          <a:endParaRPr lang="id-ID" sz="1100"/>
        </a:p>
      </xdr:txBody>
    </xdr:sp>
    <xdr:clientData/>
  </xdr:twoCellAnchor>
  <xdr:twoCellAnchor>
    <xdr:from>
      <xdr:col>7</xdr:col>
      <xdr:colOff>499110</xdr:colOff>
      <xdr:row>198</xdr:row>
      <xdr:rowOff>234315</xdr:rowOff>
    </xdr:from>
    <xdr:to>
      <xdr:col>8</xdr:col>
      <xdr:colOff>0</xdr:colOff>
      <xdr:row>200</xdr:row>
      <xdr:rowOff>66676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86B4E5DE-82AE-4192-90D9-DEAB1D390CF6}"/>
            </a:ext>
          </a:extLst>
        </xdr:cNvPr>
        <xdr:cNvSpPr txBox="1"/>
      </xdr:nvSpPr>
      <xdr:spPr>
        <a:xfrm>
          <a:off x="6376035" y="28571190"/>
          <a:ext cx="405765" cy="308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</a:t>
          </a:r>
          <a:endParaRPr lang="id-ID" sz="1100"/>
        </a:p>
      </xdr:txBody>
    </xdr:sp>
    <xdr:clientData/>
  </xdr:twoCellAnchor>
  <xdr:twoCellAnchor>
    <xdr:from>
      <xdr:col>6</xdr:col>
      <xdr:colOff>493395</xdr:colOff>
      <xdr:row>201</xdr:row>
      <xdr:rowOff>232410</xdr:rowOff>
    </xdr:from>
    <xdr:to>
      <xdr:col>7</xdr:col>
      <xdr:colOff>135255</xdr:colOff>
      <xdr:row>203</xdr:row>
      <xdr:rowOff>95250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A4C3898A-8760-4140-81FB-F7F0176E48D9}"/>
            </a:ext>
          </a:extLst>
        </xdr:cNvPr>
        <xdr:cNvSpPr txBox="1"/>
      </xdr:nvSpPr>
      <xdr:spPr>
        <a:xfrm>
          <a:off x="5465445" y="29283660"/>
          <a:ext cx="546735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=</a:t>
          </a:r>
          <a:endParaRPr lang="id-ID" sz="1100"/>
        </a:p>
      </xdr:txBody>
    </xdr:sp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398145</xdr:colOff>
      <xdr:row>196</xdr:row>
      <xdr:rowOff>30481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B1C855E5-8901-4155-9122-900C17010C71}"/>
            </a:ext>
          </a:extLst>
        </xdr:cNvPr>
        <xdr:cNvSpPr txBox="1"/>
      </xdr:nvSpPr>
      <xdr:spPr>
        <a:xfrm>
          <a:off x="4972050" y="27622500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195</xdr:row>
      <xdr:rowOff>0</xdr:rowOff>
    </xdr:from>
    <xdr:to>
      <xdr:col>7</xdr:col>
      <xdr:colOff>398145</xdr:colOff>
      <xdr:row>196</xdr:row>
      <xdr:rowOff>30481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21E2F1D4-1D31-4052-AD3B-AE0CA587ECA1}"/>
            </a:ext>
          </a:extLst>
        </xdr:cNvPr>
        <xdr:cNvSpPr txBox="1"/>
      </xdr:nvSpPr>
      <xdr:spPr>
        <a:xfrm>
          <a:off x="5876925" y="27622500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4</xdr:col>
      <xdr:colOff>346710</xdr:colOff>
      <xdr:row>289</xdr:row>
      <xdr:rowOff>0</xdr:rowOff>
    </xdr:from>
    <xdr:to>
      <xdr:col>4</xdr:col>
      <xdr:colOff>744855</xdr:colOff>
      <xdr:row>290</xdr:row>
      <xdr:rowOff>30481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FFC86C9C-0B64-460A-AB6B-10CA115A2D40}"/>
            </a:ext>
          </a:extLst>
        </xdr:cNvPr>
        <xdr:cNvSpPr txBox="1"/>
      </xdr:nvSpPr>
      <xdr:spPr>
        <a:xfrm>
          <a:off x="3509010" y="50006250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>
    <xdr:from>
      <xdr:col>3</xdr:col>
      <xdr:colOff>720090</xdr:colOff>
      <xdr:row>262</xdr:row>
      <xdr:rowOff>175260</xdr:rowOff>
    </xdr:from>
    <xdr:to>
      <xdr:col>4</xdr:col>
      <xdr:colOff>154305</xdr:colOff>
      <xdr:row>264</xdr:row>
      <xdr:rowOff>15240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D94CFE83-A9D0-43E6-BA01-A3E409C77490}"/>
            </a:ext>
          </a:extLst>
        </xdr:cNvPr>
        <xdr:cNvSpPr txBox="1"/>
      </xdr:nvSpPr>
      <xdr:spPr>
        <a:xfrm>
          <a:off x="2977515" y="43752135"/>
          <a:ext cx="339090" cy="316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263</xdr:row>
      <xdr:rowOff>0</xdr:rowOff>
    </xdr:from>
    <xdr:to>
      <xdr:col>5</xdr:col>
      <xdr:colOff>127635</xdr:colOff>
      <xdr:row>264</xdr:row>
      <xdr:rowOff>22860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24EB1E64-EE4A-4D6F-8846-D4F9A0448CC1}"/>
            </a:ext>
          </a:extLst>
        </xdr:cNvPr>
        <xdr:cNvSpPr txBox="1"/>
      </xdr:nvSpPr>
      <xdr:spPr>
        <a:xfrm>
          <a:off x="4067175" y="43815000"/>
          <a:ext cx="127635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714375</xdr:colOff>
      <xdr:row>263</xdr:row>
      <xdr:rowOff>190500</xdr:rowOff>
    </xdr:from>
    <xdr:to>
      <xdr:col>4</xdr:col>
      <xdr:colOff>139065</xdr:colOff>
      <xdr:row>265</xdr:row>
      <xdr:rowOff>32385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ED7B9A88-5F0D-48F1-BB56-3E867C0E0FA7}"/>
            </a:ext>
          </a:extLst>
        </xdr:cNvPr>
        <xdr:cNvSpPr txBox="1"/>
      </xdr:nvSpPr>
      <xdr:spPr>
        <a:xfrm>
          <a:off x="2971800" y="44005500"/>
          <a:ext cx="32956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263</xdr:row>
      <xdr:rowOff>198120</xdr:rowOff>
    </xdr:from>
    <xdr:to>
      <xdr:col>5</xdr:col>
      <xdr:colOff>112395</xdr:colOff>
      <xdr:row>265</xdr:row>
      <xdr:rowOff>40005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D3294463-A8D1-4669-897A-660FF57747AC}"/>
            </a:ext>
          </a:extLst>
        </xdr:cNvPr>
        <xdr:cNvSpPr txBox="1"/>
      </xdr:nvSpPr>
      <xdr:spPr>
        <a:xfrm>
          <a:off x="4067175" y="44013120"/>
          <a:ext cx="11239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7</xdr:col>
      <xdr:colOff>390525</xdr:colOff>
      <xdr:row>278</xdr:row>
      <xdr:rowOff>0</xdr:rowOff>
    </xdr:from>
    <xdr:to>
      <xdr:col>8</xdr:col>
      <xdr:colOff>95250</xdr:colOff>
      <xdr:row>278</xdr:row>
      <xdr:rowOff>30481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4F1A8B78-7ACD-411D-A418-2AE0C3AC74BA}"/>
            </a:ext>
          </a:extLst>
        </xdr:cNvPr>
        <xdr:cNvSpPr txBox="1"/>
      </xdr:nvSpPr>
      <xdr:spPr>
        <a:xfrm>
          <a:off x="6267450" y="47386875"/>
          <a:ext cx="609600" cy="30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(c - d') / c</a:t>
          </a:r>
          <a:endParaRPr lang="id-ID" sz="1100"/>
        </a:p>
      </xdr:txBody>
    </xdr:sp>
    <xdr:clientData/>
  </xdr:twoCellAnchor>
  <xdr:twoCellAnchor>
    <xdr:from>
      <xdr:col>7</xdr:col>
      <xdr:colOff>499110</xdr:colOff>
      <xdr:row>277</xdr:row>
      <xdr:rowOff>234315</xdr:rowOff>
    </xdr:from>
    <xdr:to>
      <xdr:col>8</xdr:col>
      <xdr:colOff>0</xdr:colOff>
      <xdr:row>279</xdr:row>
      <xdr:rowOff>66676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B0C91838-F2D6-49C1-88DD-8B7F5DE6CFA4}"/>
            </a:ext>
          </a:extLst>
        </xdr:cNvPr>
        <xdr:cNvSpPr txBox="1"/>
      </xdr:nvSpPr>
      <xdr:spPr>
        <a:xfrm>
          <a:off x="6376035" y="47383065"/>
          <a:ext cx="405765" cy="308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</a:t>
          </a:r>
          <a:endParaRPr lang="id-ID" sz="1100"/>
        </a:p>
      </xdr:txBody>
    </xdr:sp>
    <xdr:clientData/>
  </xdr:twoCellAnchor>
  <xdr:twoCellAnchor>
    <xdr:from>
      <xdr:col>6</xdr:col>
      <xdr:colOff>493395</xdr:colOff>
      <xdr:row>280</xdr:row>
      <xdr:rowOff>232410</xdr:rowOff>
    </xdr:from>
    <xdr:to>
      <xdr:col>7</xdr:col>
      <xdr:colOff>135255</xdr:colOff>
      <xdr:row>282</xdr:row>
      <xdr:rowOff>95250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FF66085B-B57A-4F52-8B0F-E4783A408DA1}"/>
            </a:ext>
          </a:extLst>
        </xdr:cNvPr>
        <xdr:cNvSpPr txBox="1"/>
      </xdr:nvSpPr>
      <xdr:spPr>
        <a:xfrm>
          <a:off x="5465445" y="48095535"/>
          <a:ext cx="546735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=</a:t>
          </a:r>
          <a:endParaRPr lang="id-ID" sz="1100"/>
        </a:p>
      </xdr:txBody>
    </xdr:sp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398145</xdr:colOff>
      <xdr:row>275</xdr:row>
      <xdr:rowOff>30481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4A5F8AA1-B698-4C25-BD63-34133518BD85}"/>
            </a:ext>
          </a:extLst>
        </xdr:cNvPr>
        <xdr:cNvSpPr txBox="1"/>
      </xdr:nvSpPr>
      <xdr:spPr>
        <a:xfrm>
          <a:off x="4972050" y="4643437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274</xdr:row>
      <xdr:rowOff>0</xdr:rowOff>
    </xdr:from>
    <xdr:to>
      <xdr:col>7</xdr:col>
      <xdr:colOff>398145</xdr:colOff>
      <xdr:row>275</xdr:row>
      <xdr:rowOff>30481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9E1C7100-3CBF-429E-B7D4-DC7DE48B324B}"/>
            </a:ext>
          </a:extLst>
        </xdr:cNvPr>
        <xdr:cNvSpPr txBox="1"/>
      </xdr:nvSpPr>
      <xdr:spPr>
        <a:xfrm>
          <a:off x="5876925" y="4643437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4</xdr:col>
      <xdr:colOff>346710</xdr:colOff>
      <xdr:row>368</xdr:row>
      <xdr:rowOff>0</xdr:rowOff>
    </xdr:from>
    <xdr:to>
      <xdr:col>4</xdr:col>
      <xdr:colOff>744855</xdr:colOff>
      <xdr:row>369</xdr:row>
      <xdr:rowOff>30481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1AD3FACB-E2A0-48E6-9F2C-5622B8A32718}"/>
            </a:ext>
          </a:extLst>
        </xdr:cNvPr>
        <xdr:cNvSpPr txBox="1"/>
      </xdr:nvSpPr>
      <xdr:spPr>
        <a:xfrm>
          <a:off x="3509010" y="688181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>
    <xdr:from>
      <xdr:col>3</xdr:col>
      <xdr:colOff>720090</xdr:colOff>
      <xdr:row>341</xdr:row>
      <xdr:rowOff>175260</xdr:rowOff>
    </xdr:from>
    <xdr:to>
      <xdr:col>4</xdr:col>
      <xdr:colOff>154305</xdr:colOff>
      <xdr:row>343</xdr:row>
      <xdr:rowOff>15240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FDD8A26E-C75D-46BE-BA11-F81DBBCC9365}"/>
            </a:ext>
          </a:extLst>
        </xdr:cNvPr>
        <xdr:cNvSpPr txBox="1"/>
      </xdr:nvSpPr>
      <xdr:spPr>
        <a:xfrm>
          <a:off x="2977515" y="62564010"/>
          <a:ext cx="339090" cy="316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342</xdr:row>
      <xdr:rowOff>0</xdr:rowOff>
    </xdr:from>
    <xdr:to>
      <xdr:col>5</xdr:col>
      <xdr:colOff>127635</xdr:colOff>
      <xdr:row>343</xdr:row>
      <xdr:rowOff>22860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245CEE5D-6D9D-42F8-AFFF-5A61DEF27905}"/>
            </a:ext>
          </a:extLst>
        </xdr:cNvPr>
        <xdr:cNvSpPr txBox="1"/>
      </xdr:nvSpPr>
      <xdr:spPr>
        <a:xfrm>
          <a:off x="4067175" y="62626875"/>
          <a:ext cx="127635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714375</xdr:colOff>
      <xdr:row>342</xdr:row>
      <xdr:rowOff>190500</xdr:rowOff>
    </xdr:from>
    <xdr:to>
      <xdr:col>4</xdr:col>
      <xdr:colOff>139065</xdr:colOff>
      <xdr:row>344</xdr:row>
      <xdr:rowOff>32385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A74E20F7-ECE0-4C9C-B998-DC4C38F32E67}"/>
            </a:ext>
          </a:extLst>
        </xdr:cNvPr>
        <xdr:cNvSpPr txBox="1"/>
      </xdr:nvSpPr>
      <xdr:spPr>
        <a:xfrm>
          <a:off x="2971800" y="62817375"/>
          <a:ext cx="32956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342</xdr:row>
      <xdr:rowOff>198120</xdr:rowOff>
    </xdr:from>
    <xdr:to>
      <xdr:col>5</xdr:col>
      <xdr:colOff>112395</xdr:colOff>
      <xdr:row>344</xdr:row>
      <xdr:rowOff>40005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ECDD2666-639F-46AE-9C69-B74A3AEE0FC6}"/>
            </a:ext>
          </a:extLst>
        </xdr:cNvPr>
        <xdr:cNvSpPr txBox="1"/>
      </xdr:nvSpPr>
      <xdr:spPr>
        <a:xfrm>
          <a:off x="4067175" y="62824995"/>
          <a:ext cx="11239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7</xdr:col>
      <xdr:colOff>390525</xdr:colOff>
      <xdr:row>357</xdr:row>
      <xdr:rowOff>0</xdr:rowOff>
    </xdr:from>
    <xdr:to>
      <xdr:col>8</xdr:col>
      <xdr:colOff>95250</xdr:colOff>
      <xdr:row>357</xdr:row>
      <xdr:rowOff>30481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4BBA193C-44AB-4D94-A072-1D56F1FA9B35}"/>
            </a:ext>
          </a:extLst>
        </xdr:cNvPr>
        <xdr:cNvSpPr txBox="1"/>
      </xdr:nvSpPr>
      <xdr:spPr>
        <a:xfrm>
          <a:off x="6267450" y="66198750"/>
          <a:ext cx="609600" cy="30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(c - d') / c</a:t>
          </a:r>
          <a:endParaRPr lang="id-ID" sz="1100"/>
        </a:p>
      </xdr:txBody>
    </xdr:sp>
    <xdr:clientData/>
  </xdr:twoCellAnchor>
  <xdr:twoCellAnchor>
    <xdr:from>
      <xdr:col>7</xdr:col>
      <xdr:colOff>499110</xdr:colOff>
      <xdr:row>356</xdr:row>
      <xdr:rowOff>234315</xdr:rowOff>
    </xdr:from>
    <xdr:to>
      <xdr:col>8</xdr:col>
      <xdr:colOff>0</xdr:colOff>
      <xdr:row>358</xdr:row>
      <xdr:rowOff>66676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15B6F5A1-9B28-49D0-944F-0777A1E6DC07}"/>
            </a:ext>
          </a:extLst>
        </xdr:cNvPr>
        <xdr:cNvSpPr txBox="1"/>
      </xdr:nvSpPr>
      <xdr:spPr>
        <a:xfrm>
          <a:off x="6376035" y="66194940"/>
          <a:ext cx="405765" cy="308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</a:t>
          </a:r>
          <a:endParaRPr lang="id-ID" sz="1100"/>
        </a:p>
      </xdr:txBody>
    </xdr:sp>
    <xdr:clientData/>
  </xdr:twoCellAnchor>
  <xdr:twoCellAnchor>
    <xdr:from>
      <xdr:col>6</xdr:col>
      <xdr:colOff>493395</xdr:colOff>
      <xdr:row>359</xdr:row>
      <xdr:rowOff>232410</xdr:rowOff>
    </xdr:from>
    <xdr:to>
      <xdr:col>7</xdr:col>
      <xdr:colOff>135255</xdr:colOff>
      <xdr:row>361</xdr:row>
      <xdr:rowOff>95250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269C8D1C-BF93-48FE-B0B6-8AEDAD06CB02}"/>
            </a:ext>
          </a:extLst>
        </xdr:cNvPr>
        <xdr:cNvSpPr txBox="1"/>
      </xdr:nvSpPr>
      <xdr:spPr>
        <a:xfrm>
          <a:off x="5465445" y="66907410"/>
          <a:ext cx="546735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=</a:t>
          </a:r>
          <a:endParaRPr lang="id-ID" sz="1100"/>
        </a:p>
      </xdr:txBody>
    </xdr:sp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398145</xdr:colOff>
      <xdr:row>354</xdr:row>
      <xdr:rowOff>30481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DFD57DA5-2F8B-4B18-B412-D3E4D0DAA636}"/>
            </a:ext>
          </a:extLst>
        </xdr:cNvPr>
        <xdr:cNvSpPr txBox="1"/>
      </xdr:nvSpPr>
      <xdr:spPr>
        <a:xfrm>
          <a:off x="4972050" y="65246250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353</xdr:row>
      <xdr:rowOff>0</xdr:rowOff>
    </xdr:from>
    <xdr:to>
      <xdr:col>7</xdr:col>
      <xdr:colOff>398145</xdr:colOff>
      <xdr:row>354</xdr:row>
      <xdr:rowOff>30481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851DE443-D467-4E51-A0AE-41251C85C4E2}"/>
            </a:ext>
          </a:extLst>
        </xdr:cNvPr>
        <xdr:cNvSpPr txBox="1"/>
      </xdr:nvSpPr>
      <xdr:spPr>
        <a:xfrm>
          <a:off x="5876925" y="65246250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3</xdr:col>
      <xdr:colOff>773430</xdr:colOff>
      <xdr:row>422</xdr:row>
      <xdr:rowOff>0</xdr:rowOff>
    </xdr:from>
    <xdr:to>
      <xdr:col>4</xdr:col>
      <xdr:colOff>207645</xdr:colOff>
      <xdr:row>423</xdr:row>
      <xdr:rowOff>22860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CD1647C4-6126-425B-97B2-354BCFA68887}"/>
            </a:ext>
          </a:extLst>
        </xdr:cNvPr>
        <xdr:cNvSpPr txBox="1"/>
      </xdr:nvSpPr>
      <xdr:spPr>
        <a:xfrm>
          <a:off x="3030855" y="7105650"/>
          <a:ext cx="339090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750570</xdr:colOff>
      <xdr:row>422</xdr:row>
      <xdr:rowOff>0</xdr:rowOff>
    </xdr:from>
    <xdr:to>
      <xdr:col>5</xdr:col>
      <xdr:colOff>127635</xdr:colOff>
      <xdr:row>423</xdr:row>
      <xdr:rowOff>22860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A98EB3CC-616C-43CD-AC8B-FFAD0C4F1D81}"/>
            </a:ext>
          </a:extLst>
        </xdr:cNvPr>
        <xdr:cNvSpPr txBox="1"/>
      </xdr:nvSpPr>
      <xdr:spPr>
        <a:xfrm>
          <a:off x="3912870" y="7105650"/>
          <a:ext cx="281940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767715</xdr:colOff>
      <xdr:row>422</xdr:row>
      <xdr:rowOff>198120</xdr:rowOff>
    </xdr:from>
    <xdr:to>
      <xdr:col>4</xdr:col>
      <xdr:colOff>192405</xdr:colOff>
      <xdr:row>423</xdr:row>
      <xdr:rowOff>182880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4E136915-1A24-4B6A-8CBA-6B61002C27F4}"/>
            </a:ext>
          </a:extLst>
        </xdr:cNvPr>
        <xdr:cNvSpPr txBox="1"/>
      </xdr:nvSpPr>
      <xdr:spPr>
        <a:xfrm>
          <a:off x="3025140" y="7303770"/>
          <a:ext cx="329565" cy="2228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754380</xdr:colOff>
      <xdr:row>422</xdr:row>
      <xdr:rowOff>198120</xdr:rowOff>
    </xdr:from>
    <xdr:to>
      <xdr:col>5</xdr:col>
      <xdr:colOff>112395</xdr:colOff>
      <xdr:row>423</xdr:row>
      <xdr:rowOff>182880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FEF3AC72-DC37-47CB-ACAB-A55305D7A8EB}"/>
            </a:ext>
          </a:extLst>
        </xdr:cNvPr>
        <xdr:cNvSpPr txBox="1"/>
      </xdr:nvSpPr>
      <xdr:spPr>
        <a:xfrm>
          <a:off x="3916680" y="7303770"/>
          <a:ext cx="262890" cy="2228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6</xdr:col>
      <xdr:colOff>379095</xdr:colOff>
      <xdr:row>460</xdr:row>
      <xdr:rowOff>209550</xdr:rowOff>
    </xdr:from>
    <xdr:to>
      <xdr:col>6</xdr:col>
      <xdr:colOff>666750</xdr:colOff>
      <xdr:row>462</xdr:row>
      <xdr:rowOff>19050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1A41371B-9806-4B60-B612-3C8BB790A222}"/>
            </a:ext>
          </a:extLst>
        </xdr:cNvPr>
        <xdr:cNvSpPr txBox="1"/>
      </xdr:nvSpPr>
      <xdr:spPr>
        <a:xfrm>
          <a:off x="5351145" y="18507075"/>
          <a:ext cx="28765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x</a:t>
          </a:r>
          <a:endParaRPr lang="id-ID" sz="1100"/>
        </a:p>
      </xdr:txBody>
    </xdr:sp>
    <xdr:clientData/>
  </xdr:twoCellAnchor>
  <xdr:twoCellAnchor editAs="oneCell">
    <xdr:from>
      <xdr:col>1</xdr:col>
      <xdr:colOff>628650</xdr:colOff>
      <xdr:row>466</xdr:row>
      <xdr:rowOff>47625</xdr:rowOff>
    </xdr:from>
    <xdr:to>
      <xdr:col>8</xdr:col>
      <xdr:colOff>54525</xdr:colOff>
      <xdr:row>478</xdr:row>
      <xdr:rowOff>38101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B7D37DFC-DA4D-47A5-9274-FC78A79B99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208" b="22393"/>
        <a:stretch/>
      </xdr:blipFill>
      <xdr:spPr>
        <a:xfrm>
          <a:off x="1076325" y="19773900"/>
          <a:ext cx="5760000" cy="2847976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452</xdr:row>
      <xdr:rowOff>0</xdr:rowOff>
    </xdr:from>
    <xdr:to>
      <xdr:col>7</xdr:col>
      <xdr:colOff>449580</xdr:colOff>
      <xdr:row>453</xdr:row>
      <xdr:rowOff>9525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6FF86AE6-2473-4E71-BFDA-26F8F396F588}"/>
            </a:ext>
          </a:extLst>
        </xdr:cNvPr>
        <xdr:cNvSpPr txBox="1"/>
      </xdr:nvSpPr>
      <xdr:spPr>
        <a:xfrm>
          <a:off x="5876925" y="109537500"/>
          <a:ext cx="44958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461</xdr:row>
      <xdr:rowOff>0</xdr:rowOff>
    </xdr:from>
    <xdr:to>
      <xdr:col>7</xdr:col>
      <xdr:colOff>449580</xdr:colOff>
      <xdr:row>462</xdr:row>
      <xdr:rowOff>9525</xdr:rowOff>
    </xdr:to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2E2A5F10-BA73-43C4-A06D-B52AFCE027FD}"/>
            </a:ext>
          </a:extLst>
        </xdr:cNvPr>
        <xdr:cNvSpPr txBox="1"/>
      </xdr:nvSpPr>
      <xdr:spPr>
        <a:xfrm>
          <a:off x="5876925" y="111918750"/>
          <a:ext cx="44958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346710</xdr:colOff>
      <xdr:row>188</xdr:row>
      <xdr:rowOff>0</xdr:rowOff>
    </xdr:from>
    <xdr:to>
      <xdr:col>4</xdr:col>
      <xdr:colOff>744855</xdr:colOff>
      <xdr:row>189</xdr:row>
      <xdr:rowOff>30481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C96DA667-3E52-4893-ABFB-DD63DED3AA8F}"/>
            </a:ext>
          </a:extLst>
        </xdr:cNvPr>
        <xdr:cNvSpPr txBox="1"/>
      </xdr:nvSpPr>
      <xdr:spPr>
        <a:xfrm>
          <a:off x="3509010" y="70008750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>
    <xdr:from>
      <xdr:col>3</xdr:col>
      <xdr:colOff>720090</xdr:colOff>
      <xdr:row>161</xdr:row>
      <xdr:rowOff>175260</xdr:rowOff>
    </xdr:from>
    <xdr:to>
      <xdr:col>4</xdr:col>
      <xdr:colOff>154305</xdr:colOff>
      <xdr:row>163</xdr:row>
      <xdr:rowOff>15240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2C3BDA7C-A4CA-4715-8B2F-5DA9E6E1CEFF}"/>
            </a:ext>
          </a:extLst>
        </xdr:cNvPr>
        <xdr:cNvSpPr txBox="1"/>
      </xdr:nvSpPr>
      <xdr:spPr>
        <a:xfrm>
          <a:off x="2977515" y="63754635"/>
          <a:ext cx="339090" cy="316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162</xdr:row>
      <xdr:rowOff>0</xdr:rowOff>
    </xdr:from>
    <xdr:to>
      <xdr:col>5</xdr:col>
      <xdr:colOff>127635</xdr:colOff>
      <xdr:row>163</xdr:row>
      <xdr:rowOff>22860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B0E45FD2-0665-4DA2-8661-A01D05965FC3}"/>
            </a:ext>
          </a:extLst>
        </xdr:cNvPr>
        <xdr:cNvSpPr txBox="1"/>
      </xdr:nvSpPr>
      <xdr:spPr>
        <a:xfrm>
          <a:off x="4067175" y="63817500"/>
          <a:ext cx="127635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714375</xdr:colOff>
      <xdr:row>162</xdr:row>
      <xdr:rowOff>190500</xdr:rowOff>
    </xdr:from>
    <xdr:to>
      <xdr:col>4</xdr:col>
      <xdr:colOff>139065</xdr:colOff>
      <xdr:row>164</xdr:row>
      <xdr:rowOff>32385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F2616CC-7A20-4D30-A944-CB9327628C30}"/>
            </a:ext>
          </a:extLst>
        </xdr:cNvPr>
        <xdr:cNvSpPr txBox="1"/>
      </xdr:nvSpPr>
      <xdr:spPr>
        <a:xfrm>
          <a:off x="2971800" y="64008000"/>
          <a:ext cx="32956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162</xdr:row>
      <xdr:rowOff>198120</xdr:rowOff>
    </xdr:from>
    <xdr:to>
      <xdr:col>5</xdr:col>
      <xdr:colOff>112395</xdr:colOff>
      <xdr:row>164</xdr:row>
      <xdr:rowOff>40005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AFDC840-0AEA-443D-AB9F-486235DF0875}"/>
            </a:ext>
          </a:extLst>
        </xdr:cNvPr>
        <xdr:cNvSpPr txBox="1"/>
      </xdr:nvSpPr>
      <xdr:spPr>
        <a:xfrm>
          <a:off x="4067175" y="64015620"/>
          <a:ext cx="11239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7</xdr:col>
      <xdr:colOff>390525</xdr:colOff>
      <xdr:row>177</xdr:row>
      <xdr:rowOff>0</xdr:rowOff>
    </xdr:from>
    <xdr:to>
      <xdr:col>8</xdr:col>
      <xdr:colOff>95250</xdr:colOff>
      <xdr:row>177</xdr:row>
      <xdr:rowOff>30481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3C188776-A599-4174-B450-DB77F954E503}"/>
            </a:ext>
          </a:extLst>
        </xdr:cNvPr>
        <xdr:cNvSpPr txBox="1"/>
      </xdr:nvSpPr>
      <xdr:spPr>
        <a:xfrm>
          <a:off x="6267450" y="67389375"/>
          <a:ext cx="609600" cy="30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(c - d') / c</a:t>
          </a:r>
          <a:endParaRPr lang="id-ID" sz="1100"/>
        </a:p>
      </xdr:txBody>
    </xdr:sp>
    <xdr:clientData/>
  </xdr:twoCellAnchor>
  <xdr:twoCellAnchor>
    <xdr:from>
      <xdr:col>7</xdr:col>
      <xdr:colOff>499110</xdr:colOff>
      <xdr:row>176</xdr:row>
      <xdr:rowOff>234315</xdr:rowOff>
    </xdr:from>
    <xdr:to>
      <xdr:col>8</xdr:col>
      <xdr:colOff>0</xdr:colOff>
      <xdr:row>178</xdr:row>
      <xdr:rowOff>66676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F9AF94F1-2E7E-4EA8-B467-C3D151A0E103}"/>
            </a:ext>
          </a:extLst>
        </xdr:cNvPr>
        <xdr:cNvSpPr txBox="1"/>
      </xdr:nvSpPr>
      <xdr:spPr>
        <a:xfrm>
          <a:off x="6376035" y="67385565"/>
          <a:ext cx="405765" cy="308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</a:t>
          </a:r>
          <a:endParaRPr lang="id-ID" sz="1100"/>
        </a:p>
      </xdr:txBody>
    </xdr:sp>
    <xdr:clientData/>
  </xdr:twoCellAnchor>
  <xdr:twoCellAnchor>
    <xdr:from>
      <xdr:col>6</xdr:col>
      <xdr:colOff>493395</xdr:colOff>
      <xdr:row>179</xdr:row>
      <xdr:rowOff>232410</xdr:rowOff>
    </xdr:from>
    <xdr:to>
      <xdr:col>7</xdr:col>
      <xdr:colOff>135255</xdr:colOff>
      <xdr:row>181</xdr:row>
      <xdr:rowOff>95250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9D21709F-611D-4ECE-9447-E8386F1E20A9}"/>
            </a:ext>
          </a:extLst>
        </xdr:cNvPr>
        <xdr:cNvSpPr txBox="1"/>
      </xdr:nvSpPr>
      <xdr:spPr>
        <a:xfrm>
          <a:off x="5465445" y="68098035"/>
          <a:ext cx="546735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=</a:t>
          </a:r>
          <a:endParaRPr lang="id-ID" sz="1100"/>
        </a:p>
      </xdr:txBody>
    </xdr:sp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398145</xdr:colOff>
      <xdr:row>207</xdr:row>
      <xdr:rowOff>30481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C2FC0978-F24B-49E6-B0FF-0E2D21D870E3}"/>
            </a:ext>
          </a:extLst>
        </xdr:cNvPr>
        <xdr:cNvSpPr txBox="1"/>
      </xdr:nvSpPr>
      <xdr:spPr>
        <a:xfrm>
          <a:off x="4972050" y="9024937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206</xdr:row>
      <xdr:rowOff>0</xdr:rowOff>
    </xdr:from>
    <xdr:to>
      <xdr:col>7</xdr:col>
      <xdr:colOff>409575</xdr:colOff>
      <xdr:row>207</xdr:row>
      <xdr:rowOff>30481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843C9283-2724-4656-8838-FC744183C790}"/>
            </a:ext>
          </a:extLst>
        </xdr:cNvPr>
        <xdr:cNvSpPr txBox="1"/>
      </xdr:nvSpPr>
      <xdr:spPr>
        <a:xfrm>
          <a:off x="5876925" y="90249375"/>
          <a:ext cx="40957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398145</xdr:colOff>
      <xdr:row>208</xdr:row>
      <xdr:rowOff>30481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95F07DDA-416D-430D-9F1A-A203D9A11B8B}"/>
            </a:ext>
          </a:extLst>
        </xdr:cNvPr>
        <xdr:cNvSpPr txBox="1"/>
      </xdr:nvSpPr>
      <xdr:spPr>
        <a:xfrm>
          <a:off x="4972050" y="90487500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207</xdr:row>
      <xdr:rowOff>0</xdr:rowOff>
    </xdr:from>
    <xdr:to>
      <xdr:col>7</xdr:col>
      <xdr:colOff>409575</xdr:colOff>
      <xdr:row>208</xdr:row>
      <xdr:rowOff>30481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C735F26D-884C-47E6-890A-942047550E17}"/>
            </a:ext>
          </a:extLst>
        </xdr:cNvPr>
        <xdr:cNvSpPr txBox="1"/>
      </xdr:nvSpPr>
      <xdr:spPr>
        <a:xfrm>
          <a:off x="5876925" y="90487500"/>
          <a:ext cx="40957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398145</xdr:colOff>
      <xdr:row>174</xdr:row>
      <xdr:rowOff>30481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D3420DF9-244A-4E88-9B2F-E437BD1EA96D}"/>
            </a:ext>
          </a:extLst>
        </xdr:cNvPr>
        <xdr:cNvSpPr txBox="1"/>
      </xdr:nvSpPr>
      <xdr:spPr>
        <a:xfrm>
          <a:off x="4972050" y="6643687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173</xdr:row>
      <xdr:rowOff>0</xdr:rowOff>
    </xdr:from>
    <xdr:to>
      <xdr:col>7</xdr:col>
      <xdr:colOff>398145</xdr:colOff>
      <xdr:row>174</xdr:row>
      <xdr:rowOff>30481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C47A27BB-F793-4647-884F-0B6053C7B4E7}"/>
            </a:ext>
          </a:extLst>
        </xdr:cNvPr>
        <xdr:cNvSpPr txBox="1"/>
      </xdr:nvSpPr>
      <xdr:spPr>
        <a:xfrm>
          <a:off x="5876925" y="6643687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 editAs="oneCell">
    <xdr:from>
      <xdr:col>2</xdr:col>
      <xdr:colOff>66688</xdr:colOff>
      <xdr:row>3</xdr:row>
      <xdr:rowOff>104775</xdr:rowOff>
    </xdr:from>
    <xdr:to>
      <xdr:col>6</xdr:col>
      <xdr:colOff>787379</xdr:colOff>
      <xdr:row>14</xdr:row>
      <xdr:rowOff>185400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FB90E490-045A-4BA4-B6FB-17124D1C6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9238" y="819150"/>
          <a:ext cx="4340191" cy="27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37</xdr:row>
      <xdr:rowOff>200025</xdr:rowOff>
    </xdr:from>
    <xdr:to>
      <xdr:col>6</xdr:col>
      <xdr:colOff>592503</xdr:colOff>
      <xdr:row>47</xdr:row>
      <xdr:rowOff>158775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78F70C15-58C1-4105-9525-F6B5766BAA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156"/>
        <a:stretch/>
      </xdr:blipFill>
      <xdr:spPr>
        <a:xfrm>
          <a:off x="1876425" y="9010650"/>
          <a:ext cx="3688128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103</xdr:row>
      <xdr:rowOff>44490</xdr:rowOff>
    </xdr:from>
    <xdr:to>
      <xdr:col>7</xdr:col>
      <xdr:colOff>371475</xdr:colOff>
      <xdr:row>115</xdr:row>
      <xdr:rowOff>217862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5F9804-7CBF-4186-91D9-EA53B88EF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5" y="24571365"/>
          <a:ext cx="5191125" cy="303087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fo@inpetra.id" TargetMode="External"/><Relationship Id="rId1" Type="http://schemas.openxmlformats.org/officeDocument/2006/relationships/hyperlink" Target="mailto:indrakrajsuwed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EC58A-073E-4D96-820B-9CF15BD1E821}">
  <sheetPr>
    <tabColor rgb="FFFFC000"/>
  </sheetPr>
  <dimension ref="B2:J27"/>
  <sheetViews>
    <sheetView tabSelected="1" workbookViewId="0"/>
  </sheetViews>
  <sheetFormatPr defaultRowHeight="18.75" customHeight="1" x14ac:dyDescent="0.25"/>
  <cols>
    <col min="1" max="1" width="4.28515625" style="490" customWidth="1"/>
    <col min="2" max="2" width="16.7109375" style="490" customWidth="1"/>
    <col min="3" max="3" width="2.85546875" style="489" customWidth="1"/>
    <col min="4" max="16384" width="9.140625" style="490"/>
  </cols>
  <sheetData>
    <row r="2" spans="2:10" ht="15.75" x14ac:dyDescent="0.25">
      <c r="B2" s="488" t="s">
        <v>977</v>
      </c>
      <c r="C2" s="489" t="s">
        <v>889</v>
      </c>
      <c r="D2" s="490" t="s">
        <v>1135</v>
      </c>
    </row>
    <row r="3" spans="2:10" ht="15.75" x14ac:dyDescent="0.25">
      <c r="B3" s="488" t="s">
        <v>978</v>
      </c>
      <c r="C3" s="489" t="s">
        <v>889</v>
      </c>
      <c r="D3" s="490" t="s">
        <v>1133</v>
      </c>
    </row>
    <row r="4" spans="2:10" ht="15.75" x14ac:dyDescent="0.25">
      <c r="B4" s="488" t="s">
        <v>979</v>
      </c>
      <c r="C4" s="489" t="s">
        <v>889</v>
      </c>
      <c r="D4" s="491" t="s">
        <v>1134</v>
      </c>
    </row>
    <row r="5" spans="2:10" ht="15.75" x14ac:dyDescent="0.25">
      <c r="B5" s="488"/>
    </row>
    <row r="6" spans="2:10" ht="15.75" x14ac:dyDescent="0.25">
      <c r="B6" s="488" t="s">
        <v>980</v>
      </c>
      <c r="C6" s="489" t="s">
        <v>889</v>
      </c>
      <c r="D6" s="490" t="s">
        <v>981</v>
      </c>
    </row>
    <row r="7" spans="2:10" ht="15.75" x14ac:dyDescent="0.25">
      <c r="B7" s="488" t="s">
        <v>982</v>
      </c>
      <c r="C7" s="489" t="s">
        <v>889</v>
      </c>
      <c r="D7" s="492" t="s">
        <v>916</v>
      </c>
    </row>
    <row r="8" spans="2:10" ht="15.75" x14ac:dyDescent="0.25">
      <c r="C8" s="490"/>
      <c r="J8" s="493"/>
    </row>
    <row r="10" spans="2:10" ht="15.75" x14ac:dyDescent="0.25">
      <c r="B10" s="494" t="s">
        <v>983</v>
      </c>
      <c r="C10" s="495"/>
      <c r="D10" s="495"/>
      <c r="E10" s="495"/>
      <c r="F10" s="495"/>
      <c r="G10" s="495"/>
      <c r="H10" s="495"/>
      <c r="I10" s="495"/>
    </row>
    <row r="12" spans="2:10" ht="15.75" x14ac:dyDescent="0.25"/>
    <row r="23" spans="2:10" ht="15.75" x14ac:dyDescent="0.25">
      <c r="B23" s="490" t="s">
        <v>984</v>
      </c>
    </row>
    <row r="24" spans="2:10" ht="15.75" x14ac:dyDescent="0.25">
      <c r="B24" s="490" t="s">
        <v>985</v>
      </c>
    </row>
    <row r="26" spans="2:10" ht="15.75" x14ac:dyDescent="0.25">
      <c r="B26" s="490" t="s">
        <v>986</v>
      </c>
      <c r="C26" s="490"/>
    </row>
    <row r="27" spans="2:10" ht="15.75" x14ac:dyDescent="0.25">
      <c r="B27" s="496" t="s">
        <v>987</v>
      </c>
      <c r="C27" s="497"/>
      <c r="D27" s="497"/>
      <c r="E27" s="497"/>
      <c r="F27" s="497"/>
      <c r="G27" s="497"/>
      <c r="H27" s="497"/>
      <c r="I27" s="497"/>
      <c r="J27" s="497"/>
    </row>
  </sheetData>
  <hyperlinks>
    <hyperlink ref="D7" r:id="rId1" xr:uid="{07646B75-0855-4FE4-9E93-C403F6074E52}"/>
    <hyperlink ref="B27" r:id="rId2" xr:uid="{384957FA-0703-4BD9-A387-782F0610FE9E}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2F5E9-7E6E-456C-A858-28C854FEFECC}">
  <sheetPr>
    <tabColor theme="7" tint="0.79998168889431442"/>
  </sheetPr>
  <dimension ref="A1:T210"/>
  <sheetViews>
    <sheetView showGridLines="0" workbookViewId="0"/>
  </sheetViews>
  <sheetFormatPr defaultRowHeight="18.75" customHeight="1" x14ac:dyDescent="0.25"/>
  <cols>
    <col min="1" max="1" width="6.7109375" style="254" customWidth="1"/>
    <col min="2" max="9" width="13.5703125" customWidth="1"/>
  </cols>
  <sheetData>
    <row r="1" spans="1:18" ht="18.75" customHeight="1" x14ac:dyDescent="0.25">
      <c r="A1" s="159" t="s">
        <v>474</v>
      </c>
      <c r="B1" s="619" t="s">
        <v>475</v>
      </c>
      <c r="C1" s="619"/>
      <c r="D1" s="619"/>
      <c r="E1" s="619"/>
      <c r="F1" s="619"/>
      <c r="G1" s="160" t="s">
        <v>476</v>
      </c>
      <c r="H1" s="160" t="s">
        <v>477</v>
      </c>
      <c r="I1" s="160" t="s">
        <v>478</v>
      </c>
    </row>
    <row r="2" spans="1:18" ht="18.75" customHeight="1" x14ac:dyDescent="0.25">
      <c r="A2" s="161" t="s">
        <v>854</v>
      </c>
      <c r="B2" s="162" t="s">
        <v>479</v>
      </c>
      <c r="C2" s="163"/>
      <c r="D2" s="163"/>
      <c r="E2" s="163"/>
      <c r="F2" s="163"/>
      <c r="G2" s="163"/>
      <c r="H2" s="163"/>
      <c r="I2" s="164"/>
    </row>
    <row r="3" spans="1:18" s="26" customFormat="1" ht="19.149999999999999" customHeight="1" x14ac:dyDescent="0.25">
      <c r="A3" s="165"/>
      <c r="B3" s="130" t="s">
        <v>480</v>
      </c>
      <c r="C3" s="166"/>
      <c r="D3" s="166"/>
      <c r="E3" s="166"/>
      <c r="F3" s="166"/>
      <c r="G3" s="166"/>
      <c r="H3" s="166"/>
      <c r="I3" s="167"/>
      <c r="N3" s="142"/>
      <c r="O3" s="142"/>
      <c r="P3" s="142"/>
      <c r="Q3" s="142"/>
      <c r="R3" s="142"/>
    </row>
    <row r="4" spans="1:18" s="26" customFormat="1" ht="19.149999999999999" customHeight="1" x14ac:dyDescent="0.25">
      <c r="A4" s="168"/>
      <c r="B4" s="9"/>
      <c r="I4" s="169"/>
      <c r="N4" s="142"/>
      <c r="O4" s="142"/>
      <c r="P4" s="142"/>
      <c r="Q4" s="142"/>
      <c r="R4" s="142"/>
    </row>
    <row r="5" spans="1:18" s="26" customFormat="1" ht="19.149999999999999" customHeight="1" x14ac:dyDescent="0.25">
      <c r="A5" s="168"/>
      <c r="B5" s="9"/>
      <c r="I5" s="169"/>
      <c r="N5" s="142"/>
      <c r="O5" s="142"/>
      <c r="P5" s="142"/>
      <c r="Q5" s="142"/>
      <c r="R5" s="142"/>
    </row>
    <row r="6" spans="1:18" s="26" customFormat="1" ht="19.149999999999999" customHeight="1" x14ac:dyDescent="0.25">
      <c r="A6" s="168"/>
      <c r="B6" s="9"/>
      <c r="I6" s="169"/>
      <c r="N6" s="142"/>
      <c r="O6" s="142"/>
      <c r="P6" s="142"/>
      <c r="Q6" s="142"/>
      <c r="R6" s="142"/>
    </row>
    <row r="7" spans="1:18" s="26" customFormat="1" ht="19.149999999999999" customHeight="1" x14ac:dyDescent="0.25">
      <c r="A7" s="168"/>
      <c r="B7" s="9"/>
      <c r="I7" s="169"/>
      <c r="N7" s="142"/>
      <c r="O7" s="142"/>
      <c r="P7" s="142"/>
      <c r="Q7" s="142"/>
      <c r="R7" s="142"/>
    </row>
    <row r="8" spans="1:18" s="26" customFormat="1" ht="19.149999999999999" customHeight="1" x14ac:dyDescent="0.25">
      <c r="A8" s="168"/>
      <c r="B8" s="9"/>
      <c r="I8" s="169"/>
      <c r="N8" s="142"/>
      <c r="O8" s="142"/>
      <c r="P8" s="142"/>
      <c r="Q8" s="142"/>
      <c r="R8" s="142"/>
    </row>
    <row r="9" spans="1:18" s="26" customFormat="1" ht="19.149999999999999" customHeight="1" x14ac:dyDescent="0.25">
      <c r="A9" s="168"/>
      <c r="B9" s="9"/>
      <c r="I9" s="169"/>
      <c r="N9" s="142"/>
      <c r="O9" s="142"/>
      <c r="P9" s="142"/>
      <c r="Q9" s="142"/>
      <c r="R9" s="142"/>
    </row>
    <row r="10" spans="1:18" s="26" customFormat="1" ht="19.149999999999999" customHeight="1" x14ac:dyDescent="0.25">
      <c r="A10" s="168"/>
      <c r="B10" s="9"/>
      <c r="I10" s="169"/>
      <c r="N10" s="142"/>
      <c r="O10" s="142"/>
      <c r="P10" s="142"/>
      <c r="Q10" s="142"/>
      <c r="R10" s="142"/>
    </row>
    <row r="11" spans="1:18" s="26" customFormat="1" ht="19.149999999999999" customHeight="1" x14ac:dyDescent="0.25">
      <c r="A11" s="168"/>
      <c r="B11" s="9"/>
      <c r="I11" s="169"/>
      <c r="N11" s="142"/>
      <c r="O11" s="142"/>
      <c r="P11" s="142"/>
      <c r="Q11" s="142"/>
      <c r="R11" s="142"/>
    </row>
    <row r="12" spans="1:18" s="26" customFormat="1" ht="19.149999999999999" customHeight="1" x14ac:dyDescent="0.25">
      <c r="A12" s="168"/>
      <c r="B12" s="9"/>
      <c r="I12" s="169"/>
      <c r="N12" s="142"/>
      <c r="O12" s="142"/>
      <c r="P12" s="142"/>
      <c r="Q12" s="142"/>
      <c r="R12" s="142"/>
    </row>
    <row r="13" spans="1:18" s="26" customFormat="1" ht="19.149999999999999" customHeight="1" x14ac:dyDescent="0.25">
      <c r="A13" s="168"/>
      <c r="B13" s="9"/>
      <c r="I13" s="169"/>
      <c r="N13" s="142"/>
      <c r="O13" s="142"/>
      <c r="P13" s="142"/>
      <c r="Q13" s="142"/>
      <c r="R13" s="142"/>
    </row>
    <row r="14" spans="1:18" s="26" customFormat="1" ht="19.149999999999999" customHeight="1" x14ac:dyDescent="0.25">
      <c r="A14" s="168"/>
      <c r="B14" s="9"/>
      <c r="I14" s="169"/>
      <c r="N14" s="142"/>
      <c r="O14" s="142"/>
      <c r="P14" s="142"/>
      <c r="Q14" s="142"/>
      <c r="R14" s="142"/>
    </row>
    <row r="15" spans="1:18" s="26" customFormat="1" ht="19.149999999999999" customHeight="1" x14ac:dyDescent="0.25">
      <c r="A15" s="168"/>
      <c r="B15" s="9"/>
      <c r="I15" s="169"/>
      <c r="N15" s="142"/>
      <c r="O15" s="142"/>
      <c r="P15" s="142"/>
      <c r="Q15" s="142"/>
      <c r="R15" s="142"/>
    </row>
    <row r="16" spans="1:18" s="1" customFormat="1" ht="18.75" customHeight="1" x14ac:dyDescent="0.25">
      <c r="A16" s="168"/>
      <c r="B16" s="2" t="s">
        <v>481</v>
      </c>
      <c r="C16" s="2"/>
      <c r="D16" s="2"/>
      <c r="E16" s="2"/>
      <c r="G16" s="3" t="s">
        <v>482</v>
      </c>
      <c r="H16" s="170">
        <f>('Input (1)'!I74+'Input (1)'!I21+0.5*'Input (1)'!I20)/1000</f>
        <v>0.1285</v>
      </c>
      <c r="I16" s="171" t="s">
        <v>0</v>
      </c>
    </row>
    <row r="17" spans="1:18" s="1" customFormat="1" ht="18.75" customHeight="1" x14ac:dyDescent="0.25">
      <c r="A17" s="168"/>
      <c r="B17" s="2" t="s">
        <v>598</v>
      </c>
      <c r="C17" s="2"/>
      <c r="D17" s="2"/>
      <c r="E17" s="2"/>
      <c r="G17" s="3" t="s">
        <v>599</v>
      </c>
      <c r="H17" s="170">
        <f>'Input (1)'!C42+'Input (1)'!C43</f>
        <v>1.25</v>
      </c>
      <c r="I17" s="171"/>
    </row>
    <row r="18" spans="1:18" s="1" customFormat="1" ht="18.75" customHeight="1" x14ac:dyDescent="0.25">
      <c r="A18" s="168"/>
      <c r="B18" s="2" t="s">
        <v>483</v>
      </c>
      <c r="C18" s="2"/>
      <c r="D18" s="2"/>
      <c r="E18" s="2"/>
      <c r="G18" s="3" t="s">
        <v>484</v>
      </c>
      <c r="H18" s="170">
        <f>H17-H16</f>
        <v>1.1214999999999999</v>
      </c>
      <c r="I18" s="171" t="s">
        <v>0</v>
      </c>
    </row>
    <row r="19" spans="1:18" s="1" customFormat="1" ht="18.75" customHeight="1" x14ac:dyDescent="0.25">
      <c r="A19" s="168"/>
      <c r="B19" s="2" t="s">
        <v>485</v>
      </c>
      <c r="C19" s="2"/>
      <c r="D19" s="2"/>
      <c r="E19" s="2"/>
      <c r="G19" s="3" t="s">
        <v>600</v>
      </c>
      <c r="H19" s="170">
        <f>('Process (2)'!I65-'Input (1)'!F42-'Process (5)'!H18)/2</f>
        <v>2.03925</v>
      </c>
      <c r="I19" s="171" t="s">
        <v>0</v>
      </c>
    </row>
    <row r="20" spans="1:18" s="1" customFormat="1" ht="18.75" customHeight="1" x14ac:dyDescent="0.25">
      <c r="A20" s="168"/>
      <c r="B20" s="2" t="s">
        <v>486</v>
      </c>
      <c r="C20" s="2"/>
      <c r="D20" s="2"/>
      <c r="E20" s="2"/>
      <c r="G20" s="90" t="s">
        <v>601</v>
      </c>
      <c r="H20" s="170">
        <f>H19*'Input (1)'!I58*'Input (1)'!C43*'Input (1)'!I63</f>
        <v>661.48171875000003</v>
      </c>
      <c r="I20" s="171" t="s">
        <v>487</v>
      </c>
    </row>
    <row r="21" spans="1:18" s="1" customFormat="1" ht="18.75" customHeight="1" x14ac:dyDescent="0.25">
      <c r="A21" s="168"/>
      <c r="B21" s="2"/>
      <c r="C21" s="2"/>
      <c r="D21" s="2"/>
      <c r="E21" s="2"/>
      <c r="G21" s="90" t="s">
        <v>602</v>
      </c>
      <c r="H21" s="170">
        <f>0.5*H19*'Input (1)'!I58*'Input (1)'!C42*'Input (1)'!I63</f>
        <v>220.49390625000004</v>
      </c>
      <c r="I21" s="171" t="s">
        <v>487</v>
      </c>
    </row>
    <row r="22" spans="1:18" s="1" customFormat="1" ht="18.75" customHeight="1" x14ac:dyDescent="0.25">
      <c r="A22" s="168"/>
      <c r="B22" s="1" t="s">
        <v>488</v>
      </c>
    </row>
    <row r="23" spans="1:18" s="26" customFormat="1" ht="18.75" customHeight="1" x14ac:dyDescent="0.25">
      <c r="A23" s="172"/>
      <c r="C23" s="620" t="s">
        <v>418</v>
      </c>
      <c r="D23" s="621"/>
      <c r="E23" s="622" t="s">
        <v>489</v>
      </c>
      <c r="F23" s="173" t="s">
        <v>490</v>
      </c>
      <c r="G23" s="173" t="s">
        <v>491</v>
      </c>
      <c r="H23" s="158"/>
      <c r="I23" s="169"/>
      <c r="Q23" s="142"/>
      <c r="R23" s="142"/>
    </row>
    <row r="24" spans="1:18" s="26" customFormat="1" ht="19.149999999999999" customHeight="1" x14ac:dyDescent="0.25">
      <c r="A24" s="172"/>
      <c r="C24" s="620" t="s">
        <v>492</v>
      </c>
      <c r="D24" s="621"/>
      <c r="E24" s="623"/>
      <c r="F24" s="174" t="s">
        <v>66</v>
      </c>
      <c r="G24" s="174" t="s">
        <v>66</v>
      </c>
      <c r="H24" s="158"/>
      <c r="I24" s="169"/>
      <c r="Q24" s="142"/>
      <c r="R24" s="142"/>
    </row>
    <row r="25" spans="1:18" s="26" customFormat="1" ht="19.149999999999999" customHeight="1" x14ac:dyDescent="0.25">
      <c r="A25" s="172"/>
      <c r="C25" s="175">
        <v>1</v>
      </c>
      <c r="D25" s="67" t="str">
        <f>IF('Process (2)'!H56&lt;=0,"",'Process (2)'!H56)</f>
        <v/>
      </c>
      <c r="E25" s="175" t="str">
        <f>IF(D25="","",IF(D25-0.5*$C$53+$H$19&gt;0,"YA","TIDAK"))</f>
        <v/>
      </c>
      <c r="F25" s="170" t="str">
        <f>IF(D25="","",MAX('Process (2)'!L56:Q56))</f>
        <v/>
      </c>
      <c r="G25" s="67" t="str">
        <f>IF(D25="","",'Input (1)'!$I$102*F25)</f>
        <v/>
      </c>
      <c r="H25" s="60"/>
      <c r="I25" s="169"/>
      <c r="Q25" s="142"/>
      <c r="R25" s="142"/>
    </row>
    <row r="26" spans="1:18" s="26" customFormat="1" ht="19.149999999999999" customHeight="1" x14ac:dyDescent="0.25">
      <c r="A26" s="172"/>
      <c r="C26" s="175">
        <v>2</v>
      </c>
      <c r="D26" s="67">
        <f>IF('Process (2)'!H57&lt;=0,"",'Process (2)'!H57)</f>
        <v>1.5</v>
      </c>
      <c r="E26" s="175" t="str">
        <f t="shared" ref="E26:E32" si="0">IF(D26="","",IF(D26-0.5*$C$53+$H$19&gt;0,"YA","TIDAK"))</f>
        <v>YA</v>
      </c>
      <c r="F26" s="170">
        <f>IF(D26="","",MAX('Process (2)'!L57:Q57))</f>
        <v>1791.318216559969</v>
      </c>
      <c r="G26" s="67">
        <f>IF(D26="","",'Input (1)'!$I$102*F26)</f>
        <v>10747.909299359813</v>
      </c>
      <c r="H26" s="60"/>
      <c r="I26" s="169"/>
      <c r="Q26" s="142"/>
      <c r="R26" s="142"/>
    </row>
    <row r="27" spans="1:18" s="26" customFormat="1" ht="19.149999999999999" customHeight="1" x14ac:dyDescent="0.25">
      <c r="A27" s="172"/>
      <c r="C27" s="175">
        <v>3</v>
      </c>
      <c r="D27" s="67" t="str">
        <f>IF('Process (2)'!H58&lt;=0,"",'Process (2)'!H58)</f>
        <v/>
      </c>
      <c r="E27" s="175" t="str">
        <f t="shared" si="0"/>
        <v/>
      </c>
      <c r="F27" s="170" t="str">
        <f>IF(D27="","",MAX('Process (2)'!L58:Q58))</f>
        <v/>
      </c>
      <c r="G27" s="67" t="str">
        <f>IF(D27="","",'Input (1)'!$I$102*F27)</f>
        <v/>
      </c>
      <c r="H27" s="60"/>
      <c r="I27" s="169"/>
      <c r="Q27" s="142"/>
      <c r="R27" s="142"/>
    </row>
    <row r="28" spans="1:18" s="26" customFormat="1" ht="19.149999999999999" customHeight="1" x14ac:dyDescent="0.25">
      <c r="A28" s="172"/>
      <c r="C28" s="175">
        <v>4</v>
      </c>
      <c r="D28" s="67" t="str">
        <f>IF('Process (2)'!H59&lt;=0,"",'Process (2)'!H59)</f>
        <v/>
      </c>
      <c r="E28" s="175" t="str">
        <f t="shared" si="0"/>
        <v/>
      </c>
      <c r="F28" s="170" t="str">
        <f>IF(D28="","",MAX('Process (2)'!L59:Q59))</f>
        <v/>
      </c>
      <c r="G28" s="67" t="str">
        <f>IF(D28="","",'Input (1)'!$I$102*F28)</f>
        <v/>
      </c>
      <c r="H28" s="60"/>
      <c r="I28" s="169"/>
      <c r="Q28" s="142"/>
      <c r="R28" s="142"/>
    </row>
    <row r="29" spans="1:18" s="26" customFormat="1" ht="19.149999999999999" customHeight="1" x14ac:dyDescent="0.25">
      <c r="A29" s="172"/>
      <c r="C29" s="175">
        <v>5</v>
      </c>
      <c r="D29" s="67" t="str">
        <f>IF('Process (2)'!H60&lt;=0,"",'Process (2)'!H60)</f>
        <v/>
      </c>
      <c r="E29" s="175" t="str">
        <f t="shared" si="0"/>
        <v/>
      </c>
      <c r="F29" s="170" t="str">
        <f>IF(D29="","",MAX('Process (2)'!L60:Q60))</f>
        <v/>
      </c>
      <c r="G29" s="67" t="str">
        <f>IF(D29="","",'Input (1)'!$I$102*F29)</f>
        <v/>
      </c>
      <c r="H29" s="60"/>
      <c r="I29" s="169"/>
      <c r="Q29" s="142"/>
      <c r="R29" s="142"/>
    </row>
    <row r="30" spans="1:18" s="26" customFormat="1" ht="19.149999999999999" customHeight="1" x14ac:dyDescent="0.25">
      <c r="A30" s="172"/>
      <c r="C30" s="175">
        <v>6</v>
      </c>
      <c r="D30" s="67" t="str">
        <f>IF('Process (2)'!H61&lt;=0,"",'Process (2)'!H61)</f>
        <v/>
      </c>
      <c r="E30" s="175" t="str">
        <f t="shared" si="0"/>
        <v/>
      </c>
      <c r="F30" s="170" t="str">
        <f>IF(D30="","",MAX('Process (2)'!L61:Q61))</f>
        <v/>
      </c>
      <c r="G30" s="67" t="str">
        <f>IF(D30="","",'Input (1)'!$I$102*F30)</f>
        <v/>
      </c>
      <c r="H30" s="60"/>
      <c r="I30" s="169"/>
      <c r="Q30" s="142"/>
      <c r="R30" s="142"/>
    </row>
    <row r="31" spans="1:18" s="26" customFormat="1" ht="19.149999999999999" customHeight="1" x14ac:dyDescent="0.25">
      <c r="A31" s="172"/>
      <c r="C31" s="175">
        <v>7</v>
      </c>
      <c r="D31" s="67" t="str">
        <f>IF('Process (2)'!H62&lt;=0,"",'Process (2)'!H62)</f>
        <v/>
      </c>
      <c r="E31" s="175" t="str">
        <f t="shared" si="0"/>
        <v/>
      </c>
      <c r="F31" s="170" t="str">
        <f>IF(D31="","",MAX('Process (2)'!L62:Q62))</f>
        <v/>
      </c>
      <c r="G31" s="67" t="str">
        <f>IF(D31="","",'Input (1)'!$I$102*F31)</f>
        <v/>
      </c>
      <c r="H31" s="60"/>
      <c r="I31" s="169"/>
      <c r="Q31" s="142"/>
      <c r="R31" s="142"/>
    </row>
    <row r="32" spans="1:18" s="26" customFormat="1" ht="19.149999999999999" customHeight="1" x14ac:dyDescent="0.25">
      <c r="A32" s="172"/>
      <c r="C32" s="175">
        <v>8</v>
      </c>
      <c r="D32" s="67" t="str">
        <f>IF('Process (2)'!H63&lt;=0,"",'Process (2)'!H63)</f>
        <v/>
      </c>
      <c r="E32" s="175" t="str">
        <f t="shared" si="0"/>
        <v/>
      </c>
      <c r="F32" s="170" t="str">
        <f>IF(D32="","",MAX('Process (2)'!L63:Q63))</f>
        <v/>
      </c>
      <c r="G32" s="67" t="str">
        <f>IF(D32="","",'Input (1)'!$I$102*F32)</f>
        <v/>
      </c>
      <c r="H32" s="60"/>
      <c r="I32" s="169"/>
      <c r="Q32" s="142"/>
      <c r="R32" s="142"/>
    </row>
    <row r="33" spans="1:18" s="26" customFormat="1" ht="19.149999999999999" customHeight="1" x14ac:dyDescent="0.25">
      <c r="A33" s="172"/>
      <c r="F33" s="176" t="s">
        <v>493</v>
      </c>
      <c r="G33" s="177">
        <f>SUM(G25:G28)</f>
        <v>10747.909299359813</v>
      </c>
      <c r="I33" s="169"/>
      <c r="N33" s="142"/>
      <c r="O33" s="142"/>
      <c r="P33" s="142"/>
      <c r="Q33" s="142"/>
      <c r="R33" s="142"/>
    </row>
    <row r="34" spans="1:18" s="26" customFormat="1" ht="19.149999999999999" customHeight="1" x14ac:dyDescent="0.25">
      <c r="A34" s="172"/>
      <c r="I34" s="169"/>
      <c r="N34" s="142"/>
      <c r="O34" s="142"/>
      <c r="P34" s="142"/>
      <c r="Q34" s="142"/>
      <c r="R34" s="142"/>
    </row>
    <row r="35" spans="1:18" s="26" customFormat="1" ht="19.149999999999999" customHeight="1" x14ac:dyDescent="0.25">
      <c r="A35" s="172"/>
      <c r="B35" s="2" t="s">
        <v>494</v>
      </c>
      <c r="C35" s="2"/>
      <c r="D35" s="2"/>
      <c r="E35" s="2"/>
      <c r="F35" s="1"/>
      <c r="G35" s="3" t="s">
        <v>603</v>
      </c>
      <c r="H35" s="170">
        <f>G33-H20-H21</f>
        <v>9865.9336743598142</v>
      </c>
      <c r="I35" s="171" t="s">
        <v>487</v>
      </c>
      <c r="N35" s="142"/>
      <c r="O35" s="142"/>
      <c r="P35" s="142"/>
      <c r="Q35" s="142"/>
      <c r="R35" s="142"/>
    </row>
    <row r="36" spans="1:18" s="26" customFormat="1" ht="19.149999999999999" customHeight="1" x14ac:dyDescent="0.25">
      <c r="A36" s="172"/>
      <c r="I36" s="169"/>
      <c r="N36" s="142"/>
      <c r="O36" s="142"/>
      <c r="P36" s="142"/>
      <c r="Q36" s="142"/>
      <c r="R36" s="142"/>
    </row>
    <row r="37" spans="1:18" s="26" customFormat="1" ht="19.149999999999999" customHeight="1" x14ac:dyDescent="0.25">
      <c r="A37" s="165"/>
      <c r="B37" s="130" t="s">
        <v>495</v>
      </c>
      <c r="C37" s="166"/>
      <c r="D37" s="166"/>
      <c r="E37" s="166"/>
      <c r="F37" s="166"/>
      <c r="G37" s="166"/>
      <c r="H37" s="166"/>
      <c r="I37" s="167"/>
      <c r="N37" s="142"/>
      <c r="O37" s="142"/>
      <c r="P37" s="142"/>
      <c r="Q37" s="142"/>
      <c r="R37" s="142"/>
    </row>
    <row r="38" spans="1:18" s="26" customFormat="1" ht="19.149999999999999" customHeight="1" x14ac:dyDescent="0.25">
      <c r="A38" s="168"/>
      <c r="I38" s="169"/>
      <c r="N38" s="142"/>
      <c r="O38" s="142"/>
      <c r="P38" s="142"/>
      <c r="Q38" s="142"/>
      <c r="R38" s="142"/>
    </row>
    <row r="39" spans="1:18" s="26" customFormat="1" ht="19.149999999999999" customHeight="1" x14ac:dyDescent="0.25">
      <c r="A39" s="168"/>
      <c r="I39" s="169"/>
      <c r="N39" s="142"/>
      <c r="O39" s="142"/>
      <c r="P39" s="142"/>
      <c r="Q39" s="142"/>
      <c r="R39" s="142"/>
    </row>
    <row r="40" spans="1:18" s="26" customFormat="1" ht="19.149999999999999" customHeight="1" x14ac:dyDescent="0.25">
      <c r="A40" s="168"/>
      <c r="I40" s="169"/>
      <c r="N40" s="142"/>
      <c r="O40" s="142"/>
      <c r="P40" s="142"/>
      <c r="Q40" s="142"/>
      <c r="R40" s="142"/>
    </row>
    <row r="41" spans="1:18" s="26" customFormat="1" ht="19.149999999999999" customHeight="1" x14ac:dyDescent="0.25">
      <c r="A41" s="168"/>
      <c r="I41" s="169"/>
      <c r="N41" s="142"/>
      <c r="O41" s="142"/>
      <c r="P41" s="142"/>
      <c r="Q41" s="142"/>
      <c r="R41" s="142"/>
    </row>
    <row r="42" spans="1:18" s="26" customFormat="1" ht="19.149999999999999" customHeight="1" x14ac:dyDescent="0.25">
      <c r="A42" s="168"/>
      <c r="I42" s="169"/>
      <c r="N42" s="142"/>
      <c r="O42" s="142"/>
      <c r="P42" s="142"/>
      <c r="Q42" s="142"/>
      <c r="R42" s="142"/>
    </row>
    <row r="43" spans="1:18" s="26" customFormat="1" ht="19.149999999999999" customHeight="1" x14ac:dyDescent="0.25">
      <c r="A43" s="168"/>
      <c r="I43" s="169"/>
      <c r="N43" s="142"/>
      <c r="O43" s="142"/>
      <c r="P43" s="142"/>
      <c r="Q43" s="142"/>
      <c r="R43" s="142"/>
    </row>
    <row r="44" spans="1:18" s="26" customFormat="1" ht="19.149999999999999" customHeight="1" x14ac:dyDescent="0.25">
      <c r="A44" s="168"/>
      <c r="I44" s="169"/>
      <c r="N44" s="142"/>
      <c r="O44" s="142"/>
      <c r="P44" s="142"/>
      <c r="Q44" s="142"/>
      <c r="R44" s="142"/>
    </row>
    <row r="45" spans="1:18" s="26" customFormat="1" ht="19.149999999999999" customHeight="1" x14ac:dyDescent="0.25">
      <c r="A45" s="168"/>
      <c r="I45" s="169"/>
      <c r="N45" s="142"/>
      <c r="O45" s="142"/>
      <c r="P45" s="142"/>
      <c r="Q45" s="142"/>
      <c r="R45" s="142"/>
    </row>
    <row r="46" spans="1:18" s="26" customFormat="1" ht="19.149999999999999" customHeight="1" x14ac:dyDescent="0.25">
      <c r="A46" s="168"/>
      <c r="I46" s="169"/>
      <c r="N46" s="142"/>
      <c r="O46" s="142"/>
      <c r="P46" s="142"/>
      <c r="Q46" s="142"/>
      <c r="R46" s="142"/>
    </row>
    <row r="47" spans="1:18" s="26" customFormat="1" ht="19.149999999999999" customHeight="1" x14ac:dyDescent="0.25">
      <c r="A47" s="168"/>
      <c r="I47" s="169"/>
      <c r="N47" s="142"/>
      <c r="O47" s="142"/>
      <c r="P47" s="142"/>
      <c r="Q47" s="142"/>
      <c r="R47" s="142"/>
    </row>
    <row r="48" spans="1:18" s="26" customFormat="1" ht="19.149999999999999" customHeight="1" x14ac:dyDescent="0.25">
      <c r="A48" s="168"/>
      <c r="I48" s="169"/>
      <c r="N48" s="142"/>
      <c r="O48" s="142"/>
      <c r="P48" s="142"/>
      <c r="Q48" s="142"/>
      <c r="R48" s="142"/>
    </row>
    <row r="49" spans="1:18" s="26" customFormat="1" ht="19.149999999999999" customHeight="1" x14ac:dyDescent="0.25">
      <c r="A49" s="168"/>
      <c r="B49" s="26" t="s">
        <v>398</v>
      </c>
      <c r="I49" s="169"/>
      <c r="N49" s="142"/>
      <c r="O49" s="142"/>
      <c r="P49" s="142"/>
      <c r="Q49" s="142"/>
      <c r="R49" s="142"/>
    </row>
    <row r="50" spans="1:18" s="26" customFormat="1" ht="19.149999999999999" customHeight="1" x14ac:dyDescent="0.25">
      <c r="A50" s="168"/>
      <c r="B50" s="51" t="s">
        <v>608</v>
      </c>
      <c r="C50" s="67">
        <f>'Input (1)'!F42</f>
        <v>1</v>
      </c>
      <c r="D50" s="13" t="s">
        <v>0</v>
      </c>
      <c r="E50" s="49" t="s">
        <v>400</v>
      </c>
      <c r="F50" s="102">
        <f>'Process (2)'!L55-0.5*C50</f>
        <v>1</v>
      </c>
      <c r="G50" s="13" t="s">
        <v>0</v>
      </c>
      <c r="H50" s="49"/>
      <c r="I50" s="178"/>
      <c r="N50" s="142"/>
      <c r="O50" s="142"/>
      <c r="P50" s="142"/>
      <c r="Q50" s="142"/>
      <c r="R50" s="142"/>
    </row>
    <row r="51" spans="1:18" s="26" customFormat="1" ht="19.149999999999999" customHeight="1" x14ac:dyDescent="0.25">
      <c r="A51" s="168"/>
      <c r="B51" s="49" t="s">
        <v>401</v>
      </c>
      <c r="C51" s="101">
        <f>('Process (2)'!I65-C50)/2</f>
        <v>2.6</v>
      </c>
      <c r="D51" s="13" t="s">
        <v>0</v>
      </c>
      <c r="E51" s="49" t="s">
        <v>402</v>
      </c>
      <c r="F51" s="102">
        <f>0.5*(C51)</f>
        <v>1.3</v>
      </c>
      <c r="G51" s="13" t="s">
        <v>0</v>
      </c>
      <c r="I51" s="169"/>
      <c r="N51" s="142"/>
      <c r="O51" s="142"/>
      <c r="P51" s="142"/>
      <c r="Q51" s="142"/>
      <c r="R51" s="142"/>
    </row>
    <row r="52" spans="1:18" s="26" customFormat="1" ht="19.149999999999999" customHeight="1" x14ac:dyDescent="0.25">
      <c r="A52" s="168"/>
      <c r="B52" s="49"/>
      <c r="C52" s="179"/>
      <c r="D52" s="13"/>
      <c r="E52" s="49" t="s">
        <v>403</v>
      </c>
      <c r="F52" s="102">
        <f>1/3*C51</f>
        <v>0.8666666666666667</v>
      </c>
      <c r="G52" s="13" t="s">
        <v>0</v>
      </c>
      <c r="I52" s="169"/>
      <c r="N52" s="142"/>
      <c r="O52" s="142"/>
      <c r="P52" s="142"/>
      <c r="Q52" s="142"/>
      <c r="R52" s="142"/>
    </row>
    <row r="53" spans="1:18" s="26" customFormat="1" ht="19.149999999999999" customHeight="1" x14ac:dyDescent="0.25">
      <c r="A53" s="168"/>
      <c r="B53" s="49" t="s">
        <v>496</v>
      </c>
      <c r="C53" s="101">
        <f>C50+2*C51</f>
        <v>6.2</v>
      </c>
      <c r="D53" s="13" t="s">
        <v>0</v>
      </c>
      <c r="G53" s="13"/>
      <c r="I53" s="169"/>
      <c r="N53" s="142"/>
      <c r="O53" s="142"/>
      <c r="P53" s="142"/>
      <c r="Q53" s="142"/>
      <c r="R53" s="142"/>
    </row>
    <row r="54" spans="1:18" s="26" customFormat="1" ht="19.149999999999999" customHeight="1" x14ac:dyDescent="0.25">
      <c r="A54" s="168"/>
      <c r="B54" s="51" t="s">
        <v>459</v>
      </c>
      <c r="C54" s="67">
        <f>'Input (1)'!C42+'Input (1)'!C43</f>
        <v>1.25</v>
      </c>
      <c r="D54" s="13" t="s">
        <v>0</v>
      </c>
      <c r="E54" s="49" t="s">
        <v>497</v>
      </c>
      <c r="F54" s="102">
        <f>MAX('Process (2)'!L64:Q64)</f>
        <v>11105.031443645446</v>
      </c>
      <c r="G54" s="13" t="s">
        <v>115</v>
      </c>
      <c r="H54" s="144"/>
      <c r="I54" s="169"/>
      <c r="N54" s="142"/>
      <c r="O54" s="142"/>
      <c r="P54" s="142"/>
      <c r="Q54" s="142"/>
      <c r="R54" s="142"/>
    </row>
    <row r="55" spans="1:18" s="26" customFormat="1" ht="19.149999999999999" customHeight="1" x14ac:dyDescent="0.25">
      <c r="A55" s="168"/>
      <c r="I55" s="169"/>
      <c r="N55" s="142"/>
      <c r="O55" s="142"/>
      <c r="P55" s="142"/>
      <c r="Q55" s="142"/>
      <c r="R55" s="142"/>
    </row>
    <row r="56" spans="1:18" s="26" customFormat="1" ht="19.149999999999999" customHeight="1" x14ac:dyDescent="0.25">
      <c r="A56" s="168"/>
      <c r="B56" s="624" t="s">
        <v>404</v>
      </c>
      <c r="C56" s="567" t="s">
        <v>405</v>
      </c>
      <c r="D56" s="628"/>
      <c r="E56" s="568"/>
      <c r="F56" s="629" t="s">
        <v>406</v>
      </c>
      <c r="G56" s="629" t="s">
        <v>407</v>
      </c>
      <c r="H56" s="629" t="s">
        <v>408</v>
      </c>
      <c r="I56" s="169"/>
      <c r="L56" s="142"/>
      <c r="M56" s="142"/>
      <c r="N56" s="142"/>
      <c r="O56" s="142"/>
      <c r="P56" s="142"/>
    </row>
    <row r="57" spans="1:18" s="26" customFormat="1" ht="19.149999999999999" customHeight="1" x14ac:dyDescent="0.25">
      <c r="A57" s="168"/>
      <c r="B57" s="625"/>
      <c r="C57" s="180" t="s">
        <v>498</v>
      </c>
      <c r="D57" s="180" t="s">
        <v>61</v>
      </c>
      <c r="E57" s="180" t="s">
        <v>607</v>
      </c>
      <c r="F57" s="630"/>
      <c r="G57" s="630"/>
      <c r="H57" s="630"/>
      <c r="I57" s="169"/>
      <c r="L57" s="142"/>
      <c r="M57" s="142"/>
      <c r="N57" s="142"/>
      <c r="O57" s="142"/>
      <c r="P57" s="142"/>
    </row>
    <row r="58" spans="1:18" s="26" customFormat="1" ht="19.149999999999999" customHeight="1" x14ac:dyDescent="0.25">
      <c r="A58" s="168"/>
      <c r="B58" s="626"/>
      <c r="C58" s="180" t="s">
        <v>68</v>
      </c>
      <c r="D58" s="180" t="s">
        <v>68</v>
      </c>
      <c r="E58" s="180" t="s">
        <v>68</v>
      </c>
      <c r="F58" s="180" t="s">
        <v>499</v>
      </c>
      <c r="G58" s="180" t="s">
        <v>66</v>
      </c>
      <c r="H58" s="180" t="s">
        <v>70</v>
      </c>
      <c r="I58" s="169"/>
      <c r="L58" s="142"/>
      <c r="M58" s="142"/>
      <c r="N58" s="142"/>
      <c r="O58" s="142"/>
      <c r="P58" s="142"/>
    </row>
    <row r="59" spans="1:18" s="26" customFormat="1" ht="19.149999999999999" customHeight="1" x14ac:dyDescent="0.25">
      <c r="A59" s="168"/>
      <c r="B59" s="181" t="s">
        <v>410</v>
      </c>
      <c r="C59" s="101">
        <f>C51</f>
        <v>2.6</v>
      </c>
      <c r="D59" s="101">
        <f>'Input (1)'!C43</f>
        <v>0.75</v>
      </c>
      <c r="E59" s="101">
        <f>'Input (1)'!I58</f>
        <v>17.3</v>
      </c>
      <c r="F59" s="102">
        <f>C59*D59*E59</f>
        <v>33.735000000000007</v>
      </c>
      <c r="G59" s="182">
        <v>934.2</v>
      </c>
      <c r="H59" s="183">
        <f>G59*F51</f>
        <v>1214.46</v>
      </c>
      <c r="I59" s="169"/>
      <c r="L59" s="142"/>
      <c r="M59" s="142"/>
      <c r="N59" s="142"/>
      <c r="O59" s="142"/>
      <c r="P59" s="142"/>
    </row>
    <row r="60" spans="1:18" s="26" customFormat="1" ht="19.149999999999999" customHeight="1" x14ac:dyDescent="0.25">
      <c r="A60" s="168"/>
      <c r="B60" s="181" t="s">
        <v>411</v>
      </c>
      <c r="C60" s="101">
        <f>C59</f>
        <v>2.6</v>
      </c>
      <c r="D60" s="101">
        <f>'Input (1)'!C42</f>
        <v>0.5</v>
      </c>
      <c r="E60" s="101">
        <f>E59</f>
        <v>17.3</v>
      </c>
      <c r="F60" s="102">
        <f>0.5*C60*D60*E60</f>
        <v>11.245000000000001</v>
      </c>
      <c r="G60" s="182">
        <v>200.85300000000001</v>
      </c>
      <c r="H60" s="184">
        <f>G60*F52</f>
        <v>174.07260000000002</v>
      </c>
      <c r="I60" s="169"/>
      <c r="L60" s="142"/>
      <c r="M60" s="142"/>
      <c r="N60" s="142"/>
      <c r="O60" s="142"/>
      <c r="P60" s="142"/>
    </row>
    <row r="61" spans="1:18" s="26" customFormat="1" ht="19.149999999999999" customHeight="1" x14ac:dyDescent="0.25">
      <c r="A61" s="168"/>
      <c r="F61" s="185" t="s">
        <v>412</v>
      </c>
      <c r="G61" s="186">
        <f>SUM(G59:G60)</f>
        <v>1135.0530000000001</v>
      </c>
      <c r="H61" s="187"/>
      <c r="I61" s="169"/>
      <c r="L61" s="142"/>
      <c r="M61" s="142"/>
      <c r="N61" s="142"/>
      <c r="O61" s="142"/>
      <c r="P61" s="142"/>
    </row>
    <row r="62" spans="1:18" s="26" customFormat="1" ht="19.149999999999999" customHeight="1" x14ac:dyDescent="0.25">
      <c r="A62" s="168"/>
      <c r="F62" s="188"/>
      <c r="G62" s="189" t="s">
        <v>413</v>
      </c>
      <c r="H62" s="190">
        <f>SUM(H59:H60)</f>
        <v>1388.5326</v>
      </c>
      <c r="I62" s="191"/>
      <c r="M62" s="142"/>
      <c r="N62" s="142"/>
      <c r="O62" s="142"/>
      <c r="P62" s="142"/>
      <c r="Q62" s="142"/>
    </row>
    <row r="63" spans="1:18" s="26" customFormat="1" ht="19.149999999999999" customHeight="1" x14ac:dyDescent="0.25">
      <c r="A63" s="168"/>
      <c r="B63" s="26" t="s">
        <v>414</v>
      </c>
      <c r="G63" s="49" t="s">
        <v>415</v>
      </c>
      <c r="H63" s="145">
        <v>1.2</v>
      </c>
      <c r="I63" s="192"/>
      <c r="M63" s="142"/>
      <c r="N63" s="142"/>
      <c r="O63" s="142"/>
      <c r="P63" s="142"/>
      <c r="Q63" s="142"/>
    </row>
    <row r="64" spans="1:18" s="26" customFormat="1" ht="19.149999999999999" customHeight="1" x14ac:dyDescent="0.25">
      <c r="A64" s="168"/>
      <c r="B64" s="26" t="s">
        <v>416</v>
      </c>
      <c r="G64" s="49" t="s">
        <v>500</v>
      </c>
      <c r="H64" s="101">
        <v>1514.8377000000003</v>
      </c>
      <c r="I64" s="193" t="s">
        <v>417</v>
      </c>
      <c r="M64" s="142"/>
      <c r="N64" s="142"/>
      <c r="O64" s="142"/>
      <c r="P64" s="142"/>
      <c r="Q64" s="142"/>
    </row>
    <row r="65" spans="1:18" s="26" customFormat="1" ht="19.149999999999999" customHeight="1" x14ac:dyDescent="0.25">
      <c r="A65" s="168"/>
      <c r="I65" s="169"/>
      <c r="N65" s="142"/>
      <c r="O65" s="142"/>
      <c r="P65" s="142"/>
      <c r="Q65" s="142"/>
      <c r="R65" s="142"/>
    </row>
    <row r="66" spans="1:18" s="26" customFormat="1" ht="19.149999999999999" customHeight="1" x14ac:dyDescent="0.25">
      <c r="A66" s="168"/>
      <c r="B66" s="631" t="s">
        <v>418</v>
      </c>
      <c r="C66" s="632"/>
      <c r="D66" s="627" t="s">
        <v>419</v>
      </c>
      <c r="E66" s="627"/>
      <c r="F66" s="627"/>
      <c r="G66" s="627" t="s">
        <v>501</v>
      </c>
      <c r="H66" s="627"/>
      <c r="I66" s="193"/>
      <c r="M66" s="142"/>
      <c r="N66" s="142"/>
      <c r="O66" s="142"/>
      <c r="P66" s="142"/>
      <c r="Q66" s="142"/>
    </row>
    <row r="67" spans="1:18" s="26" customFormat="1" ht="19.149999999999999" customHeight="1" x14ac:dyDescent="0.25">
      <c r="A67" s="168"/>
      <c r="B67" s="631" t="s">
        <v>420</v>
      </c>
      <c r="C67" s="632"/>
      <c r="D67" s="627" t="s">
        <v>421</v>
      </c>
      <c r="E67" s="627"/>
      <c r="F67" s="627"/>
      <c r="G67" s="627" t="s">
        <v>409</v>
      </c>
      <c r="H67" s="627"/>
      <c r="I67" s="193"/>
      <c r="M67" s="142"/>
      <c r="N67" s="142"/>
      <c r="O67" s="142"/>
      <c r="P67" s="142"/>
      <c r="Q67" s="142"/>
    </row>
    <row r="68" spans="1:18" s="26" customFormat="1" ht="19.149999999999999" customHeight="1" x14ac:dyDescent="0.25">
      <c r="A68" s="168"/>
      <c r="B68" s="194">
        <v>1</v>
      </c>
      <c r="C68" s="67" t="str">
        <f>IF('Process (2)'!H56&lt;=0,"",'Process (2)'!H56)</f>
        <v/>
      </c>
      <c r="D68" s="195"/>
      <c r="E68" s="196" t="s">
        <v>502</v>
      </c>
      <c r="F68" s="67" t="str">
        <f>IF(C68="","",C68-0.5*$C$50)</f>
        <v/>
      </c>
      <c r="G68" s="195"/>
      <c r="H68" s="170" t="str">
        <f>IF(C68="","",F68*$F$54)</f>
        <v/>
      </c>
      <c r="I68" s="193"/>
      <c r="M68" s="142"/>
      <c r="N68" s="142"/>
      <c r="O68" s="142"/>
      <c r="P68" s="142"/>
      <c r="Q68" s="142"/>
    </row>
    <row r="69" spans="1:18" s="26" customFormat="1" ht="19.149999999999999" customHeight="1" x14ac:dyDescent="0.25">
      <c r="A69" s="168"/>
      <c r="B69" s="194">
        <v>2</v>
      </c>
      <c r="C69" s="67">
        <f>IF('Process (2)'!H57&lt;=0,"",'Process (2)'!H57)</f>
        <v>1.5</v>
      </c>
      <c r="D69" s="195"/>
      <c r="E69" s="196" t="s">
        <v>503</v>
      </c>
      <c r="F69" s="67">
        <f t="shared" ref="F69:F75" si="1">IF(C69="","",C69-0.5*$C$50)</f>
        <v>1</v>
      </c>
      <c r="G69" s="195"/>
      <c r="H69" s="170">
        <f t="shared" ref="H69:H71" si="2">IF(C69="","",F69*$F$54)</f>
        <v>11105.031443645446</v>
      </c>
      <c r="I69" s="193"/>
      <c r="M69" s="142"/>
      <c r="N69" s="142"/>
      <c r="O69" s="142"/>
      <c r="P69" s="142"/>
      <c r="Q69" s="142"/>
    </row>
    <row r="70" spans="1:18" s="26" customFormat="1" ht="19.149999999999999" customHeight="1" x14ac:dyDescent="0.25">
      <c r="A70" s="168"/>
      <c r="B70" s="194">
        <v>3</v>
      </c>
      <c r="C70" s="67" t="str">
        <f>IF('Process (2)'!H58&lt;=0,"",'Process (2)'!H58)</f>
        <v/>
      </c>
      <c r="D70" s="195"/>
      <c r="E70" s="196" t="s">
        <v>504</v>
      </c>
      <c r="F70" s="67" t="str">
        <f t="shared" si="1"/>
        <v/>
      </c>
      <c r="G70" s="195"/>
      <c r="H70" s="170" t="str">
        <f>IF(C70="","",F70*$F$54)</f>
        <v/>
      </c>
      <c r="I70" s="193"/>
      <c r="M70" s="142"/>
      <c r="N70" s="142"/>
      <c r="O70" s="142"/>
      <c r="P70" s="142"/>
      <c r="Q70" s="142"/>
    </row>
    <row r="71" spans="1:18" s="26" customFormat="1" ht="19.149999999999999" customHeight="1" x14ac:dyDescent="0.25">
      <c r="A71" s="168"/>
      <c r="B71" s="194">
        <v>4</v>
      </c>
      <c r="C71" s="67" t="str">
        <f>IF('Process (2)'!H59&lt;=0,"",'Process (2)'!H59)</f>
        <v/>
      </c>
      <c r="D71" s="195"/>
      <c r="E71" s="196" t="s">
        <v>505</v>
      </c>
      <c r="F71" s="67" t="str">
        <f t="shared" si="1"/>
        <v/>
      </c>
      <c r="G71" s="195"/>
      <c r="H71" s="170" t="str">
        <f t="shared" si="2"/>
        <v/>
      </c>
      <c r="I71" s="193"/>
      <c r="M71" s="142"/>
      <c r="N71" s="142"/>
      <c r="O71" s="142"/>
      <c r="P71" s="142"/>
      <c r="Q71" s="142"/>
    </row>
    <row r="72" spans="1:18" s="26" customFormat="1" ht="19.149999999999999" customHeight="1" x14ac:dyDescent="0.25">
      <c r="A72" s="168"/>
      <c r="B72" s="194">
        <v>5</v>
      </c>
      <c r="C72" s="67" t="str">
        <f>IF('Process (2)'!H60&lt;=0,"",'Process (2)'!H60)</f>
        <v/>
      </c>
      <c r="D72" s="195"/>
      <c r="E72" s="196" t="s">
        <v>609</v>
      </c>
      <c r="F72" s="67" t="str">
        <f t="shared" si="1"/>
        <v/>
      </c>
      <c r="G72" s="195"/>
      <c r="H72" s="170" t="str">
        <f>IF(C72="","",F72*$F$54)</f>
        <v/>
      </c>
      <c r="I72" s="193"/>
      <c r="M72" s="142"/>
      <c r="N72" s="142"/>
      <c r="O72" s="142"/>
      <c r="P72" s="142"/>
      <c r="Q72" s="142"/>
    </row>
    <row r="73" spans="1:18" s="26" customFormat="1" ht="19.149999999999999" customHeight="1" x14ac:dyDescent="0.25">
      <c r="A73" s="168"/>
      <c r="B73" s="194">
        <v>6</v>
      </c>
      <c r="C73" s="67" t="str">
        <f>IF('Process (2)'!H61&lt;=0,"",'Process (2)'!H61)</f>
        <v/>
      </c>
      <c r="D73" s="195"/>
      <c r="E73" s="196" t="s">
        <v>610</v>
      </c>
      <c r="F73" s="67" t="str">
        <f t="shared" si="1"/>
        <v/>
      </c>
      <c r="G73" s="195"/>
      <c r="H73" s="170" t="str">
        <f t="shared" ref="H73:H75" si="3">IF(C73="","",F73*$F$54)</f>
        <v/>
      </c>
      <c r="I73" s="193"/>
      <c r="M73" s="142"/>
      <c r="N73" s="142"/>
      <c r="O73" s="142"/>
      <c r="P73" s="142"/>
      <c r="Q73" s="142"/>
    </row>
    <row r="74" spans="1:18" s="26" customFormat="1" ht="19.149999999999999" customHeight="1" x14ac:dyDescent="0.25">
      <c r="A74" s="168"/>
      <c r="B74" s="194">
        <v>7</v>
      </c>
      <c r="C74" s="67" t="str">
        <f>IF('Process (2)'!H62&lt;=0,"",'Process (2)'!H62)</f>
        <v/>
      </c>
      <c r="D74" s="195"/>
      <c r="E74" s="196" t="s">
        <v>611</v>
      </c>
      <c r="F74" s="67" t="str">
        <f t="shared" si="1"/>
        <v/>
      </c>
      <c r="G74" s="195"/>
      <c r="H74" s="170" t="str">
        <f t="shared" si="3"/>
        <v/>
      </c>
      <c r="I74" s="193"/>
      <c r="M74" s="142"/>
      <c r="N74" s="142"/>
      <c r="O74" s="142"/>
      <c r="P74" s="142"/>
      <c r="Q74" s="142"/>
    </row>
    <row r="75" spans="1:18" s="26" customFormat="1" ht="19.149999999999999" customHeight="1" x14ac:dyDescent="0.25">
      <c r="A75" s="168"/>
      <c r="B75" s="194">
        <v>8</v>
      </c>
      <c r="C75" s="67" t="str">
        <f>IF('Process (2)'!H63&lt;=0,"",'Process (2)'!H63)</f>
        <v/>
      </c>
      <c r="D75" s="195"/>
      <c r="E75" s="196" t="s">
        <v>612</v>
      </c>
      <c r="F75" s="67" t="str">
        <f t="shared" si="1"/>
        <v/>
      </c>
      <c r="G75" s="195"/>
      <c r="H75" s="170" t="str">
        <f t="shared" si="3"/>
        <v/>
      </c>
      <c r="I75" s="193"/>
      <c r="M75" s="142"/>
      <c r="N75" s="142"/>
      <c r="O75" s="142"/>
      <c r="P75" s="142"/>
      <c r="Q75" s="142"/>
    </row>
    <row r="76" spans="1:18" s="26" customFormat="1" ht="19.149999999999999" customHeight="1" x14ac:dyDescent="0.25">
      <c r="A76" s="168"/>
      <c r="B76" s="26" t="s">
        <v>422</v>
      </c>
      <c r="G76" s="49" t="s">
        <v>423</v>
      </c>
      <c r="H76" s="102">
        <f>SUM(H68:H71)</f>
        <v>11105.031443645446</v>
      </c>
      <c r="I76" s="193" t="s">
        <v>417</v>
      </c>
      <c r="M76" s="142"/>
      <c r="N76" s="142"/>
      <c r="O76" s="142"/>
      <c r="P76" s="142"/>
      <c r="Q76" s="142"/>
    </row>
    <row r="77" spans="1:18" s="26" customFormat="1" ht="19.149999999999999" customHeight="1" x14ac:dyDescent="0.25">
      <c r="A77" s="168"/>
      <c r="B77" s="26" t="s">
        <v>424</v>
      </c>
      <c r="G77" s="49" t="s">
        <v>425</v>
      </c>
      <c r="H77" s="102">
        <f>H76-H64</f>
        <v>9590.1937436454464</v>
      </c>
      <c r="I77" s="193" t="s">
        <v>417</v>
      </c>
      <c r="M77" s="142"/>
      <c r="N77" s="142"/>
      <c r="O77" s="142"/>
      <c r="P77" s="142"/>
      <c r="Q77" s="142"/>
    </row>
    <row r="78" spans="1:18" s="26" customFormat="1" ht="19.149999999999999" customHeight="1" x14ac:dyDescent="0.25">
      <c r="A78" s="168"/>
      <c r="G78" s="49" t="s">
        <v>506</v>
      </c>
      <c r="H78" s="101">
        <f>E59</f>
        <v>17.3</v>
      </c>
      <c r="I78" s="193" t="s">
        <v>0</v>
      </c>
      <c r="M78" s="142"/>
      <c r="N78" s="142"/>
      <c r="O78" s="142"/>
      <c r="P78" s="142"/>
      <c r="Q78" s="142"/>
    </row>
    <row r="79" spans="1:18" s="26" customFormat="1" ht="19.149999999999999" customHeight="1" x14ac:dyDescent="0.25">
      <c r="A79" s="168"/>
      <c r="B79" s="26" t="s">
        <v>426</v>
      </c>
      <c r="G79" s="49" t="s">
        <v>507</v>
      </c>
      <c r="H79" s="102">
        <f>H77/H78</f>
        <v>554.34645917025705</v>
      </c>
      <c r="I79" s="193" t="s">
        <v>417</v>
      </c>
      <c r="M79" s="142"/>
      <c r="N79" s="142"/>
      <c r="O79" s="142"/>
      <c r="P79" s="142"/>
      <c r="Q79" s="142"/>
    </row>
    <row r="80" spans="1:18" ht="18.75" customHeight="1" x14ac:dyDescent="0.25">
      <c r="A80" s="168"/>
      <c r="I80" s="197"/>
    </row>
    <row r="81" spans="1:9" s="1" customFormat="1" ht="18.75" customHeight="1" x14ac:dyDescent="0.25">
      <c r="A81" s="161" t="s">
        <v>855</v>
      </c>
      <c r="B81" s="199" t="s">
        <v>508</v>
      </c>
      <c r="C81" s="200"/>
      <c r="D81" s="129"/>
      <c r="E81" s="201"/>
      <c r="F81" s="202"/>
      <c r="G81" s="203"/>
      <c r="H81" s="204"/>
      <c r="I81" s="205"/>
    </row>
    <row r="82" spans="1:9" s="1" customFormat="1" ht="18.75" customHeight="1" x14ac:dyDescent="0.25">
      <c r="A82" s="165"/>
      <c r="B82" s="206" t="s">
        <v>510</v>
      </c>
      <c r="C82" s="207"/>
      <c r="D82" s="207"/>
      <c r="E82" s="207"/>
      <c r="F82" s="207"/>
      <c r="G82" s="207"/>
      <c r="H82" s="207"/>
      <c r="I82" s="208"/>
    </row>
    <row r="83" spans="1:9" s="1" customFormat="1" ht="18.75" customHeight="1" x14ac:dyDescent="0.25">
      <c r="A83" s="168"/>
      <c r="B83" s="2" t="s">
        <v>494</v>
      </c>
      <c r="C83" s="2"/>
      <c r="D83" s="2"/>
      <c r="E83" s="2"/>
      <c r="G83" s="3" t="s">
        <v>511</v>
      </c>
      <c r="H83" s="170">
        <f>H35</f>
        <v>9865.9336743598142</v>
      </c>
      <c r="I83" s="171" t="s">
        <v>487</v>
      </c>
    </row>
    <row r="84" spans="1:9" s="1" customFormat="1" ht="18.75" customHeight="1" x14ac:dyDescent="0.25">
      <c r="A84" s="168"/>
      <c r="B84" s="2" t="s">
        <v>512</v>
      </c>
      <c r="C84" s="2"/>
      <c r="D84" s="2"/>
      <c r="E84" s="2"/>
      <c r="F84" s="2"/>
      <c r="G84" s="3" t="s">
        <v>604</v>
      </c>
      <c r="H84" s="67">
        <f>'Input (1)'!I58*1000</f>
        <v>17300</v>
      </c>
      <c r="I84" s="171" t="s">
        <v>49</v>
      </c>
    </row>
    <row r="85" spans="1:9" s="1" customFormat="1" ht="18.75" customHeight="1" x14ac:dyDescent="0.25">
      <c r="A85" s="168"/>
      <c r="B85" s="2" t="s">
        <v>481</v>
      </c>
      <c r="C85" s="2"/>
      <c r="D85" s="2"/>
      <c r="E85" s="2"/>
      <c r="G85" s="3" t="s">
        <v>482</v>
      </c>
      <c r="H85" s="170">
        <f>H16</f>
        <v>0.1285</v>
      </c>
      <c r="I85" s="171" t="s">
        <v>0</v>
      </c>
    </row>
    <row r="86" spans="1:9" s="1" customFormat="1" ht="18.75" customHeight="1" x14ac:dyDescent="0.25">
      <c r="A86" s="168"/>
      <c r="B86" s="2" t="s">
        <v>605</v>
      </c>
      <c r="C86" s="2"/>
      <c r="D86" s="2"/>
      <c r="E86" s="2"/>
      <c r="F86" s="2"/>
      <c r="G86" s="3" t="s">
        <v>870</v>
      </c>
      <c r="H86" s="170">
        <f>(('Input (1)'!C43+H19/'Input (1)'!F44*'Input (1)'!C42)-H85)*1000</f>
        <v>961.37499999999989</v>
      </c>
      <c r="I86" s="171" t="s">
        <v>49</v>
      </c>
    </row>
    <row r="87" spans="1:9" s="1" customFormat="1" ht="18.75" customHeight="1" x14ac:dyDescent="0.25">
      <c r="A87" s="168"/>
      <c r="B87" s="2" t="s">
        <v>513</v>
      </c>
      <c r="C87" s="2"/>
      <c r="D87" s="2"/>
      <c r="E87" s="2"/>
      <c r="F87" s="2"/>
      <c r="G87" s="3" t="s">
        <v>514</v>
      </c>
      <c r="H87" s="67">
        <f>MAX('Input (1)'!F49/'Input (1)'!I58,'Input (1)'!I58/'Input (1)'!F49)</f>
        <v>2.4714285714285715</v>
      </c>
      <c r="I87" s="171"/>
    </row>
    <row r="88" spans="1:9" s="1" customFormat="1" ht="18.75" customHeight="1" x14ac:dyDescent="0.25">
      <c r="A88" s="168"/>
      <c r="C88" s="2"/>
      <c r="D88" s="2"/>
      <c r="E88" s="2"/>
      <c r="F88" s="2"/>
      <c r="H88" s="210"/>
      <c r="I88" s="171"/>
    </row>
    <row r="89" spans="1:9" s="1" customFormat="1" ht="18.75" customHeight="1" x14ac:dyDescent="0.25">
      <c r="A89" s="168"/>
      <c r="B89" s="2" t="s">
        <v>515</v>
      </c>
      <c r="C89" s="2"/>
      <c r="D89" s="2"/>
      <c r="E89" s="2"/>
      <c r="F89" s="2"/>
      <c r="G89" s="3" t="s">
        <v>516</v>
      </c>
      <c r="H89" s="170">
        <f>(1+2/H87)*SQRT('Input (1)'!I3)*H84*H86/6*0.001</f>
        <v>27469.233362473089</v>
      </c>
      <c r="I89" s="171" t="s">
        <v>115</v>
      </c>
    </row>
    <row r="90" spans="1:9" s="1" customFormat="1" ht="18.75" customHeight="1" x14ac:dyDescent="0.25">
      <c r="A90" s="168"/>
      <c r="B90" s="2"/>
      <c r="C90" s="2"/>
      <c r="D90" s="2"/>
      <c r="E90" s="2"/>
      <c r="F90" s="2"/>
      <c r="G90" s="3" t="s">
        <v>517</v>
      </c>
      <c r="H90" s="170">
        <f>(40*H86/H84+2)*SQRT('Input (1)'!I3)*H84*H86/12*0.001</f>
        <v>32056.946378521916</v>
      </c>
      <c r="I90" s="171" t="s">
        <v>115</v>
      </c>
    </row>
    <row r="91" spans="1:9" s="1" customFormat="1" ht="18.75" customHeight="1" x14ac:dyDescent="0.25">
      <c r="A91" s="168"/>
      <c r="B91" s="2"/>
      <c r="C91" s="2"/>
      <c r="D91" s="2"/>
      <c r="E91" s="2"/>
      <c r="F91" s="2"/>
      <c r="G91" s="3" t="s">
        <v>518</v>
      </c>
      <c r="H91" s="170">
        <f>1/3*SQRT('Input (1)'!I3)*H84*H86/1000</f>
        <v>30365.350617941502</v>
      </c>
      <c r="I91" s="171" t="s">
        <v>115</v>
      </c>
    </row>
    <row r="92" spans="1:9" s="1" customFormat="1" ht="18.75" customHeight="1" x14ac:dyDescent="0.25">
      <c r="A92" s="168"/>
      <c r="B92" s="2" t="s">
        <v>519</v>
      </c>
      <c r="C92" s="2"/>
      <c r="D92" s="2"/>
      <c r="E92" s="2"/>
      <c r="F92" s="2"/>
      <c r="G92" s="3" t="s">
        <v>520</v>
      </c>
      <c r="H92" s="170">
        <f>MIN(H89:H91)</f>
        <v>27469.233362473089</v>
      </c>
      <c r="I92" s="171" t="s">
        <v>115</v>
      </c>
    </row>
    <row r="93" spans="1:9" s="1" customFormat="1" ht="18.75" customHeight="1" x14ac:dyDescent="0.25">
      <c r="A93" s="168"/>
      <c r="B93" s="2" t="s">
        <v>446</v>
      </c>
      <c r="C93" s="2"/>
      <c r="D93" s="2"/>
      <c r="E93" s="2"/>
      <c r="F93" s="2"/>
      <c r="G93" s="3" t="s">
        <v>433</v>
      </c>
      <c r="H93" s="67">
        <v>0.75</v>
      </c>
      <c r="I93" s="171"/>
    </row>
    <row r="94" spans="1:9" s="1" customFormat="1" ht="18.75" customHeight="1" x14ac:dyDescent="0.25">
      <c r="A94" s="168"/>
      <c r="B94" s="2" t="s">
        <v>521</v>
      </c>
      <c r="C94" s="2"/>
      <c r="D94" s="2"/>
      <c r="E94" s="2"/>
      <c r="F94" s="2"/>
      <c r="G94" s="3" t="s">
        <v>448</v>
      </c>
      <c r="H94" s="170">
        <f>H93*H92</f>
        <v>20601.925021854819</v>
      </c>
      <c r="I94" s="171" t="s">
        <v>115</v>
      </c>
    </row>
    <row r="95" spans="1:9" s="1" customFormat="1" ht="18.75" customHeight="1" x14ac:dyDescent="0.25">
      <c r="A95" s="168"/>
      <c r="B95" s="2" t="s">
        <v>522</v>
      </c>
      <c r="C95" s="2"/>
      <c r="D95" s="2"/>
      <c r="I95" s="211"/>
    </row>
    <row r="96" spans="1:9" s="1" customFormat="1" ht="18.75" customHeight="1" x14ac:dyDescent="0.25">
      <c r="A96" s="168"/>
      <c r="B96" s="2"/>
      <c r="C96" s="2" t="s">
        <v>523</v>
      </c>
      <c r="D96" s="212" t="s">
        <v>524</v>
      </c>
      <c r="E96" s="89" t="s">
        <v>449</v>
      </c>
      <c r="F96" s="212" t="s">
        <v>525</v>
      </c>
      <c r="G96" s="2"/>
      <c r="I96" s="198"/>
    </row>
    <row r="97" spans="1:20" s="1" customFormat="1" ht="18.75" customHeight="1" x14ac:dyDescent="0.25">
      <c r="A97" s="168"/>
      <c r="B97" s="2"/>
      <c r="C97" s="2"/>
      <c r="D97" s="170">
        <f>H94</f>
        <v>20601.925021854819</v>
      </c>
      <c r="E97" s="213" t="str">
        <f>IF(D97&lt;=F97,"&lt;","&gt;")</f>
        <v>&gt;</v>
      </c>
      <c r="F97" s="170">
        <f>H83</f>
        <v>9865.9336743598142</v>
      </c>
      <c r="G97" s="214" t="s">
        <v>338</v>
      </c>
      <c r="H97" s="25" t="str">
        <f>IF(D97&gt;F97,"[ OK ]","[ NOT OK ]")</f>
        <v>[ OK ]</v>
      </c>
      <c r="I97" s="198"/>
    </row>
    <row r="98" spans="1:20" s="1" customFormat="1" ht="18.75" customHeight="1" x14ac:dyDescent="0.25">
      <c r="A98" s="168"/>
      <c r="B98" s="2"/>
      <c r="C98" s="2"/>
      <c r="D98" s="2"/>
      <c r="E98" s="2"/>
      <c r="I98" s="198"/>
    </row>
    <row r="99" spans="1:20" s="1" customFormat="1" ht="18.75" customHeight="1" x14ac:dyDescent="0.25">
      <c r="A99" s="168"/>
      <c r="B99" s="2"/>
      <c r="C99" s="2"/>
      <c r="D99" s="2"/>
      <c r="E99" s="2"/>
      <c r="F99" s="2"/>
      <c r="I99" s="198"/>
    </row>
    <row r="100" spans="1:20" s="12" customFormat="1" ht="19.149999999999999" customHeight="1" x14ac:dyDescent="0.25">
      <c r="A100" s="165"/>
      <c r="B100" s="130" t="s">
        <v>531</v>
      </c>
      <c r="C100" s="166"/>
      <c r="D100" s="166"/>
      <c r="E100" s="166"/>
      <c r="F100" s="166"/>
      <c r="G100" s="166"/>
      <c r="H100" s="166"/>
      <c r="I100" s="167"/>
      <c r="J100" s="13"/>
      <c r="K100" s="216"/>
      <c r="L100" s="33"/>
      <c r="M100" s="33"/>
      <c r="N100" s="33"/>
      <c r="P100" s="34"/>
      <c r="Q100" s="34"/>
      <c r="R100" s="34"/>
      <c r="S100" s="34"/>
      <c r="T100" s="34"/>
    </row>
    <row r="101" spans="1:20" s="12" customFormat="1" ht="19.149999999999999" customHeight="1" x14ac:dyDescent="0.25">
      <c r="A101" s="168"/>
      <c r="B101" s="26" t="s">
        <v>452</v>
      </c>
      <c r="C101" s="26"/>
      <c r="D101" s="26"/>
      <c r="E101" s="26"/>
      <c r="F101" s="26"/>
      <c r="G101" s="49" t="s">
        <v>453</v>
      </c>
      <c r="H101" s="101">
        <f>'Input (1)'!I104</f>
        <v>3</v>
      </c>
      <c r="I101" s="193" t="s">
        <v>0</v>
      </c>
      <c r="K101" s="216"/>
      <c r="L101" s="33"/>
      <c r="M101" s="33"/>
      <c r="N101" s="33"/>
      <c r="O101" s="33"/>
      <c r="P101" s="151"/>
      <c r="Q101" s="151"/>
      <c r="R101" s="34"/>
      <c r="S101" s="34"/>
      <c r="T101" s="34"/>
    </row>
    <row r="102" spans="1:20" s="12" customFormat="1" ht="19.149999999999999" customHeight="1" x14ac:dyDescent="0.25">
      <c r="A102" s="168"/>
      <c r="B102" s="26" t="s">
        <v>454</v>
      </c>
      <c r="C102" s="26"/>
      <c r="D102" s="26"/>
      <c r="E102" s="26"/>
      <c r="F102" s="26"/>
      <c r="G102" s="49" t="s">
        <v>294</v>
      </c>
      <c r="H102" s="101">
        <f>'Input (1)'!I105</f>
        <v>2.8</v>
      </c>
      <c r="I102" s="193" t="s">
        <v>0</v>
      </c>
      <c r="K102" s="216"/>
      <c r="L102" s="33"/>
      <c r="M102" s="33"/>
      <c r="N102" s="33"/>
      <c r="O102" s="33"/>
      <c r="P102" s="151"/>
      <c r="Q102" s="151"/>
      <c r="R102" s="34"/>
      <c r="S102" s="34"/>
      <c r="T102" s="34"/>
    </row>
    <row r="103" spans="1:20" s="12" customFormat="1" ht="19.149999999999999" customHeight="1" x14ac:dyDescent="0.25">
      <c r="A103" s="168"/>
      <c r="B103" s="26" t="s">
        <v>455</v>
      </c>
      <c r="C103" s="26"/>
      <c r="D103" s="26"/>
      <c r="E103" s="26"/>
      <c r="F103" s="26"/>
      <c r="G103" s="49" t="s">
        <v>533</v>
      </c>
      <c r="H103" s="101">
        <v>0.4</v>
      </c>
      <c r="I103" s="193" t="s">
        <v>0</v>
      </c>
      <c r="K103" s="216"/>
      <c r="L103" s="33"/>
      <c r="M103" s="33"/>
      <c r="N103" s="33"/>
      <c r="O103" s="33"/>
      <c r="P103" s="151"/>
      <c r="Q103" s="151"/>
      <c r="R103" s="34"/>
      <c r="S103" s="34"/>
      <c r="T103" s="34"/>
    </row>
    <row r="104" spans="1:20" s="12" customFormat="1" ht="19.149999999999999" customHeight="1" x14ac:dyDescent="0.25">
      <c r="A104" s="168"/>
      <c r="B104" s="26"/>
      <c r="C104" s="26"/>
      <c r="D104" s="26"/>
      <c r="E104" s="26"/>
      <c r="F104" s="26"/>
      <c r="G104" s="26"/>
      <c r="H104" s="26"/>
      <c r="I104" s="169"/>
      <c r="J104" s="13"/>
      <c r="K104" s="216"/>
      <c r="L104" s="33"/>
      <c r="M104" s="33"/>
      <c r="N104" s="33"/>
      <c r="O104" s="33"/>
      <c r="P104" s="151"/>
      <c r="Q104" s="151"/>
      <c r="R104" s="34"/>
      <c r="S104" s="34"/>
      <c r="T104" s="34"/>
    </row>
    <row r="105" spans="1:20" s="12" customFormat="1" ht="19.149999999999999" customHeight="1" x14ac:dyDescent="0.25">
      <c r="A105" s="168"/>
      <c r="B105" s="26"/>
      <c r="C105" s="26"/>
      <c r="D105" s="26"/>
      <c r="E105" s="26"/>
      <c r="F105" s="26"/>
      <c r="G105" s="26"/>
      <c r="H105" s="26"/>
      <c r="I105" s="169"/>
      <c r="J105" s="13"/>
      <c r="K105" s="216"/>
      <c r="L105" s="33"/>
      <c r="M105" s="33"/>
      <c r="N105" s="33"/>
      <c r="O105" s="33"/>
      <c r="P105" s="151"/>
      <c r="Q105" s="151"/>
      <c r="R105" s="34"/>
      <c r="S105" s="34"/>
      <c r="T105" s="34"/>
    </row>
    <row r="106" spans="1:20" s="12" customFormat="1" ht="19.149999999999999" customHeight="1" x14ac:dyDescent="0.25">
      <c r="A106" s="168"/>
      <c r="B106" s="26"/>
      <c r="C106" s="26"/>
      <c r="D106" s="26"/>
      <c r="E106" s="26"/>
      <c r="F106" s="26"/>
      <c r="G106" s="26"/>
      <c r="H106" s="26"/>
      <c r="I106" s="169"/>
      <c r="J106" s="13"/>
      <c r="K106" s="216"/>
      <c r="L106" s="33"/>
      <c r="M106" s="33"/>
      <c r="N106" s="33"/>
      <c r="O106" s="33"/>
      <c r="P106" s="151"/>
      <c r="Q106" s="151"/>
      <c r="R106" s="34"/>
      <c r="S106" s="34"/>
      <c r="T106" s="34"/>
    </row>
    <row r="107" spans="1:20" s="26" customFormat="1" ht="19.149999999999999" customHeight="1" x14ac:dyDescent="0.25">
      <c r="A107" s="168"/>
      <c r="I107" s="169"/>
      <c r="J107" s="13"/>
      <c r="P107" s="142"/>
      <c r="Q107" s="142"/>
      <c r="R107" s="142"/>
      <c r="S107" s="142"/>
      <c r="T107" s="142"/>
    </row>
    <row r="108" spans="1:20" s="26" customFormat="1" ht="19.149999999999999" customHeight="1" x14ac:dyDescent="0.25">
      <c r="A108" s="168"/>
      <c r="I108" s="169"/>
      <c r="J108" s="13"/>
      <c r="P108" s="142"/>
      <c r="Q108" s="142"/>
      <c r="R108" s="142"/>
      <c r="S108" s="142"/>
      <c r="T108" s="142"/>
    </row>
    <row r="109" spans="1:20" s="26" customFormat="1" ht="19.149999999999999" customHeight="1" x14ac:dyDescent="0.25">
      <c r="A109" s="168"/>
      <c r="I109" s="169"/>
      <c r="J109" s="13"/>
      <c r="P109" s="142"/>
      <c r="Q109" s="142"/>
      <c r="R109" s="142"/>
      <c r="S109" s="142"/>
      <c r="T109" s="142"/>
    </row>
    <row r="110" spans="1:20" s="26" customFormat="1" ht="19.149999999999999" customHeight="1" x14ac:dyDescent="0.25">
      <c r="A110" s="168"/>
      <c r="I110" s="169"/>
      <c r="J110" s="13"/>
      <c r="P110" s="142"/>
      <c r="Q110" s="142"/>
      <c r="R110" s="142"/>
      <c r="S110" s="142"/>
      <c r="T110" s="142"/>
    </row>
    <row r="111" spans="1:20" s="26" customFormat="1" ht="19.149999999999999" customHeight="1" x14ac:dyDescent="0.25">
      <c r="A111" s="168"/>
      <c r="I111" s="169"/>
      <c r="J111" s="13"/>
      <c r="P111" s="142"/>
      <c r="Q111" s="142"/>
      <c r="R111" s="142"/>
      <c r="S111" s="142"/>
      <c r="T111" s="142"/>
    </row>
    <row r="112" spans="1:20" s="26" customFormat="1" ht="19.149999999999999" customHeight="1" x14ac:dyDescent="0.25">
      <c r="A112" s="168"/>
      <c r="I112" s="169"/>
      <c r="J112" s="13"/>
      <c r="P112" s="142"/>
      <c r="Q112" s="142"/>
      <c r="R112" s="142"/>
      <c r="S112" s="142"/>
      <c r="T112" s="142"/>
    </row>
    <row r="113" spans="1:20" s="26" customFormat="1" ht="19.149999999999999" customHeight="1" x14ac:dyDescent="0.25">
      <c r="A113" s="168"/>
      <c r="I113" s="169"/>
      <c r="J113" s="13"/>
      <c r="P113" s="142"/>
      <c r="Q113" s="142"/>
      <c r="R113" s="142"/>
      <c r="S113" s="142"/>
      <c r="T113" s="142"/>
    </row>
    <row r="114" spans="1:20" s="26" customFormat="1" ht="19.149999999999999" customHeight="1" x14ac:dyDescent="0.25">
      <c r="A114" s="168"/>
      <c r="I114" s="169"/>
      <c r="J114" s="13"/>
      <c r="P114" s="142"/>
      <c r="Q114" s="142"/>
      <c r="R114" s="142"/>
      <c r="S114" s="142"/>
      <c r="T114" s="142"/>
    </row>
    <row r="115" spans="1:20" s="26" customFormat="1" ht="19.149999999999999" customHeight="1" x14ac:dyDescent="0.25">
      <c r="A115" s="168"/>
      <c r="I115" s="169"/>
      <c r="J115" s="13"/>
      <c r="P115" s="142"/>
      <c r="Q115" s="142"/>
      <c r="R115" s="142"/>
      <c r="S115" s="142"/>
      <c r="T115" s="142"/>
    </row>
    <row r="116" spans="1:20" s="26" customFormat="1" ht="19.149999999999999" customHeight="1" x14ac:dyDescent="0.25">
      <c r="A116" s="168"/>
      <c r="I116" s="169"/>
      <c r="J116" s="13"/>
      <c r="P116" s="142"/>
      <c r="Q116" s="142"/>
      <c r="R116" s="142"/>
      <c r="S116" s="142"/>
      <c r="T116" s="142"/>
    </row>
    <row r="117" spans="1:20" s="26" customFormat="1" ht="19.149999999999999" customHeight="1" x14ac:dyDescent="0.25">
      <c r="A117" s="168"/>
      <c r="B117" s="49" t="s">
        <v>456</v>
      </c>
      <c r="C117" s="101">
        <f>H101/2</f>
        <v>1.5</v>
      </c>
      <c r="D117" s="26" t="s">
        <v>0</v>
      </c>
      <c r="I117" s="169"/>
      <c r="J117" s="13"/>
      <c r="P117" s="142"/>
      <c r="Q117" s="142"/>
      <c r="R117" s="142"/>
      <c r="S117" s="142"/>
      <c r="T117" s="142"/>
    </row>
    <row r="118" spans="1:20" s="26" customFormat="1" ht="19.149999999999999" customHeight="1" x14ac:dyDescent="0.25">
      <c r="A118" s="168"/>
      <c r="B118" s="49" t="s">
        <v>457</v>
      </c>
      <c r="C118" s="101">
        <f>H102/2</f>
        <v>1.4</v>
      </c>
      <c r="D118" s="26" t="s">
        <v>0</v>
      </c>
      <c r="G118" s="49" t="s">
        <v>458</v>
      </c>
      <c r="H118" s="101">
        <f>MIN(C117:C118)</f>
        <v>1.4</v>
      </c>
      <c r="I118" s="193" t="s">
        <v>0</v>
      </c>
      <c r="P118" s="142"/>
      <c r="Q118" s="142"/>
      <c r="R118" s="142"/>
      <c r="S118" s="142"/>
      <c r="T118" s="142"/>
    </row>
    <row r="119" spans="1:20" s="26" customFormat="1" ht="19.149999999999999" customHeight="1" x14ac:dyDescent="0.25">
      <c r="A119" s="168"/>
      <c r="B119" s="26" t="s">
        <v>460</v>
      </c>
      <c r="G119" s="3" t="s">
        <v>869</v>
      </c>
      <c r="H119" s="101">
        <f>'Input (1)'!C43+'Process (5)'!H118/'Input (1)'!F44*'Input (1)'!C42</f>
        <v>0.98333333333333328</v>
      </c>
      <c r="I119" s="193" t="s">
        <v>0</v>
      </c>
      <c r="P119" s="142"/>
      <c r="Q119" s="142"/>
      <c r="R119" s="142"/>
      <c r="S119" s="142"/>
      <c r="T119" s="142"/>
    </row>
    <row r="120" spans="1:20" s="1" customFormat="1" ht="18.75" customHeight="1" x14ac:dyDescent="0.25">
      <c r="A120" s="168"/>
      <c r="B120" s="2" t="s">
        <v>481</v>
      </c>
      <c r="G120" s="3" t="s">
        <v>482</v>
      </c>
      <c r="H120" s="170">
        <f>H16</f>
        <v>0.1285</v>
      </c>
      <c r="I120" s="171" t="s">
        <v>0</v>
      </c>
    </row>
    <row r="121" spans="1:20" s="26" customFormat="1" ht="19.149999999999999" customHeight="1" x14ac:dyDescent="0.25">
      <c r="A121" s="168"/>
      <c r="B121" s="26" t="s">
        <v>461</v>
      </c>
      <c r="G121" s="49" t="s">
        <v>462</v>
      </c>
      <c r="H121" s="101">
        <f>H119*1000-H120*1000</f>
        <v>854.83333333333326</v>
      </c>
      <c r="I121" s="193" t="s">
        <v>49</v>
      </c>
      <c r="P121" s="142"/>
      <c r="Q121" s="142"/>
      <c r="R121" s="142"/>
      <c r="S121" s="142"/>
      <c r="T121" s="142"/>
    </row>
    <row r="122" spans="1:20" s="26" customFormat="1" ht="19.149999999999999" customHeight="1" x14ac:dyDescent="0.25">
      <c r="A122" s="168"/>
      <c r="B122" s="26" t="s">
        <v>463</v>
      </c>
      <c r="G122" s="49" t="s">
        <v>464</v>
      </c>
      <c r="H122" s="101">
        <f>(2*(H118+H103)+PI()/2*H118)*1000</f>
        <v>5799.1148575128545</v>
      </c>
      <c r="I122" s="193" t="s">
        <v>49</v>
      </c>
      <c r="P122" s="142"/>
      <c r="Q122" s="142"/>
      <c r="R122" s="142"/>
      <c r="S122" s="142"/>
      <c r="T122" s="142"/>
    </row>
    <row r="123" spans="1:20" s="26" customFormat="1" ht="19.149999999999999" customHeight="1" x14ac:dyDescent="0.25">
      <c r="A123" s="168"/>
      <c r="B123" s="26" t="s">
        <v>465</v>
      </c>
      <c r="G123" s="49" t="s">
        <v>466</v>
      </c>
      <c r="H123" s="101">
        <f>H121*H122</f>
        <v>4957276.684030571</v>
      </c>
      <c r="I123" s="193" t="s">
        <v>467</v>
      </c>
      <c r="P123" s="142"/>
      <c r="Q123" s="142"/>
      <c r="R123" s="142"/>
      <c r="S123" s="142"/>
      <c r="T123" s="142"/>
    </row>
    <row r="124" spans="1:20" s="26" customFormat="1" ht="19.149999999999999" customHeight="1" x14ac:dyDescent="0.25">
      <c r="A124" s="168"/>
      <c r="G124" s="49"/>
      <c r="H124" s="255"/>
      <c r="I124" s="193"/>
      <c r="P124" s="142"/>
      <c r="Q124" s="142"/>
      <c r="R124" s="142"/>
      <c r="S124" s="142"/>
      <c r="T124" s="142"/>
    </row>
    <row r="125" spans="1:20" s="1" customFormat="1" ht="18.75" customHeight="1" x14ac:dyDescent="0.25">
      <c r="A125" s="168"/>
      <c r="B125" s="2" t="s">
        <v>526</v>
      </c>
      <c r="C125" s="2"/>
      <c r="D125" s="2"/>
      <c r="E125" s="2"/>
      <c r="F125" s="2"/>
      <c r="G125" s="3" t="s">
        <v>527</v>
      </c>
      <c r="H125" s="170">
        <f>(1+2/H87)*SQRT('Input (1)'!I3)/6</f>
        <v>1.651610409432726</v>
      </c>
      <c r="I125" s="171" t="s">
        <v>7</v>
      </c>
    </row>
    <row r="126" spans="1:20" s="1" customFormat="1" ht="18.75" customHeight="1" x14ac:dyDescent="0.25">
      <c r="A126" s="168"/>
      <c r="B126" s="2"/>
      <c r="C126" s="2"/>
      <c r="D126" s="2"/>
      <c r="E126" s="2"/>
      <c r="F126" s="2"/>
      <c r="G126" s="3" t="s">
        <v>606</v>
      </c>
      <c r="H126" s="170">
        <f>(40*H121/H122+2)*SQRT('Input (1)'!I3)/12</f>
        <v>3.6041523349195992</v>
      </c>
      <c r="I126" s="171" t="s">
        <v>7</v>
      </c>
    </row>
    <row r="127" spans="1:20" s="1" customFormat="1" ht="18.75" customHeight="1" x14ac:dyDescent="0.25">
      <c r="A127" s="168"/>
      <c r="B127" s="2"/>
      <c r="C127" s="2"/>
      <c r="D127" s="2"/>
      <c r="E127" s="2"/>
      <c r="F127" s="2"/>
      <c r="G127" s="3" t="s">
        <v>528</v>
      </c>
      <c r="H127" s="170">
        <f>1/3*SQRT('Input (1)'!I3)</f>
        <v>1.8257418583505536</v>
      </c>
      <c r="I127" s="171" t="s">
        <v>7</v>
      </c>
    </row>
    <row r="128" spans="1:20" s="12" customFormat="1" ht="19.149999999999999" customHeight="1" x14ac:dyDescent="0.25">
      <c r="A128" s="168"/>
      <c r="B128" s="2" t="s">
        <v>529</v>
      </c>
      <c r="C128" s="26"/>
      <c r="D128" s="26"/>
      <c r="E128" s="26"/>
      <c r="F128" s="26"/>
      <c r="G128" s="49" t="s">
        <v>532</v>
      </c>
      <c r="H128" s="102">
        <f>MIN(H125:H127)</f>
        <v>1.651610409432726</v>
      </c>
      <c r="I128" s="193" t="s">
        <v>7</v>
      </c>
      <c r="K128" s="216"/>
      <c r="L128" s="33"/>
      <c r="M128" s="33"/>
      <c r="N128" s="33"/>
      <c r="P128" s="34"/>
      <c r="Q128" s="34"/>
      <c r="R128" s="34"/>
      <c r="S128" s="34"/>
      <c r="T128" s="34"/>
    </row>
    <row r="129" spans="1:20" s="12" customFormat="1" ht="19.149999999999999" customHeight="1" x14ac:dyDescent="0.25">
      <c r="A129" s="168"/>
      <c r="B129" s="26" t="s">
        <v>450</v>
      </c>
      <c r="C129" s="26"/>
      <c r="D129" s="26"/>
      <c r="E129" s="26"/>
      <c r="F129" s="26"/>
      <c r="G129" s="49" t="s">
        <v>451</v>
      </c>
      <c r="H129" s="101">
        <v>0.75</v>
      </c>
      <c r="I129" s="193"/>
      <c r="K129" s="216"/>
      <c r="L129" s="33"/>
      <c r="M129" s="33"/>
      <c r="N129" s="33"/>
      <c r="P129" s="34"/>
      <c r="Q129" s="34"/>
      <c r="R129" s="34"/>
      <c r="S129" s="34"/>
      <c r="T129" s="34"/>
    </row>
    <row r="130" spans="1:20" s="26" customFormat="1" ht="19.149999999999999" customHeight="1" x14ac:dyDescent="0.25">
      <c r="A130" s="168"/>
      <c r="B130" s="26" t="s">
        <v>468</v>
      </c>
      <c r="G130" s="49" t="s">
        <v>534</v>
      </c>
      <c r="H130" s="101">
        <f>H123*H128/1000</f>
        <v>8187.4897737830379</v>
      </c>
      <c r="I130" s="193" t="s">
        <v>115</v>
      </c>
      <c r="P130" s="142"/>
      <c r="Q130" s="142"/>
      <c r="R130" s="142"/>
      <c r="S130" s="142"/>
      <c r="T130" s="142"/>
    </row>
    <row r="131" spans="1:20" s="26" customFormat="1" ht="19.149999999999999" customHeight="1" x14ac:dyDescent="0.25">
      <c r="A131" s="168"/>
      <c r="B131" s="26" t="s">
        <v>469</v>
      </c>
      <c r="G131" s="49" t="s">
        <v>470</v>
      </c>
      <c r="H131" s="102">
        <f>H129*H130</f>
        <v>6140.617330337278</v>
      </c>
      <c r="I131" s="193" t="s">
        <v>115</v>
      </c>
      <c r="P131" s="142"/>
      <c r="Q131" s="142"/>
      <c r="R131" s="142"/>
      <c r="S131" s="142"/>
      <c r="T131" s="142"/>
    </row>
    <row r="132" spans="1:20" s="26" customFormat="1" ht="19.149999999999999" customHeight="1" x14ac:dyDescent="0.25">
      <c r="A132" s="168"/>
      <c r="B132" s="26" t="s">
        <v>471</v>
      </c>
      <c r="G132" s="49" t="s">
        <v>399</v>
      </c>
      <c r="H132" s="102">
        <f>MAX('Process (2)'!E140,'Process (2)'!E150,'Process (2)'!E160)</f>
        <v>1950.0391695758058</v>
      </c>
      <c r="I132" s="193" t="s">
        <v>115</v>
      </c>
      <c r="P132" s="142"/>
      <c r="Q132" s="142"/>
      <c r="R132" s="142"/>
      <c r="S132" s="142"/>
      <c r="T132" s="142"/>
    </row>
    <row r="133" spans="1:20" s="26" customFormat="1" ht="19.149999999999999" customHeight="1" x14ac:dyDescent="0.25">
      <c r="A133" s="168"/>
      <c r="B133" s="12" t="s">
        <v>535</v>
      </c>
      <c r="C133" s="12"/>
      <c r="D133" s="12"/>
      <c r="E133" s="12"/>
      <c r="F133" s="12"/>
      <c r="G133" s="31"/>
      <c r="H133" s="149"/>
      <c r="I133" s="217"/>
      <c r="J133" s="13"/>
      <c r="P133" s="142"/>
      <c r="Q133" s="142"/>
      <c r="R133" s="142"/>
      <c r="S133" s="142"/>
      <c r="T133" s="142"/>
    </row>
    <row r="134" spans="1:20" s="26" customFormat="1" ht="19.149999999999999" customHeight="1" x14ac:dyDescent="0.25">
      <c r="A134" s="168"/>
      <c r="C134" s="146" t="s">
        <v>334</v>
      </c>
      <c r="D134" s="218" t="s">
        <v>473</v>
      </c>
      <c r="E134" s="28" t="s">
        <v>340</v>
      </c>
      <c r="F134" s="218" t="s">
        <v>472</v>
      </c>
      <c r="G134" s="31"/>
      <c r="H134" s="149"/>
      <c r="I134" s="169"/>
      <c r="J134" s="13"/>
      <c r="P134" s="142"/>
      <c r="Q134" s="142"/>
      <c r="R134" s="142"/>
      <c r="S134" s="142"/>
      <c r="T134" s="142"/>
    </row>
    <row r="135" spans="1:20" s="26" customFormat="1" ht="19.149999999999999" customHeight="1" x14ac:dyDescent="0.25">
      <c r="A135" s="168"/>
      <c r="B135" s="12"/>
      <c r="C135" s="12"/>
      <c r="D135" s="155">
        <f>H131</f>
        <v>6140.617330337278</v>
      </c>
      <c r="E135" s="149" t="str">
        <f>IF(D135&gt;F135,"&gt;","&lt;")</f>
        <v>&gt;</v>
      </c>
      <c r="F135" s="155">
        <f>H132</f>
        <v>1950.0391695758058</v>
      </c>
      <c r="G135" s="28" t="s">
        <v>338</v>
      </c>
      <c r="H135" s="25" t="str">
        <f>IF(D135&gt;F135,"[ OK ]","[ NOT OK ]")</f>
        <v>[ OK ]</v>
      </c>
      <c r="I135" s="169"/>
      <c r="J135" s="13"/>
      <c r="P135" s="142"/>
      <c r="Q135" s="142"/>
      <c r="R135" s="142"/>
      <c r="S135" s="142"/>
      <c r="T135" s="142"/>
    </row>
    <row r="136" spans="1:20" s="1" customFormat="1" ht="18.75" customHeight="1" x14ac:dyDescent="0.25">
      <c r="A136" s="168"/>
      <c r="B136" s="2"/>
      <c r="C136" s="2"/>
      <c r="D136" s="2"/>
      <c r="E136" s="2"/>
      <c r="F136" s="2"/>
      <c r="G136" s="2"/>
      <c r="H136" s="2"/>
      <c r="I136" s="211"/>
    </row>
    <row r="137" spans="1:20" s="1" customFormat="1" ht="18.75" customHeight="1" x14ac:dyDescent="0.25">
      <c r="A137" s="168"/>
      <c r="B137" s="2"/>
      <c r="C137" s="2"/>
      <c r="D137" s="2"/>
      <c r="E137" s="2"/>
      <c r="F137" s="2"/>
      <c r="G137" s="2"/>
      <c r="H137" s="2"/>
      <c r="I137" s="211"/>
    </row>
    <row r="138" spans="1:20" s="1" customFormat="1" ht="18.75" customHeight="1" x14ac:dyDescent="0.25">
      <c r="A138" s="161" t="s">
        <v>856</v>
      </c>
      <c r="B138" s="199" t="s">
        <v>536</v>
      </c>
      <c r="C138" s="200"/>
      <c r="D138" s="200"/>
      <c r="E138" s="200"/>
      <c r="F138" s="200"/>
      <c r="G138" s="200"/>
      <c r="H138" s="200"/>
      <c r="I138" s="205"/>
    </row>
    <row r="139" spans="1:20" s="1" customFormat="1" ht="18.75" customHeight="1" x14ac:dyDescent="0.25">
      <c r="A139" s="165"/>
      <c r="B139" s="206" t="s">
        <v>538</v>
      </c>
      <c r="C139" s="207"/>
      <c r="D139" s="207"/>
      <c r="E139" s="207"/>
      <c r="F139" s="207"/>
      <c r="G139" s="207"/>
      <c r="H139" s="207"/>
      <c r="I139" s="208"/>
    </row>
    <row r="140" spans="1:20" s="1" customFormat="1" ht="18.75" customHeight="1" x14ac:dyDescent="0.25">
      <c r="A140" s="168"/>
      <c r="B140" s="2" t="s">
        <v>539</v>
      </c>
      <c r="C140" s="2"/>
      <c r="D140" s="2"/>
      <c r="E140" s="2"/>
      <c r="F140" s="2"/>
      <c r="G140" s="3" t="s">
        <v>540</v>
      </c>
      <c r="H140" s="170">
        <f>H79</f>
        <v>554.34645917025705</v>
      </c>
      <c r="I140" s="171" t="s">
        <v>417</v>
      </c>
    </row>
    <row r="141" spans="1:20" s="1" customFormat="1" ht="18.75" customHeight="1" x14ac:dyDescent="0.25">
      <c r="A141" s="168"/>
      <c r="B141" s="2" t="s">
        <v>541</v>
      </c>
      <c r="C141" s="2"/>
      <c r="D141" s="2"/>
      <c r="G141" s="3" t="s">
        <v>243</v>
      </c>
      <c r="H141" s="67">
        <v>1000</v>
      </c>
      <c r="I141" s="171" t="s">
        <v>49</v>
      </c>
    </row>
    <row r="142" spans="1:20" s="1" customFormat="1" ht="18.75" customHeight="1" x14ac:dyDescent="0.25">
      <c r="A142" s="168"/>
      <c r="B142" s="2" t="s">
        <v>253</v>
      </c>
      <c r="C142" s="2"/>
      <c r="D142" s="2"/>
      <c r="G142" s="3" t="s">
        <v>613</v>
      </c>
      <c r="H142" s="67">
        <f>'Input (1)'!C43*1000</f>
        <v>750</v>
      </c>
      <c r="I142" s="171" t="s">
        <v>49</v>
      </c>
    </row>
    <row r="143" spans="1:20" s="1" customFormat="1" ht="18.75" customHeight="1" x14ac:dyDescent="0.25">
      <c r="A143" s="168"/>
      <c r="B143" s="2" t="s">
        <v>542</v>
      </c>
      <c r="C143" s="2"/>
      <c r="D143" s="2"/>
      <c r="G143" s="3" t="s">
        <v>482</v>
      </c>
      <c r="H143" s="209">
        <f>H120*1000</f>
        <v>128.5</v>
      </c>
      <c r="I143" s="171" t="s">
        <v>49</v>
      </c>
    </row>
    <row r="144" spans="1:20" s="1" customFormat="1" ht="18.75" customHeight="1" x14ac:dyDescent="0.25">
      <c r="A144" s="168"/>
      <c r="B144" s="2" t="s">
        <v>543</v>
      </c>
      <c r="C144" s="2"/>
      <c r="D144" s="2"/>
      <c r="G144" s="3" t="s">
        <v>484</v>
      </c>
      <c r="H144" s="209">
        <f>H142-H143</f>
        <v>621.5</v>
      </c>
      <c r="I144" s="171" t="s">
        <v>49</v>
      </c>
    </row>
    <row r="145" spans="1:15" s="1" customFormat="1" ht="18.75" customHeight="1" x14ac:dyDescent="0.25">
      <c r="A145" s="168"/>
      <c r="B145" s="2" t="s">
        <v>544</v>
      </c>
      <c r="C145" s="2"/>
      <c r="D145" s="2"/>
      <c r="G145" s="219" t="s">
        <v>545</v>
      </c>
      <c r="H145" s="209">
        <f>'Input (1)'!I3</f>
        <v>30</v>
      </c>
      <c r="I145" s="171" t="s">
        <v>7</v>
      </c>
    </row>
    <row r="146" spans="1:15" s="1" customFormat="1" ht="18.75" customHeight="1" x14ac:dyDescent="0.25">
      <c r="A146" s="168"/>
      <c r="B146" s="2" t="s">
        <v>546</v>
      </c>
      <c r="C146" s="2"/>
      <c r="D146" s="2"/>
      <c r="G146" s="3" t="s">
        <v>447</v>
      </c>
      <c r="H146" s="209">
        <f>'Input (1)'!I4</f>
        <v>400</v>
      </c>
      <c r="I146" s="171" t="s">
        <v>7</v>
      </c>
    </row>
    <row r="147" spans="1:15" s="1" customFormat="1" ht="18.75" customHeight="1" x14ac:dyDescent="0.25">
      <c r="A147" s="168"/>
      <c r="B147" s="220" t="s">
        <v>9</v>
      </c>
      <c r="C147" s="2"/>
      <c r="D147" s="2"/>
      <c r="G147" s="3" t="s">
        <v>547</v>
      </c>
      <c r="H147" s="221">
        <v>200000</v>
      </c>
      <c r="I147" s="171" t="s">
        <v>7</v>
      </c>
    </row>
    <row r="148" spans="1:15" s="12" customFormat="1" ht="18.75" customHeight="1" x14ac:dyDescent="0.25">
      <c r="A148" s="222"/>
      <c r="B148" s="12" t="s">
        <v>548</v>
      </c>
      <c r="G148" s="31" t="s">
        <v>549</v>
      </c>
      <c r="H148" s="153" t="str">
        <f>IF(H145&gt;=17,IF(H145&lt;=28,0.85,"-"),"-")</f>
        <v>-</v>
      </c>
      <c r="I148" s="223"/>
      <c r="J148" s="33"/>
      <c r="K148" s="33"/>
      <c r="L148" s="33"/>
      <c r="M148" s="33"/>
      <c r="N148" s="33"/>
      <c r="O148" s="33"/>
    </row>
    <row r="149" spans="1:15" s="12" customFormat="1" ht="18.75" customHeight="1" x14ac:dyDescent="0.25">
      <c r="A149" s="222"/>
      <c r="B149" s="12" t="s">
        <v>550</v>
      </c>
      <c r="G149" s="31" t="s">
        <v>551</v>
      </c>
      <c r="H149" s="154">
        <f>IF(H145&gt;28,IF(H145&lt;55,0.85-0.05*(H145-28)/7,"-"),"-")</f>
        <v>0.83571428571428574</v>
      </c>
      <c r="I149" s="223"/>
      <c r="J149" s="33"/>
      <c r="K149" s="33"/>
      <c r="L149" s="33"/>
      <c r="M149" s="33"/>
      <c r="N149" s="33"/>
      <c r="O149" s="33"/>
    </row>
    <row r="150" spans="1:15" s="12" customFormat="1" ht="18.75" customHeight="1" x14ac:dyDescent="0.25">
      <c r="A150" s="222"/>
      <c r="B150" s="12" t="s">
        <v>552</v>
      </c>
      <c r="G150" s="31" t="s">
        <v>549</v>
      </c>
      <c r="H150" s="154" t="str">
        <f>IF(H145&gt;=55,0.65,"-")</f>
        <v>-</v>
      </c>
      <c r="I150" s="223"/>
      <c r="J150" s="33"/>
      <c r="K150" s="33"/>
      <c r="L150" s="33"/>
      <c r="M150" s="33"/>
      <c r="N150" s="33"/>
      <c r="O150" s="33"/>
    </row>
    <row r="151" spans="1:15" s="12" customFormat="1" ht="18.75" customHeight="1" x14ac:dyDescent="0.25">
      <c r="A151" s="222"/>
      <c r="B151" s="12" t="s">
        <v>427</v>
      </c>
      <c r="F151" s="29" t="s">
        <v>338</v>
      </c>
      <c r="G151" s="31" t="s">
        <v>549</v>
      </c>
      <c r="H151" s="154">
        <f>MAX(H148:H150)</f>
        <v>0.83571428571428574</v>
      </c>
      <c r="I151" s="223"/>
      <c r="J151" s="33"/>
      <c r="K151" s="33"/>
      <c r="L151" s="33"/>
      <c r="M151" s="33"/>
      <c r="N151" s="33"/>
      <c r="O151" s="33"/>
    </row>
    <row r="152" spans="1:15" s="12" customFormat="1" ht="18.75" customHeight="1" x14ac:dyDescent="0.25">
      <c r="A152" s="222"/>
      <c r="B152" s="12" t="s">
        <v>428</v>
      </c>
      <c r="F152" s="29"/>
      <c r="G152" s="31"/>
      <c r="H152" s="28"/>
      <c r="I152" s="223"/>
      <c r="J152" s="33"/>
      <c r="K152" s="33"/>
      <c r="L152" s="33"/>
      <c r="M152" s="33"/>
      <c r="N152" s="33"/>
      <c r="O152" s="33"/>
    </row>
    <row r="153" spans="1:15" s="12" customFormat="1" ht="18.75" customHeight="1" x14ac:dyDescent="0.25">
      <c r="A153" s="222"/>
      <c r="C153" s="147"/>
      <c r="G153" s="31" t="s">
        <v>429</v>
      </c>
      <c r="H153" s="224">
        <f>H151*0.85*H145/H146*(600/(600+H146))</f>
        <v>3.1966071428571427E-2</v>
      </c>
      <c r="I153" s="223"/>
      <c r="J153" s="33"/>
      <c r="K153" s="33"/>
      <c r="L153" s="33"/>
      <c r="M153" s="33"/>
      <c r="N153" s="33"/>
      <c r="O153" s="33"/>
    </row>
    <row r="154" spans="1:15" s="12" customFormat="1" ht="18.75" customHeight="1" x14ac:dyDescent="0.25">
      <c r="A154" s="222"/>
      <c r="B154" s="12" t="s">
        <v>430</v>
      </c>
      <c r="D154" s="148"/>
      <c r="E154" s="28"/>
      <c r="F154" s="146"/>
      <c r="G154" s="31" t="s">
        <v>431</v>
      </c>
      <c r="H154" s="224">
        <f>0.75*H153</f>
        <v>2.397455357142857E-2</v>
      </c>
      <c r="I154" s="223"/>
      <c r="J154" s="33"/>
      <c r="K154" s="33"/>
      <c r="L154" s="33"/>
      <c r="M154" s="33"/>
      <c r="N154" s="33"/>
      <c r="O154" s="33"/>
    </row>
    <row r="155" spans="1:15" s="12" customFormat="1" ht="18.75" customHeight="1" x14ac:dyDescent="0.25">
      <c r="A155" s="222"/>
      <c r="B155" s="12" t="s">
        <v>432</v>
      </c>
      <c r="E155" s="146"/>
      <c r="G155" s="3" t="s">
        <v>594</v>
      </c>
      <c r="H155" s="224">
        <v>2E-3</v>
      </c>
      <c r="I155" s="223"/>
      <c r="J155" s="33"/>
      <c r="K155" s="33"/>
      <c r="L155" s="33"/>
      <c r="M155" s="33"/>
      <c r="N155" s="33"/>
      <c r="O155" s="33"/>
    </row>
    <row r="156" spans="1:15" s="12" customFormat="1" ht="18.75" customHeight="1" x14ac:dyDescent="0.25">
      <c r="A156" s="222"/>
      <c r="G156" s="31"/>
      <c r="H156" s="225"/>
      <c r="I156" s="223"/>
      <c r="J156" s="33"/>
      <c r="K156" s="33"/>
      <c r="L156" s="33"/>
      <c r="M156" s="33"/>
      <c r="N156" s="33"/>
      <c r="O156" s="33"/>
    </row>
    <row r="157" spans="1:15" s="12" customFormat="1" ht="18.75" customHeight="1" x14ac:dyDescent="0.25">
      <c r="A157" s="222"/>
      <c r="B157" s="12" t="s">
        <v>553</v>
      </c>
      <c r="F157" s="31"/>
      <c r="G157" s="31" t="s">
        <v>554</v>
      </c>
      <c r="H157" s="155">
        <v>0.85</v>
      </c>
      <c r="I157" s="223"/>
      <c r="J157" s="33"/>
      <c r="K157" s="33"/>
      <c r="L157" s="33"/>
      <c r="M157" s="33"/>
      <c r="N157" s="33"/>
      <c r="O157" s="33"/>
    </row>
    <row r="158" spans="1:15" s="12" customFormat="1" ht="18.75" customHeight="1" x14ac:dyDescent="0.25">
      <c r="A158" s="222"/>
      <c r="B158" s="12" t="s">
        <v>555</v>
      </c>
      <c r="F158" s="31"/>
      <c r="G158" s="31" t="s">
        <v>556</v>
      </c>
      <c r="H158" s="154">
        <f>H140/H157</f>
        <v>652.17230490618476</v>
      </c>
      <c r="I158" s="223" t="s">
        <v>145</v>
      </c>
      <c r="J158" s="33"/>
      <c r="K158" s="33"/>
      <c r="L158" s="33"/>
      <c r="M158" s="33"/>
      <c r="N158" s="33"/>
      <c r="O158" s="33"/>
    </row>
    <row r="159" spans="1:15" s="12" customFormat="1" ht="18.75" customHeight="1" x14ac:dyDescent="0.25">
      <c r="A159" s="222"/>
      <c r="B159" s="12" t="s">
        <v>557</v>
      </c>
      <c r="C159" s="147"/>
      <c r="G159" s="226" t="s">
        <v>558</v>
      </c>
      <c r="H159" s="154">
        <f>H158*10^6/(H141*H144^2)</f>
        <v>1.6884184382661904</v>
      </c>
      <c r="I159" s="227"/>
      <c r="J159" s="33"/>
      <c r="K159" s="33"/>
      <c r="L159" s="33"/>
      <c r="M159" s="33"/>
      <c r="N159" s="33"/>
      <c r="O159" s="33"/>
    </row>
    <row r="160" spans="1:15" s="12" customFormat="1" ht="18.75" customHeight="1" x14ac:dyDescent="0.25">
      <c r="A160" s="222"/>
      <c r="B160" s="12" t="s">
        <v>559</v>
      </c>
      <c r="G160" s="31" t="s">
        <v>560</v>
      </c>
      <c r="H160" s="154">
        <f>H146/(0.85*H145)</f>
        <v>15.686274509803921</v>
      </c>
      <c r="I160" s="228"/>
      <c r="J160" s="33"/>
      <c r="K160" s="33"/>
      <c r="L160" s="33"/>
      <c r="M160" s="33"/>
      <c r="N160" s="33"/>
      <c r="O160" s="33"/>
    </row>
    <row r="161" spans="1:15" s="12" customFormat="1" ht="18.75" customHeight="1" x14ac:dyDescent="0.25">
      <c r="A161" s="222"/>
      <c r="B161" s="12" t="s">
        <v>561</v>
      </c>
      <c r="C161" s="147"/>
      <c r="G161" s="226" t="s">
        <v>562</v>
      </c>
      <c r="H161" s="224">
        <f>1/H160*(1-(1-2*H160*H159/H146)^0.5)</f>
        <v>4.3708864767867065E-3</v>
      </c>
      <c r="I161" s="227"/>
      <c r="J161" s="33"/>
      <c r="K161" s="33"/>
      <c r="L161" s="33"/>
      <c r="M161" s="33"/>
      <c r="N161" s="33"/>
      <c r="O161" s="33"/>
    </row>
    <row r="162" spans="1:15" s="12" customFormat="1" ht="18.75" customHeight="1" x14ac:dyDescent="0.25">
      <c r="A162" s="222"/>
      <c r="B162" s="12" t="s">
        <v>434</v>
      </c>
      <c r="G162" s="149"/>
      <c r="H162" s="32"/>
      <c r="I162" s="229"/>
      <c r="J162" s="33"/>
      <c r="K162" s="33"/>
      <c r="L162" s="33"/>
      <c r="M162" s="33"/>
      <c r="N162" s="33"/>
      <c r="O162" s="33"/>
    </row>
    <row r="163" spans="1:15" s="12" customFormat="1" ht="18.75" customHeight="1" x14ac:dyDescent="0.25">
      <c r="A163" s="222"/>
      <c r="C163" s="12" t="s">
        <v>334</v>
      </c>
      <c r="D163" s="28" t="s">
        <v>435</v>
      </c>
      <c r="E163" s="28" t="s">
        <v>436</v>
      </c>
      <c r="F163" s="28" t="s">
        <v>437</v>
      </c>
      <c r="G163" s="31"/>
      <c r="H163" s="149"/>
      <c r="I163" s="230"/>
      <c r="J163" s="33"/>
      <c r="K163" s="33"/>
      <c r="L163" s="33"/>
      <c r="M163" s="33"/>
      <c r="N163" s="33"/>
      <c r="O163" s="33"/>
    </row>
    <row r="164" spans="1:15" s="12" customFormat="1" ht="18.75" customHeight="1" x14ac:dyDescent="0.25">
      <c r="A164" s="222"/>
      <c r="D164" s="149">
        <f>H155</f>
        <v>2E-3</v>
      </c>
      <c r="E164" s="149">
        <f>H161</f>
        <v>4.3708864767867065E-3</v>
      </c>
      <c r="F164" s="149">
        <f>H154</f>
        <v>2.397455357142857E-2</v>
      </c>
      <c r="G164" s="29" t="s">
        <v>338</v>
      </c>
      <c r="H164" s="156" t="str">
        <f>IF(D164&lt;E164,(IF(E164&lt;F164,"[ OK ]","[ NOT OK ]")),"[ Pakai ρmin ]")</f>
        <v>[ OK ]</v>
      </c>
      <c r="I164" s="230"/>
      <c r="J164" s="33"/>
      <c r="K164" s="33"/>
      <c r="L164" s="33"/>
      <c r="M164" s="33"/>
      <c r="N164" s="33"/>
      <c r="O164" s="33"/>
    </row>
    <row r="165" spans="1:15" s="12" customFormat="1" ht="18.75" customHeight="1" x14ac:dyDescent="0.25">
      <c r="A165" s="222"/>
      <c r="G165" s="31"/>
      <c r="H165" s="28"/>
      <c r="I165" s="229"/>
      <c r="J165" s="33"/>
      <c r="K165" s="33"/>
      <c r="L165" s="33"/>
      <c r="M165" s="33"/>
      <c r="N165" s="33"/>
      <c r="O165" s="33"/>
    </row>
    <row r="166" spans="1:15" s="12" customFormat="1" ht="18.75" customHeight="1" x14ac:dyDescent="0.25">
      <c r="A166" s="222"/>
      <c r="B166" s="12" t="s">
        <v>563</v>
      </c>
      <c r="G166" s="31" t="s">
        <v>564</v>
      </c>
      <c r="H166" s="224">
        <f>IF(D164&lt;E164,(IF(E164&lt;F164,E164,"[ NOT OK ]")),D164)</f>
        <v>4.3708864767867065E-3</v>
      </c>
      <c r="I166" s="228"/>
      <c r="J166" s="33"/>
      <c r="K166" s="33"/>
      <c r="L166" s="33"/>
      <c r="M166" s="33"/>
      <c r="N166" s="33"/>
      <c r="O166" s="33"/>
    </row>
    <row r="167" spans="1:15" s="12" customFormat="1" ht="18.75" customHeight="1" x14ac:dyDescent="0.25">
      <c r="A167" s="222"/>
      <c r="D167" s="149"/>
      <c r="E167" s="149"/>
      <c r="F167" s="149"/>
      <c r="G167" s="156"/>
      <c r="H167" s="32"/>
      <c r="I167" s="229"/>
      <c r="J167" s="33"/>
      <c r="K167" s="33"/>
      <c r="L167" s="33"/>
      <c r="M167" s="33"/>
      <c r="N167" s="33"/>
      <c r="O167" s="33"/>
    </row>
    <row r="168" spans="1:15" s="12" customFormat="1" ht="18.75" customHeight="1" x14ac:dyDescent="0.25">
      <c r="A168" s="222"/>
      <c r="B168" s="12" t="s">
        <v>438</v>
      </c>
      <c r="G168" s="31" t="s">
        <v>565</v>
      </c>
      <c r="H168" s="231">
        <f>H166*H141*H144</f>
        <v>2716.5059453229383</v>
      </c>
      <c r="I168" s="223" t="s">
        <v>439</v>
      </c>
    </row>
    <row r="169" spans="1:15" s="12" customFormat="1" ht="18.75" customHeight="1" x14ac:dyDescent="0.25">
      <c r="A169" s="222"/>
      <c r="B169" s="12" t="s">
        <v>440</v>
      </c>
      <c r="G169" s="31" t="s">
        <v>566</v>
      </c>
      <c r="H169" s="157">
        <f>PI()/4*'Input (1)'!I20^2*H141/H168</f>
        <v>104.37258106305116</v>
      </c>
      <c r="I169" s="223" t="s">
        <v>49</v>
      </c>
    </row>
    <row r="170" spans="1:15" s="12" customFormat="1" ht="18.75" customHeight="1" x14ac:dyDescent="0.25">
      <c r="A170" s="222"/>
      <c r="B170" s="12" t="s">
        <v>441</v>
      </c>
      <c r="G170" s="31" t="s">
        <v>567</v>
      </c>
      <c r="H170" s="157">
        <f>3*H142</f>
        <v>2250</v>
      </c>
      <c r="I170" s="223" t="s">
        <v>49</v>
      </c>
    </row>
    <row r="171" spans="1:15" s="12" customFormat="1" ht="18.75" customHeight="1" x14ac:dyDescent="0.25">
      <c r="A171" s="222"/>
      <c r="B171" s="12" t="s">
        <v>441</v>
      </c>
      <c r="G171" s="31" t="s">
        <v>442</v>
      </c>
      <c r="H171" s="157">
        <v>450</v>
      </c>
      <c r="I171" s="223" t="s">
        <v>49</v>
      </c>
    </row>
    <row r="172" spans="1:15" s="12" customFormat="1" ht="18.75" customHeight="1" x14ac:dyDescent="0.25">
      <c r="A172" s="222"/>
      <c r="B172" s="12" t="s">
        <v>443</v>
      </c>
      <c r="G172" s="31" t="s">
        <v>245</v>
      </c>
      <c r="H172" s="157">
        <f>MIN(H169:H171)</f>
        <v>104.37258106305116</v>
      </c>
      <c r="I172" s="223" t="s">
        <v>49</v>
      </c>
    </row>
    <row r="173" spans="1:15" s="12" customFormat="1" ht="18.75" customHeight="1" x14ac:dyDescent="0.25">
      <c r="A173" s="222"/>
      <c r="B173" s="12" t="s">
        <v>444</v>
      </c>
      <c r="G173" s="31" t="s">
        <v>245</v>
      </c>
      <c r="H173" s="232">
        <f>ROUNDDOWN(H172/25,0)*25</f>
        <v>100</v>
      </c>
      <c r="I173" s="223" t="s">
        <v>49</v>
      </c>
    </row>
    <row r="174" spans="1:15" s="12" customFormat="1" ht="18.75" customHeight="1" x14ac:dyDescent="0.25">
      <c r="A174" s="222"/>
      <c r="B174" s="12" t="s">
        <v>445</v>
      </c>
      <c r="G174" s="233">
        <f>'Input (1)'!I20</f>
        <v>19</v>
      </c>
      <c r="H174" s="234">
        <f>H173</f>
        <v>100</v>
      </c>
      <c r="I174" s="223"/>
    </row>
    <row r="175" spans="1:15" s="12" customFormat="1" ht="18.75" customHeight="1" x14ac:dyDescent="0.25">
      <c r="A175" s="222"/>
      <c r="B175" s="12" t="s">
        <v>568</v>
      </c>
      <c r="G175" s="31" t="s">
        <v>569</v>
      </c>
      <c r="H175" s="235">
        <f>PI()/4*G174^2*H141/H174</f>
        <v>2835.2873698647877</v>
      </c>
      <c r="I175" s="223" t="s">
        <v>439</v>
      </c>
    </row>
    <row r="176" spans="1:15" s="12" customFormat="1" ht="18.75" customHeight="1" x14ac:dyDescent="0.25">
      <c r="A176" s="222"/>
      <c r="I176" s="223"/>
    </row>
    <row r="177" spans="1:15" s="12" customFormat="1" ht="18.75" customHeight="1" x14ac:dyDescent="0.25">
      <c r="A177" s="222"/>
      <c r="B177" s="12" t="s">
        <v>570</v>
      </c>
      <c r="G177" s="31" t="s">
        <v>571</v>
      </c>
      <c r="H177" s="154">
        <f>H175*H146/1000</f>
        <v>1134.1149479459152</v>
      </c>
      <c r="I177" s="236" t="s">
        <v>115</v>
      </c>
      <c r="J177" s="33"/>
      <c r="K177" s="33"/>
      <c r="L177" s="33"/>
      <c r="M177" s="33"/>
      <c r="N177" s="33"/>
      <c r="O177" s="33"/>
    </row>
    <row r="178" spans="1:15" s="12" customFormat="1" ht="18.75" customHeight="1" x14ac:dyDescent="0.25">
      <c r="A178" s="222"/>
      <c r="B178" s="12" t="s">
        <v>572</v>
      </c>
      <c r="F178" s="28"/>
      <c r="G178" s="31" t="s">
        <v>573</v>
      </c>
      <c r="H178" s="237">
        <f>0.85*H145*H151*H141/1000</f>
        <v>21.310714285714287</v>
      </c>
      <c r="I178" s="223" t="s">
        <v>115</v>
      </c>
      <c r="J178" s="33"/>
      <c r="K178" s="33"/>
      <c r="L178" s="33"/>
      <c r="M178" s="33"/>
      <c r="N178" s="33"/>
      <c r="O178" s="33"/>
    </row>
    <row r="179" spans="1:15" s="12" customFormat="1" ht="18.75" customHeight="1" x14ac:dyDescent="0.25">
      <c r="A179" s="222"/>
      <c r="B179" s="146"/>
      <c r="C179" s="147"/>
      <c r="D179" s="28"/>
      <c r="F179" s="238"/>
      <c r="I179" s="230"/>
      <c r="J179" s="33"/>
      <c r="K179" s="33"/>
      <c r="L179" s="33"/>
      <c r="M179" s="33"/>
      <c r="N179" s="33"/>
      <c r="O179" s="33"/>
    </row>
    <row r="180" spans="1:15" s="12" customFormat="1" ht="18.75" customHeight="1" x14ac:dyDescent="0.25">
      <c r="A180" s="222"/>
      <c r="B180" s="146" t="s">
        <v>574</v>
      </c>
      <c r="G180" s="31" t="s">
        <v>575</v>
      </c>
      <c r="H180" s="146" t="s">
        <v>576</v>
      </c>
      <c r="I180" s="230"/>
      <c r="J180" s="239"/>
      <c r="K180" s="33"/>
      <c r="L180" s="33"/>
      <c r="M180" s="33"/>
      <c r="N180" s="33"/>
      <c r="O180" s="33"/>
    </row>
    <row r="181" spans="1:15" s="12" customFormat="1" ht="18.75" customHeight="1" x14ac:dyDescent="0.25">
      <c r="A181" s="222"/>
      <c r="B181" s="146"/>
      <c r="G181" s="240">
        <f>H178</f>
        <v>21.310714285714287</v>
      </c>
      <c r="H181" s="152">
        <f>H177</f>
        <v>1134.1149479459152</v>
      </c>
      <c r="I181" s="230"/>
      <c r="J181" s="241"/>
      <c r="K181" s="33"/>
      <c r="L181" s="33"/>
      <c r="M181" s="33"/>
      <c r="N181" s="33"/>
      <c r="O181" s="33"/>
    </row>
    <row r="182" spans="1:15" s="12" customFormat="1" ht="18.75" customHeight="1" x14ac:dyDescent="0.25">
      <c r="A182" s="222"/>
      <c r="G182" s="31"/>
      <c r="H182" s="152"/>
      <c r="I182" s="236"/>
      <c r="J182" s="33"/>
      <c r="K182" s="33"/>
      <c r="L182" s="33"/>
      <c r="M182" s="33"/>
      <c r="N182" s="33"/>
      <c r="O182" s="33"/>
    </row>
    <row r="183" spans="1:15" s="12" customFormat="1" ht="18.75" customHeight="1" x14ac:dyDescent="0.25">
      <c r="A183" s="222"/>
      <c r="B183" s="146" t="s">
        <v>577</v>
      </c>
      <c r="D183" s="31"/>
      <c r="F183" s="28"/>
      <c r="G183" s="31" t="s">
        <v>578</v>
      </c>
      <c r="H183" s="155">
        <f>H181/G181</f>
        <v>53.21806358720567</v>
      </c>
      <c r="I183" s="236" t="s">
        <v>49</v>
      </c>
      <c r="J183" s="33"/>
      <c r="K183" s="33"/>
      <c r="L183" s="33"/>
      <c r="M183" s="33"/>
      <c r="N183" s="33"/>
      <c r="O183" s="33"/>
    </row>
    <row r="184" spans="1:15" s="12" customFormat="1" ht="18.75" customHeight="1" x14ac:dyDescent="0.25">
      <c r="A184" s="222"/>
      <c r="B184" s="12" t="s">
        <v>572</v>
      </c>
      <c r="C184" s="31"/>
      <c r="D184" s="28"/>
      <c r="F184" s="28"/>
      <c r="G184" s="31" t="s">
        <v>579</v>
      </c>
      <c r="H184" s="154">
        <f>H178*H183</f>
        <v>1134.1149479459152</v>
      </c>
      <c r="I184" s="236" t="s">
        <v>115</v>
      </c>
      <c r="J184" s="33"/>
      <c r="K184" s="33"/>
      <c r="L184" s="33"/>
      <c r="M184" s="33"/>
      <c r="N184" s="33"/>
      <c r="O184" s="33"/>
    </row>
    <row r="185" spans="1:15" s="12" customFormat="1" ht="18.75" customHeight="1" x14ac:dyDescent="0.25">
      <c r="A185" s="222"/>
      <c r="B185" s="12" t="s">
        <v>570</v>
      </c>
      <c r="C185" s="31"/>
      <c r="D185" s="28"/>
      <c r="F185" s="28"/>
      <c r="G185" s="31" t="s">
        <v>580</v>
      </c>
      <c r="H185" s="154">
        <f>H175*H146/1000</f>
        <v>1134.1149479459152</v>
      </c>
      <c r="I185" s="236" t="s">
        <v>115</v>
      </c>
      <c r="J185" s="33"/>
      <c r="K185" s="33"/>
      <c r="L185" s="33"/>
      <c r="M185" s="33"/>
      <c r="N185" s="33"/>
      <c r="O185" s="33"/>
    </row>
    <row r="186" spans="1:15" s="12" customFormat="1" ht="18.75" customHeight="1" x14ac:dyDescent="0.25">
      <c r="A186" s="222"/>
      <c r="B186" s="146"/>
      <c r="G186" s="28"/>
      <c r="H186" s="32"/>
      <c r="I186" s="229"/>
      <c r="J186" s="33"/>
      <c r="K186" s="33"/>
      <c r="L186" s="33"/>
      <c r="M186" s="33"/>
      <c r="N186" s="33"/>
      <c r="O186" s="33"/>
    </row>
    <row r="187" spans="1:15" s="12" customFormat="1" ht="18.75" customHeight="1" x14ac:dyDescent="0.25">
      <c r="A187" s="222"/>
      <c r="B187" s="146" t="s">
        <v>581</v>
      </c>
      <c r="G187" s="28"/>
      <c r="H187" s="32"/>
      <c r="I187" s="229"/>
      <c r="J187" s="33"/>
      <c r="K187" s="33"/>
      <c r="L187" s="33"/>
      <c r="M187" s="33"/>
      <c r="N187" s="33"/>
      <c r="O187" s="33"/>
    </row>
    <row r="188" spans="1:15" s="12" customFormat="1" ht="18.75" customHeight="1" x14ac:dyDescent="0.25">
      <c r="A188" s="222"/>
      <c r="C188" s="146" t="s">
        <v>582</v>
      </c>
      <c r="E188" s="31"/>
      <c r="F188" s="28"/>
      <c r="G188" s="32"/>
      <c r="I188" s="230"/>
      <c r="J188" s="33"/>
      <c r="K188" s="33"/>
      <c r="L188" s="33"/>
      <c r="M188" s="33"/>
      <c r="N188" s="33"/>
      <c r="O188" s="33"/>
    </row>
    <row r="189" spans="1:15" s="12" customFormat="1" ht="18.75" customHeight="1" x14ac:dyDescent="0.25">
      <c r="A189" s="222"/>
      <c r="B189" s="146"/>
      <c r="D189" s="12" t="s">
        <v>583</v>
      </c>
      <c r="F189" s="12" t="s">
        <v>584</v>
      </c>
      <c r="G189" s="31"/>
      <c r="H189" s="28"/>
      <c r="I189" s="230"/>
      <c r="N189" s="33"/>
      <c r="O189" s="33"/>
    </row>
    <row r="190" spans="1:15" s="12" customFormat="1" ht="18.75" customHeight="1" x14ac:dyDescent="0.25">
      <c r="A190" s="222"/>
      <c r="D190" s="149">
        <f>(H144-H183)/H183*0.003</f>
        <v>3.2035096625504633E-2</v>
      </c>
      <c r="E190" s="28" t="str">
        <f>IF(D190&lt;F190,"&lt;","&gt;")</f>
        <v>&gt;</v>
      </c>
      <c r="F190" s="28">
        <f>H146/H147</f>
        <v>2E-3</v>
      </c>
      <c r="I190" s="230"/>
      <c r="N190" s="33"/>
      <c r="O190" s="33"/>
    </row>
    <row r="191" spans="1:15" s="12" customFormat="1" ht="18.75" customHeight="1" x14ac:dyDescent="0.25">
      <c r="A191" s="222"/>
      <c r="B191" s="146" t="s">
        <v>585</v>
      </c>
      <c r="G191" s="29" t="s">
        <v>338</v>
      </c>
      <c r="H191" s="150" t="str">
        <f>IF(D190&lt;=F190,"Tekanan Terkontrol",IF(D190&lt;0.005,"Transisi",IF(D190&gt;0.005,"Tegangan Terkontrol","EROR")))</f>
        <v>Tegangan Terkontrol</v>
      </c>
      <c r="I191" s="223"/>
      <c r="J191" s="33"/>
      <c r="K191" s="33"/>
      <c r="L191" s="33"/>
      <c r="M191" s="33"/>
      <c r="N191" s="33"/>
      <c r="O191" s="33"/>
    </row>
    <row r="192" spans="1:15" s="12" customFormat="1" ht="18.75" customHeight="1" x14ac:dyDescent="0.25">
      <c r="A192" s="222"/>
      <c r="B192" s="146"/>
      <c r="G192" s="29"/>
      <c r="H192" s="150"/>
      <c r="I192" s="223"/>
      <c r="J192" s="33"/>
      <c r="K192" s="33"/>
      <c r="L192" s="33"/>
      <c r="M192" s="33"/>
      <c r="N192" s="33"/>
      <c r="O192" s="33"/>
    </row>
    <row r="193" spans="1:15" s="12" customFormat="1" ht="18.75" customHeight="1" x14ac:dyDescent="0.25">
      <c r="A193" s="222"/>
      <c r="B193" s="146" t="s">
        <v>586</v>
      </c>
      <c r="G193" s="31" t="str">
        <f>IF(D190&lt;=F190,"φ =",IF(D190&lt;0.005,"φ = 0,65 + 0,25 * (εs' - εs-yield)/(0,005 - εs-yield) =",IF(D190&gt;0.005,"φ =","EROR")))</f>
        <v>φ =</v>
      </c>
      <c r="H193" s="155">
        <f>IF(D190&lt;=F190,0.65,IF(D190&lt;0.005,0.65+0.25*(D190-F190)/(0.005-F190),IF(D190&gt;0.005,0.9,"EROR")))</f>
        <v>0.9</v>
      </c>
      <c r="I193" s="223"/>
      <c r="J193" s="33"/>
      <c r="K193" s="33"/>
      <c r="L193" s="33"/>
      <c r="M193" s="33"/>
      <c r="N193" s="33"/>
      <c r="O193" s="33"/>
    </row>
    <row r="194" spans="1:15" s="12" customFormat="1" ht="18.75" customHeight="1" x14ac:dyDescent="0.25">
      <c r="A194" s="222"/>
      <c r="B194" s="146" t="s">
        <v>587</v>
      </c>
      <c r="G194" s="31" t="s">
        <v>588</v>
      </c>
      <c r="H194" s="154">
        <f>H184*(H144-H151*H183/2)/1000</f>
        <v>679.63250455712421</v>
      </c>
      <c r="I194" s="223" t="s">
        <v>145</v>
      </c>
      <c r="J194" s="33"/>
      <c r="K194" s="33"/>
      <c r="L194" s="33"/>
      <c r="M194" s="33"/>
      <c r="N194" s="33"/>
      <c r="O194" s="33"/>
    </row>
    <row r="195" spans="1:15" s="12" customFormat="1" ht="18.75" customHeight="1" x14ac:dyDescent="0.25">
      <c r="A195" s="222"/>
      <c r="B195" s="146"/>
      <c r="G195" s="31"/>
      <c r="H195" s="152"/>
      <c r="I195" s="223"/>
      <c r="J195" s="33"/>
      <c r="K195" s="33"/>
      <c r="L195" s="33"/>
      <c r="M195" s="33"/>
      <c r="N195" s="33"/>
      <c r="O195" s="33"/>
    </row>
    <row r="196" spans="1:15" s="12" customFormat="1" ht="18.75" customHeight="1" x14ac:dyDescent="0.25">
      <c r="A196" s="222"/>
      <c r="C196" s="12" t="s">
        <v>334</v>
      </c>
      <c r="D196" s="242" t="s">
        <v>589</v>
      </c>
      <c r="E196" s="28" t="s">
        <v>449</v>
      </c>
      <c r="F196" s="242" t="s">
        <v>590</v>
      </c>
      <c r="I196" s="230"/>
      <c r="J196" s="33"/>
      <c r="K196" s="33"/>
      <c r="L196" s="33"/>
      <c r="M196" s="33"/>
      <c r="N196" s="33"/>
      <c r="O196" s="33"/>
    </row>
    <row r="197" spans="1:15" s="12" customFormat="1" ht="18.75" customHeight="1" x14ac:dyDescent="0.25">
      <c r="A197" s="222"/>
      <c r="D197" s="154">
        <f>H193*H194</f>
        <v>611.66925410141175</v>
      </c>
      <c r="E197" s="28" t="str">
        <f>IF(D197&gt;F197,"&gt;","&lt;")</f>
        <v>&gt;</v>
      </c>
      <c r="F197" s="154">
        <f>H140</f>
        <v>554.34645917025705</v>
      </c>
      <c r="G197" s="29" t="s">
        <v>338</v>
      </c>
      <c r="H197" s="156" t="str">
        <f>IF(D197&gt;=F197,"[ OK ]","[ NOT OK ]")</f>
        <v>[ OK ]</v>
      </c>
      <c r="I197" s="230"/>
      <c r="J197" s="33"/>
      <c r="K197" s="33"/>
      <c r="L197" s="33"/>
      <c r="M197" s="33"/>
      <c r="N197" s="33"/>
      <c r="O197" s="33"/>
    </row>
    <row r="198" spans="1:15" s="1" customFormat="1" ht="18.75" customHeight="1" x14ac:dyDescent="0.25">
      <c r="A198" s="168"/>
      <c r="B198" s="61"/>
      <c r="C198" s="2"/>
      <c r="D198" s="2"/>
      <c r="H198" s="2"/>
      <c r="I198" s="211"/>
    </row>
    <row r="199" spans="1:15" s="1" customFormat="1" ht="18.75" customHeight="1" x14ac:dyDescent="0.25">
      <c r="A199" s="165"/>
      <c r="B199" s="206" t="s">
        <v>592</v>
      </c>
      <c r="C199" s="207"/>
      <c r="D199" s="207"/>
      <c r="E199" s="131"/>
      <c r="F199" s="131"/>
      <c r="G199" s="131"/>
      <c r="H199" s="207"/>
      <c r="I199" s="208"/>
    </row>
    <row r="200" spans="1:15" s="1" customFormat="1" ht="18.75" customHeight="1" x14ac:dyDescent="0.25">
      <c r="A200" s="168"/>
      <c r="B200" s="2" t="s">
        <v>593</v>
      </c>
      <c r="C200" s="2"/>
      <c r="D200" s="2"/>
      <c r="G200" s="3" t="s">
        <v>594</v>
      </c>
      <c r="H200" s="175">
        <v>2E-3</v>
      </c>
      <c r="I200" s="211"/>
    </row>
    <row r="201" spans="1:15" s="1" customFormat="1" ht="18.75" customHeight="1" x14ac:dyDescent="0.25">
      <c r="A201" s="168"/>
      <c r="B201" s="2" t="s">
        <v>615</v>
      </c>
      <c r="C201" s="2"/>
      <c r="D201" s="2"/>
      <c r="G201" s="3" t="s">
        <v>614</v>
      </c>
      <c r="H201" s="209">
        <f>H200*H141*H144</f>
        <v>1243</v>
      </c>
      <c r="I201" s="171" t="s">
        <v>439</v>
      </c>
    </row>
    <row r="202" spans="1:15" s="1" customFormat="1" ht="18.75" customHeight="1" x14ac:dyDescent="0.25">
      <c r="A202" s="168"/>
      <c r="B202" s="2" t="s">
        <v>595</v>
      </c>
      <c r="C202" s="89"/>
      <c r="D202" s="244"/>
      <c r="G202" s="245" t="s">
        <v>74</v>
      </c>
      <c r="H202" s="246">
        <f>'Input (1)'!I21</f>
        <v>19</v>
      </c>
      <c r="I202" s="171" t="s">
        <v>49</v>
      </c>
    </row>
    <row r="203" spans="1:15" s="1" customFormat="1" ht="18.75" customHeight="1" x14ac:dyDescent="0.25">
      <c r="A203" s="168"/>
      <c r="B203" s="2" t="s">
        <v>616</v>
      </c>
      <c r="C203" s="89"/>
      <c r="D203" s="244"/>
      <c r="G203" s="3" t="s">
        <v>619</v>
      </c>
      <c r="H203" s="247">
        <f>PI()/4*H202^2*H141/H201</f>
        <v>228.10035155790732</v>
      </c>
      <c r="I203" s="171" t="s">
        <v>49</v>
      </c>
    </row>
    <row r="204" spans="1:15" s="1" customFormat="1" ht="18.75" customHeight="1" x14ac:dyDescent="0.25">
      <c r="A204" s="168"/>
      <c r="B204" s="2" t="s">
        <v>617</v>
      </c>
      <c r="C204" s="89"/>
      <c r="D204" s="244"/>
      <c r="G204" s="31" t="s">
        <v>567</v>
      </c>
      <c r="H204" s="209">
        <f>3*H142</f>
        <v>2250</v>
      </c>
      <c r="I204" s="171" t="s">
        <v>49</v>
      </c>
    </row>
    <row r="205" spans="1:15" s="1" customFormat="1" ht="18.75" customHeight="1" x14ac:dyDescent="0.25">
      <c r="A205" s="168"/>
      <c r="B205" s="2"/>
      <c r="C205" s="89"/>
      <c r="D205" s="244"/>
      <c r="G205" s="31" t="s">
        <v>620</v>
      </c>
      <c r="H205" s="243">
        <v>450</v>
      </c>
      <c r="I205" s="171"/>
    </row>
    <row r="206" spans="1:15" s="1" customFormat="1" ht="18.75" customHeight="1" x14ac:dyDescent="0.25">
      <c r="A206" s="168"/>
      <c r="B206" s="2" t="s">
        <v>618</v>
      </c>
      <c r="C206" s="89"/>
      <c r="D206" s="244"/>
      <c r="G206" s="31" t="s">
        <v>621</v>
      </c>
      <c r="H206" s="243">
        <f>ROUNDDOWN(MIN(H203:H204)/50,0)*50</f>
        <v>200</v>
      </c>
      <c r="I206" s="171" t="s">
        <v>49</v>
      </c>
    </row>
    <row r="207" spans="1:15" s="1" customFormat="1" ht="18.75" customHeight="1" x14ac:dyDescent="0.25">
      <c r="A207" s="168"/>
      <c r="B207" s="2" t="s">
        <v>596</v>
      </c>
      <c r="C207" s="2"/>
      <c r="D207" s="2"/>
      <c r="F207" s="248"/>
      <c r="G207" s="249">
        <f>H202</f>
        <v>19</v>
      </c>
      <c r="H207" s="250">
        <f>H206</f>
        <v>200</v>
      </c>
      <c r="I207" s="198"/>
    </row>
    <row r="208" spans="1:15" s="1" customFormat="1" ht="18.75" customHeight="1" x14ac:dyDescent="0.25">
      <c r="A208" s="168"/>
      <c r="B208" s="2" t="s">
        <v>597</v>
      </c>
      <c r="C208" s="2"/>
      <c r="D208" s="2"/>
      <c r="F208" s="248"/>
      <c r="G208" s="249">
        <f>H202</f>
        <v>19</v>
      </c>
      <c r="H208" s="250">
        <f>H207</f>
        <v>200</v>
      </c>
      <c r="I208" s="198"/>
    </row>
    <row r="209" spans="1:9" s="1" customFormat="1" ht="18.75" customHeight="1" x14ac:dyDescent="0.25">
      <c r="A209" s="168"/>
      <c r="I209" s="198"/>
    </row>
    <row r="210" spans="1:9" ht="18.75" customHeight="1" x14ac:dyDescent="0.25">
      <c r="A210" s="251"/>
      <c r="B210" s="252"/>
      <c r="C210" s="252"/>
      <c r="D210" s="252"/>
      <c r="E210" s="252"/>
      <c r="F210" s="252"/>
      <c r="G210" s="252"/>
      <c r="H210" s="252"/>
      <c r="I210" s="253"/>
    </row>
  </sheetData>
  <mergeCells count="15">
    <mergeCell ref="G67:H67"/>
    <mergeCell ref="C56:E56"/>
    <mergeCell ref="F56:F57"/>
    <mergeCell ref="G56:G57"/>
    <mergeCell ref="H56:H57"/>
    <mergeCell ref="B66:C66"/>
    <mergeCell ref="D66:F66"/>
    <mergeCell ref="G66:H66"/>
    <mergeCell ref="B67:C67"/>
    <mergeCell ref="D67:F67"/>
    <mergeCell ref="B1:F1"/>
    <mergeCell ref="C23:D23"/>
    <mergeCell ref="E23:E24"/>
    <mergeCell ref="C24:D24"/>
    <mergeCell ref="B56:B58"/>
  </mergeCells>
  <conditionalFormatting sqref="H197 H135 H97">
    <cfRule type="containsText" dxfId="24" priority="1" operator="containsText" text="[ NOT OK ]">
      <formula>NOT(ISERROR(SEARCH("[ NOT OK ]",H97)))</formula>
    </cfRule>
    <cfRule type="containsText" dxfId="23" priority="2" operator="containsText" text="[ OK ]">
      <formula>NOT(ISERROR(SEARCH("[ OK ]",H97)))</formula>
    </cfRule>
  </conditionalFormatting>
  <pageMargins left="0.7" right="0.7" top="0.75" bottom="0.75" header="0.3" footer="0.3"/>
  <ignoredErrors>
    <ignoredError sqref="D60" formula="1"/>
    <ignoredError sqref="D190:I196 D197:G197 I197" evalError="1"/>
    <ignoredError sqref="H202" unlockedFormula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99AA-E7BB-4AD2-BFFC-FBBED417A16C}">
  <sheetPr>
    <tabColor theme="7" tint="0.79998168889431442"/>
  </sheetPr>
  <dimension ref="A1:I128"/>
  <sheetViews>
    <sheetView showGridLines="0" zoomScaleNormal="100" workbookViewId="0"/>
  </sheetViews>
  <sheetFormatPr defaultRowHeight="15" x14ac:dyDescent="0.25"/>
  <cols>
    <col min="1" max="1" width="6.7109375" style="274" customWidth="1"/>
    <col min="2" max="7" width="13.5703125" customWidth="1"/>
    <col min="8" max="8" width="15.7109375" customWidth="1"/>
    <col min="9" max="9" width="12.140625" customWidth="1"/>
  </cols>
  <sheetData>
    <row r="1" spans="1:9" s="1" customFormat="1" ht="19.149999999999999" customHeight="1" x14ac:dyDescent="0.25">
      <c r="A1" s="271" t="s">
        <v>857</v>
      </c>
      <c r="B1" s="130" t="s">
        <v>362</v>
      </c>
      <c r="C1" s="131"/>
      <c r="D1" s="131"/>
      <c r="E1" s="131"/>
      <c r="F1" s="131"/>
      <c r="G1" s="132"/>
      <c r="H1" s="133"/>
      <c r="I1" s="134"/>
    </row>
    <row r="2" spans="1:9" s="1" customFormat="1" ht="19.149999999999999" customHeight="1" x14ac:dyDescent="0.25">
      <c r="A2" s="272"/>
      <c r="G2" s="7"/>
      <c r="H2" s="35"/>
      <c r="I2" s="5"/>
    </row>
    <row r="3" spans="1:9" s="1" customFormat="1" ht="19.149999999999999" customHeight="1" x14ac:dyDescent="0.25">
      <c r="A3" s="272"/>
      <c r="G3" s="7"/>
      <c r="H3" s="35"/>
      <c r="I3" s="5"/>
    </row>
    <row r="4" spans="1:9" s="1" customFormat="1" ht="19.149999999999999" customHeight="1" x14ac:dyDescent="0.25">
      <c r="A4" s="272"/>
      <c r="G4" s="7"/>
      <c r="H4" s="35"/>
      <c r="I4" s="5"/>
    </row>
    <row r="5" spans="1:9" s="1" customFormat="1" ht="19.149999999999999" customHeight="1" x14ac:dyDescent="0.25">
      <c r="A5" s="272"/>
      <c r="G5" s="7"/>
      <c r="H5" s="35"/>
      <c r="I5" s="5"/>
    </row>
    <row r="6" spans="1:9" s="1" customFormat="1" ht="19.149999999999999" customHeight="1" x14ac:dyDescent="0.25">
      <c r="A6" s="272"/>
      <c r="G6" s="7"/>
      <c r="H6" s="35"/>
      <c r="I6" s="5"/>
    </row>
    <row r="7" spans="1:9" s="1" customFormat="1" ht="19.149999999999999" customHeight="1" x14ac:dyDescent="0.25">
      <c r="A7" s="272"/>
      <c r="G7" s="7"/>
      <c r="H7" s="35"/>
      <c r="I7" s="5"/>
    </row>
    <row r="8" spans="1:9" s="1" customFormat="1" ht="19.149999999999999" customHeight="1" x14ac:dyDescent="0.25">
      <c r="A8" s="272"/>
      <c r="G8" s="7"/>
      <c r="H8" s="35"/>
      <c r="I8" s="5"/>
    </row>
    <row r="9" spans="1:9" s="1" customFormat="1" ht="19.149999999999999" customHeight="1" x14ac:dyDescent="0.25">
      <c r="A9" s="272"/>
      <c r="G9" s="7"/>
      <c r="H9" s="35"/>
      <c r="I9" s="5"/>
    </row>
    <row r="10" spans="1:9" s="1" customFormat="1" ht="19.149999999999999" customHeight="1" x14ac:dyDescent="0.25">
      <c r="A10" s="272"/>
      <c r="G10" s="7"/>
      <c r="H10" s="35"/>
      <c r="I10" s="5"/>
    </row>
    <row r="11" spans="1:9" s="1" customFormat="1" ht="19.149999999999999" customHeight="1" x14ac:dyDescent="0.25">
      <c r="A11" s="272"/>
      <c r="G11" s="7"/>
      <c r="H11" s="35"/>
      <c r="I11" s="5"/>
    </row>
    <row r="12" spans="1:9" s="1" customFormat="1" ht="19.149999999999999" customHeight="1" x14ac:dyDescent="0.25">
      <c r="A12" s="272"/>
      <c r="G12" s="7"/>
      <c r="H12" s="35"/>
      <c r="I12" s="5"/>
    </row>
    <row r="13" spans="1:9" s="1" customFormat="1" ht="19.149999999999999" customHeight="1" x14ac:dyDescent="0.25">
      <c r="A13" s="272"/>
      <c r="G13" s="7"/>
      <c r="H13" s="35"/>
      <c r="I13" s="5"/>
    </row>
    <row r="14" spans="1:9" s="1" customFormat="1" ht="19.149999999999999" customHeight="1" x14ac:dyDescent="0.25">
      <c r="A14" s="272"/>
      <c r="G14" s="7"/>
      <c r="H14" s="35"/>
      <c r="I14" s="5"/>
    </row>
    <row r="15" spans="1:9" s="1" customFormat="1" ht="19.149999999999999" customHeight="1" x14ac:dyDescent="0.25">
      <c r="A15" s="272"/>
      <c r="B15" s="1" t="s">
        <v>363</v>
      </c>
      <c r="G15" s="7" t="s">
        <v>364</v>
      </c>
      <c r="H15" s="52">
        <f>0.5*'Input (1)'!F49</f>
        <v>3.5</v>
      </c>
      <c r="I15" s="5" t="s">
        <v>0</v>
      </c>
    </row>
    <row r="16" spans="1:9" s="1" customFormat="1" ht="19.149999999999999" customHeight="1" x14ac:dyDescent="0.25">
      <c r="A16" s="272"/>
      <c r="G16" s="7" t="s">
        <v>365</v>
      </c>
      <c r="H16" s="52">
        <f>H15</f>
        <v>3.5</v>
      </c>
      <c r="I16" s="5" t="s">
        <v>0</v>
      </c>
    </row>
    <row r="17" spans="1:9" s="1" customFormat="1" ht="19.149999999999999" customHeight="1" x14ac:dyDescent="0.25">
      <c r="A17" s="272"/>
      <c r="G17" s="7"/>
      <c r="H17" s="35"/>
      <c r="I17" s="5"/>
    </row>
    <row r="18" spans="1:9" s="1" customFormat="1" ht="19.149999999999999" customHeight="1" x14ac:dyDescent="0.25">
      <c r="A18" s="272"/>
      <c r="B18" s="1" t="s">
        <v>366</v>
      </c>
      <c r="F18" s="7" t="s">
        <v>367</v>
      </c>
      <c r="G18" s="7" t="s">
        <v>368</v>
      </c>
      <c r="H18" s="4">
        <f>'Process (1)'!N208</f>
        <v>12307.330820000003</v>
      </c>
      <c r="I18" s="5" t="s">
        <v>115</v>
      </c>
    </row>
    <row r="19" spans="1:9" s="1" customFormat="1" ht="19.149999999999999" customHeight="1" x14ac:dyDescent="0.25">
      <c r="A19" s="272"/>
      <c r="F19" s="7" t="s">
        <v>369</v>
      </c>
      <c r="G19" s="7" t="s">
        <v>370</v>
      </c>
      <c r="H19" s="4">
        <f>'Process (1)'!Q208</f>
        <v>716.81124</v>
      </c>
      <c r="I19" s="5" t="s">
        <v>145</v>
      </c>
    </row>
    <row r="20" spans="1:9" s="1" customFormat="1" ht="19.149999999999999" customHeight="1" x14ac:dyDescent="0.25">
      <c r="A20" s="272"/>
      <c r="B20" s="135" t="s">
        <v>371</v>
      </c>
      <c r="C20" s="136"/>
      <c r="D20" s="136"/>
      <c r="E20" s="136"/>
      <c r="F20" s="7" t="s">
        <v>367</v>
      </c>
      <c r="G20" s="7" t="s">
        <v>368</v>
      </c>
      <c r="H20" s="4">
        <f>'Process (1)'!N209</f>
        <v>11009.250820000001</v>
      </c>
      <c r="I20" s="5" t="s">
        <v>115</v>
      </c>
    </row>
    <row r="21" spans="1:9" s="1" customFormat="1" ht="19.149999999999999" customHeight="1" x14ac:dyDescent="0.25">
      <c r="A21" s="272"/>
      <c r="B21" s="135"/>
      <c r="C21" s="136"/>
      <c r="D21" s="136"/>
      <c r="E21" s="136"/>
      <c r="F21" s="7" t="s">
        <v>369</v>
      </c>
      <c r="G21" s="7" t="s">
        <v>370</v>
      </c>
      <c r="H21" s="4">
        <f>'Process (1)'!Q209</f>
        <v>3888.6633488879993</v>
      </c>
      <c r="I21" s="5" t="s">
        <v>145</v>
      </c>
    </row>
    <row r="22" spans="1:9" s="1" customFormat="1" ht="19.149999999999999" customHeight="1" x14ac:dyDescent="0.25">
      <c r="A22" s="272"/>
      <c r="B22" s="135" t="s">
        <v>372</v>
      </c>
      <c r="C22" s="136"/>
      <c r="D22" s="136"/>
      <c r="E22" s="136"/>
      <c r="F22" s="7" t="s">
        <v>367</v>
      </c>
      <c r="G22" s="7" t="s">
        <v>368</v>
      </c>
      <c r="H22" s="4">
        <f>'Process (1)'!N210</f>
        <v>11009.250820000001</v>
      </c>
      <c r="I22" s="5" t="s">
        <v>115</v>
      </c>
    </row>
    <row r="23" spans="1:9" s="1" customFormat="1" ht="19.149999999999999" customHeight="1" x14ac:dyDescent="0.25">
      <c r="A23" s="272"/>
      <c r="B23" s="135"/>
      <c r="C23" s="136"/>
      <c r="D23" s="136"/>
      <c r="E23" s="136"/>
      <c r="F23" s="7" t="s">
        <v>369</v>
      </c>
      <c r="G23" s="7" t="s">
        <v>370</v>
      </c>
      <c r="H23" s="4">
        <f>'Process (1)'!Q210</f>
        <v>8088.734667912423</v>
      </c>
      <c r="I23" s="5" t="s">
        <v>145</v>
      </c>
    </row>
    <row r="24" spans="1:9" s="1" customFormat="1" ht="19.149999999999999" customHeight="1" x14ac:dyDescent="0.25">
      <c r="A24" s="272"/>
      <c r="B24" s="1" t="s">
        <v>373</v>
      </c>
      <c r="G24" s="7"/>
      <c r="H24" s="35"/>
      <c r="I24" s="5"/>
    </row>
    <row r="25" spans="1:9" s="1" customFormat="1" ht="19.149999999999999" customHeight="1" x14ac:dyDescent="0.25">
      <c r="A25" s="272"/>
      <c r="B25" s="1" t="s">
        <v>334</v>
      </c>
      <c r="D25" s="35" t="s">
        <v>374</v>
      </c>
      <c r="E25" s="35" t="s">
        <v>340</v>
      </c>
      <c r="F25" s="511">
        <v>2</v>
      </c>
      <c r="G25" s="7"/>
      <c r="H25" s="35"/>
      <c r="I25" s="5"/>
    </row>
    <row r="26" spans="1:9" s="1" customFormat="1" ht="19.149999999999999" customHeight="1" x14ac:dyDescent="0.25">
      <c r="A26" s="272"/>
      <c r="D26" s="35" t="s">
        <v>375</v>
      </c>
      <c r="E26" s="35" t="s">
        <v>340</v>
      </c>
      <c r="F26" s="511">
        <v>2</v>
      </c>
      <c r="G26" s="35"/>
      <c r="H26" s="35"/>
      <c r="I26" s="5"/>
    </row>
    <row r="27" spans="1:9" s="1" customFormat="1" ht="19.149999999999999" customHeight="1" x14ac:dyDescent="0.25">
      <c r="A27" s="272"/>
      <c r="G27" s="7"/>
      <c r="H27" s="35"/>
      <c r="I27" s="5"/>
    </row>
    <row r="28" spans="1:9" s="1" customFormat="1" ht="19.149999999999999" customHeight="1" x14ac:dyDescent="0.25">
      <c r="A28" s="272"/>
      <c r="B28" s="5" t="s">
        <v>376</v>
      </c>
      <c r="D28" s="4">
        <f>H18*IF(H19&gt;0,H16,H15)/ABS(H19)</f>
        <v>60.093446456001459</v>
      </c>
      <c r="E28" s="35" t="str">
        <f>IF(D28&gt;F28,"&gt;","&lt;")</f>
        <v>&gt;</v>
      </c>
      <c r="F28" s="52">
        <v>2</v>
      </c>
      <c r="G28" s="137" t="s">
        <v>338</v>
      </c>
      <c r="H28" s="138" t="str">
        <f>IF(D28&gt;F28,"[ OK ]","[ NOT OK ]")</f>
        <v>[ OK ]</v>
      </c>
      <c r="I28" s="5"/>
    </row>
    <row r="29" spans="1:9" s="1" customFormat="1" ht="19.149999999999999" customHeight="1" x14ac:dyDescent="0.25">
      <c r="A29" s="272"/>
      <c r="B29" s="5" t="s">
        <v>377</v>
      </c>
      <c r="D29" s="4">
        <f>H20*IF(H21&gt;0,H16,H15)/ABS(H21)</f>
        <v>9.9089004145907129</v>
      </c>
      <c r="E29" s="35" t="str">
        <f>IF(D29&gt;F29,"&gt;","&lt;")</f>
        <v>&gt;</v>
      </c>
      <c r="F29" s="52">
        <v>2</v>
      </c>
      <c r="G29" s="137" t="s">
        <v>338</v>
      </c>
      <c r="H29" s="138" t="str">
        <f>IF(D29&gt;F29,"[ OK ]","[ NOT OK ]")</f>
        <v>[ OK ]</v>
      </c>
      <c r="I29" s="5"/>
    </row>
    <row r="30" spans="1:9" s="1" customFormat="1" ht="19.149999999999999" customHeight="1" x14ac:dyDescent="0.25">
      <c r="A30" s="272"/>
      <c r="B30" s="5" t="s">
        <v>378</v>
      </c>
      <c r="D30" s="4">
        <f>H22*IF(H23&gt;0,H16,H15)/ABS(H23)</f>
        <v>4.7637089670966564</v>
      </c>
      <c r="E30" s="35" t="str">
        <f>IF(D30&gt;F30,"&gt;","&lt;")</f>
        <v>&gt;</v>
      </c>
      <c r="F30" s="52">
        <v>2</v>
      </c>
      <c r="G30" s="137" t="s">
        <v>338</v>
      </c>
      <c r="H30" s="138" t="str">
        <f>IF(D30&gt;F30,"[ OK ]","[ NOT OK ]")</f>
        <v>[ OK ]</v>
      </c>
      <c r="I30" s="5"/>
    </row>
    <row r="31" spans="1:9" s="1" customFormat="1" ht="19.149999999999999" customHeight="1" x14ac:dyDescent="0.25">
      <c r="A31" s="272"/>
      <c r="G31" s="7"/>
      <c r="H31" s="35"/>
      <c r="I31" s="5"/>
    </row>
    <row r="32" spans="1:9" s="1" customFormat="1" ht="19.149999999999999" customHeight="1" x14ac:dyDescent="0.25">
      <c r="A32" s="273" t="s">
        <v>858</v>
      </c>
      <c r="B32" s="269" t="s">
        <v>379</v>
      </c>
      <c r="C32" s="131"/>
      <c r="D32" s="131"/>
      <c r="E32" s="131"/>
      <c r="F32" s="131"/>
      <c r="G32" s="132"/>
      <c r="H32" s="133"/>
      <c r="I32" s="134"/>
    </row>
    <row r="33" spans="1:9" s="1" customFormat="1" ht="19.149999999999999" customHeight="1" x14ac:dyDescent="0.25">
      <c r="A33" s="272"/>
      <c r="G33" s="7"/>
      <c r="H33" s="35"/>
      <c r="I33" s="5"/>
    </row>
    <row r="34" spans="1:9" s="1" customFormat="1" ht="19.149999999999999" customHeight="1" x14ac:dyDescent="0.25">
      <c r="A34" s="272"/>
      <c r="G34" s="7"/>
      <c r="H34" s="35"/>
      <c r="I34" s="5"/>
    </row>
    <row r="35" spans="1:9" s="1" customFormat="1" ht="19.149999999999999" customHeight="1" x14ac:dyDescent="0.25">
      <c r="A35" s="272"/>
      <c r="G35" s="7"/>
      <c r="H35" s="35"/>
      <c r="I35" s="5"/>
    </row>
    <row r="36" spans="1:9" s="1" customFormat="1" ht="19.149999999999999" customHeight="1" x14ac:dyDescent="0.25">
      <c r="A36" s="272"/>
      <c r="G36" s="7"/>
      <c r="H36" s="35"/>
      <c r="I36" s="5"/>
    </row>
    <row r="37" spans="1:9" s="1" customFormat="1" ht="19.149999999999999" customHeight="1" x14ac:dyDescent="0.25">
      <c r="A37" s="272"/>
      <c r="G37" s="7"/>
      <c r="H37" s="35"/>
      <c r="I37" s="5"/>
    </row>
    <row r="38" spans="1:9" s="1" customFormat="1" ht="19.149999999999999" customHeight="1" x14ac:dyDescent="0.25">
      <c r="A38" s="272"/>
      <c r="G38" s="7"/>
      <c r="H38" s="35"/>
      <c r="I38" s="5"/>
    </row>
    <row r="39" spans="1:9" s="1" customFormat="1" ht="19.149999999999999" customHeight="1" x14ac:dyDescent="0.25">
      <c r="A39" s="272"/>
      <c r="G39" s="7"/>
      <c r="H39" s="35"/>
      <c r="I39" s="5"/>
    </row>
    <row r="40" spans="1:9" s="1" customFormat="1" ht="19.149999999999999" customHeight="1" x14ac:dyDescent="0.25">
      <c r="A40" s="272"/>
      <c r="G40" s="7"/>
      <c r="H40" s="35"/>
      <c r="I40" s="5"/>
    </row>
    <row r="41" spans="1:9" s="1" customFormat="1" ht="19.149999999999999" customHeight="1" x14ac:dyDescent="0.25">
      <c r="A41" s="272"/>
      <c r="G41" s="7"/>
      <c r="H41" s="35"/>
      <c r="I41" s="5"/>
    </row>
    <row r="42" spans="1:9" s="1" customFormat="1" ht="19.149999999999999" customHeight="1" x14ac:dyDescent="0.25">
      <c r="A42" s="272"/>
      <c r="G42" s="7"/>
      <c r="H42" s="35"/>
      <c r="I42" s="5"/>
    </row>
    <row r="43" spans="1:9" s="1" customFormat="1" ht="19.149999999999999" customHeight="1" x14ac:dyDescent="0.25">
      <c r="A43" s="272"/>
      <c r="G43" s="7"/>
      <c r="H43" s="35"/>
      <c r="I43" s="5"/>
    </row>
    <row r="44" spans="1:9" s="1" customFormat="1" ht="19.149999999999999" customHeight="1" x14ac:dyDescent="0.25">
      <c r="A44" s="272"/>
      <c r="G44" s="7"/>
      <c r="H44" s="35"/>
      <c r="I44" s="5"/>
    </row>
    <row r="45" spans="1:9" s="1" customFormat="1" ht="19.149999999999999" customHeight="1" x14ac:dyDescent="0.25">
      <c r="A45" s="272"/>
      <c r="B45" s="1" t="s">
        <v>111</v>
      </c>
      <c r="G45" s="50" t="s">
        <v>112</v>
      </c>
      <c r="H45" s="52">
        <f>'Input (1)'!I124</f>
        <v>36.020000000000003</v>
      </c>
      <c r="I45" s="15" t="s">
        <v>100</v>
      </c>
    </row>
    <row r="46" spans="1:9" s="1" customFormat="1" ht="19.149999999999999" customHeight="1" x14ac:dyDescent="0.25">
      <c r="A46" s="272"/>
      <c r="B46" s="1" t="s">
        <v>113</v>
      </c>
      <c r="G46" s="7" t="s">
        <v>102</v>
      </c>
      <c r="H46" s="4">
        <f>'Input (1)'!I125</f>
        <v>2.4220000000000002</v>
      </c>
      <c r="I46" s="5" t="s">
        <v>103</v>
      </c>
    </row>
    <row r="47" spans="1:9" s="1" customFormat="1" ht="19.149999999999999" customHeight="1" x14ac:dyDescent="0.25">
      <c r="A47" s="272"/>
      <c r="B47" s="1" t="s">
        <v>380</v>
      </c>
      <c r="G47" s="7" t="s">
        <v>381</v>
      </c>
      <c r="H47" s="6">
        <f>'Input (1)'!I58</f>
        <v>17.3</v>
      </c>
      <c r="I47" s="5" t="s">
        <v>0</v>
      </c>
    </row>
    <row r="48" spans="1:9" s="1" customFormat="1" ht="19.149999999999999" customHeight="1" x14ac:dyDescent="0.25">
      <c r="A48" s="272"/>
      <c r="B48" s="1" t="s">
        <v>382</v>
      </c>
      <c r="G48" s="7" t="s">
        <v>383</v>
      </c>
      <c r="H48" s="6">
        <f>'Input (1)'!F49</f>
        <v>7</v>
      </c>
      <c r="I48" s="5" t="s">
        <v>0</v>
      </c>
    </row>
    <row r="49" spans="1:9" s="1" customFormat="1" ht="19.149999999999999" customHeight="1" x14ac:dyDescent="0.25">
      <c r="A49" s="272"/>
      <c r="G49" s="7"/>
      <c r="H49" s="35"/>
      <c r="I49" s="5"/>
    </row>
    <row r="50" spans="1:9" s="1" customFormat="1" ht="19.149999999999999" customHeight="1" x14ac:dyDescent="0.25">
      <c r="A50" s="272"/>
      <c r="B50" s="1" t="s">
        <v>366</v>
      </c>
      <c r="F50" s="7" t="s">
        <v>367</v>
      </c>
      <c r="G50" s="7" t="s">
        <v>368</v>
      </c>
      <c r="H50" s="4">
        <f>H18</f>
        <v>12307.330820000003</v>
      </c>
      <c r="I50" s="5" t="s">
        <v>115</v>
      </c>
    </row>
    <row r="51" spans="1:9" s="1" customFormat="1" ht="19.149999999999999" customHeight="1" x14ac:dyDescent="0.25">
      <c r="A51" s="272"/>
      <c r="F51" s="7" t="s">
        <v>384</v>
      </c>
      <c r="G51" s="7" t="s">
        <v>385</v>
      </c>
      <c r="H51" s="4">
        <f>'Process (1)'!O208</f>
        <v>3565.2975395580247</v>
      </c>
      <c r="I51" s="5" t="s">
        <v>115</v>
      </c>
    </row>
    <row r="52" spans="1:9" s="1" customFormat="1" ht="19.149999999999999" customHeight="1" x14ac:dyDescent="0.25">
      <c r="A52" s="272"/>
      <c r="B52" s="135" t="s">
        <v>371</v>
      </c>
      <c r="C52" s="136"/>
      <c r="D52" s="136"/>
      <c r="E52" s="136"/>
      <c r="F52" s="7" t="s">
        <v>367</v>
      </c>
      <c r="G52" s="7" t="s">
        <v>368</v>
      </c>
      <c r="H52" s="4">
        <f>H20</f>
        <v>11009.250820000001</v>
      </c>
      <c r="I52" s="5" t="s">
        <v>115</v>
      </c>
    </row>
    <row r="53" spans="1:9" s="1" customFormat="1" ht="19.149999999999999" customHeight="1" x14ac:dyDescent="0.25">
      <c r="A53" s="272"/>
      <c r="B53" s="135"/>
      <c r="C53" s="136"/>
      <c r="D53" s="136"/>
      <c r="E53" s="136"/>
      <c r="F53" s="7" t="s">
        <v>384</v>
      </c>
      <c r="G53" s="7" t="s">
        <v>385</v>
      </c>
      <c r="H53" s="4">
        <f>'Process (1)'!O209</f>
        <v>7164.3774324077231</v>
      </c>
      <c r="I53" s="5" t="s">
        <v>115</v>
      </c>
    </row>
    <row r="54" spans="1:9" s="1" customFormat="1" ht="19.149999999999999" customHeight="1" x14ac:dyDescent="0.25">
      <c r="A54" s="272"/>
      <c r="B54" s="135" t="s">
        <v>372</v>
      </c>
      <c r="C54" s="136"/>
      <c r="D54" s="136"/>
      <c r="E54" s="136"/>
      <c r="F54" s="7" t="s">
        <v>367</v>
      </c>
      <c r="G54" s="7" t="s">
        <v>368</v>
      </c>
      <c r="H54" s="4">
        <f>H22</f>
        <v>11009.250820000001</v>
      </c>
      <c r="I54" s="5" t="s">
        <v>115</v>
      </c>
    </row>
    <row r="55" spans="1:9" s="1" customFormat="1" ht="19.149999999999999" customHeight="1" x14ac:dyDescent="0.25">
      <c r="A55" s="272"/>
      <c r="B55" s="135"/>
      <c r="C55" s="136"/>
      <c r="D55" s="136"/>
      <c r="E55" s="136"/>
      <c r="F55" s="7" t="s">
        <v>384</v>
      </c>
      <c r="G55" s="7" t="s">
        <v>385</v>
      </c>
      <c r="H55" s="4">
        <f>'Process (1)'!O210</f>
        <v>5007.2812146193155</v>
      </c>
      <c r="I55" s="5" t="s">
        <v>115</v>
      </c>
    </row>
    <row r="56" spans="1:9" s="1" customFormat="1" ht="19.149999999999999" customHeight="1" x14ac:dyDescent="0.25">
      <c r="A56" s="272"/>
      <c r="B56" s="1" t="s">
        <v>386</v>
      </c>
      <c r="G56" s="7"/>
      <c r="H56" s="35"/>
      <c r="I56" s="5"/>
    </row>
    <row r="57" spans="1:9" s="1" customFormat="1" ht="19.149999999999999" customHeight="1" x14ac:dyDescent="0.25">
      <c r="A57" s="272"/>
      <c r="B57" s="1" t="s">
        <v>334</v>
      </c>
      <c r="D57" s="35" t="s">
        <v>387</v>
      </c>
      <c r="E57" s="35" t="s">
        <v>340</v>
      </c>
      <c r="F57" s="511">
        <v>1.5</v>
      </c>
      <c r="G57" s="8" t="s">
        <v>671</v>
      </c>
      <c r="H57" s="35"/>
      <c r="I57" s="5"/>
    </row>
    <row r="58" spans="1:9" s="1" customFormat="1" ht="19.149999999999999" customHeight="1" x14ac:dyDescent="0.25">
      <c r="A58" s="272"/>
      <c r="D58" s="35" t="s">
        <v>387</v>
      </c>
      <c r="E58" s="35" t="s">
        <v>340</v>
      </c>
      <c r="F58" s="511">
        <v>1.1000000000000001</v>
      </c>
      <c r="G58" s="8" t="s">
        <v>672</v>
      </c>
      <c r="H58" s="35"/>
      <c r="I58" s="5"/>
    </row>
    <row r="59" spans="1:9" s="1" customFormat="1" ht="19.149999999999999" customHeight="1" x14ac:dyDescent="0.25">
      <c r="A59" s="272"/>
      <c r="D59" s="35" t="s">
        <v>388</v>
      </c>
      <c r="E59" s="35" t="s">
        <v>11</v>
      </c>
      <c r="F59" s="8" t="s">
        <v>389</v>
      </c>
      <c r="G59" s="35"/>
      <c r="H59" s="35"/>
      <c r="I59" s="5"/>
    </row>
    <row r="60" spans="1:9" s="1" customFormat="1" ht="19.149999999999999" customHeight="1" x14ac:dyDescent="0.25">
      <c r="A60" s="272"/>
      <c r="G60" s="7"/>
      <c r="H60" s="35"/>
      <c r="I60" s="5"/>
    </row>
    <row r="61" spans="1:9" s="1" customFormat="1" ht="19.149999999999999" customHeight="1" x14ac:dyDescent="0.25">
      <c r="A61" s="272"/>
      <c r="B61" s="5" t="s">
        <v>376</v>
      </c>
      <c r="D61" s="4">
        <f>($H$46*$H$47*$H$48+H50*TAN(RADIANS($H$45)))/ABS(H51)</f>
        <v>2.5921171568352603</v>
      </c>
      <c r="E61" s="35" t="str">
        <f>IF(D61&gt;F61,"&gt;","&lt;")</f>
        <v>&gt;</v>
      </c>
      <c r="F61" s="52">
        <v>1.5</v>
      </c>
      <c r="G61" s="137" t="s">
        <v>338</v>
      </c>
      <c r="H61" s="138" t="str">
        <f>IF(D61&gt;F61,"[ OK ]","[ NOT OK ]")</f>
        <v>[ OK ]</v>
      </c>
      <c r="I61" s="5"/>
    </row>
    <row r="62" spans="1:9" s="1" customFormat="1" ht="19.149999999999999" customHeight="1" x14ac:dyDescent="0.25">
      <c r="A62" s="272"/>
      <c r="B62" s="5" t="s">
        <v>377</v>
      </c>
      <c r="D62" s="4">
        <f>($H$46*$H$47*$H$48+H52*TAN(RADIANS($H$45)))/ABS(H53)</f>
        <v>1.158211749823344</v>
      </c>
      <c r="E62" s="35" t="str">
        <f>IF(D62&gt;F62,"&gt;","&lt;")</f>
        <v>&gt;</v>
      </c>
      <c r="F62" s="52">
        <v>1.1000000000000001</v>
      </c>
      <c r="G62" s="137" t="s">
        <v>338</v>
      </c>
      <c r="H62" s="138" t="str">
        <f>IF(D62&gt;F62,"[ OK ]","[ NOT OK ]")</f>
        <v>[ OK ]</v>
      </c>
      <c r="I62" s="5"/>
    </row>
    <row r="63" spans="1:9" s="1" customFormat="1" ht="19.149999999999999" customHeight="1" x14ac:dyDescent="0.25">
      <c r="A63" s="272"/>
      <c r="B63" s="5" t="s">
        <v>378</v>
      </c>
      <c r="D63" s="4">
        <f>($H$46*$H$47*$H$48+H54*TAN(RADIANS($H$45)))/ABS(H55)</f>
        <v>1.6571599969574866</v>
      </c>
      <c r="E63" s="35" t="str">
        <f>IF(D63&gt;F63,"&gt;","&lt;")</f>
        <v>&gt;</v>
      </c>
      <c r="F63" s="52">
        <v>1.1000000000000001</v>
      </c>
      <c r="G63" s="137" t="s">
        <v>338</v>
      </c>
      <c r="H63" s="138" t="str">
        <f>IF(D63&gt;F63,"[ OK ]","[ NOT OK ]")</f>
        <v>[ OK ]</v>
      </c>
      <c r="I63" s="5"/>
    </row>
    <row r="64" spans="1:9" s="1" customFormat="1" ht="19.149999999999999" customHeight="1" x14ac:dyDescent="0.25">
      <c r="A64" s="272"/>
      <c r="G64" s="7"/>
      <c r="H64" s="35"/>
      <c r="I64" s="5"/>
    </row>
    <row r="65" spans="1:9" s="1" customFormat="1" ht="19.149999999999999" customHeight="1" x14ac:dyDescent="0.25">
      <c r="A65" s="271" t="s">
        <v>859</v>
      </c>
      <c r="B65" s="269" t="s">
        <v>390</v>
      </c>
      <c r="C65" s="130"/>
      <c r="D65" s="130"/>
      <c r="E65" s="130"/>
      <c r="F65" s="130"/>
      <c r="G65" s="140"/>
      <c r="H65" s="139"/>
      <c r="I65" s="141"/>
    </row>
    <row r="66" spans="1:9" s="1" customFormat="1" ht="19.149999999999999" customHeight="1" x14ac:dyDescent="0.25">
      <c r="A66" s="272"/>
      <c r="G66" s="7"/>
      <c r="H66" s="35"/>
      <c r="I66" s="5"/>
    </row>
    <row r="67" spans="1:9" s="1" customFormat="1" ht="19.149999999999999" customHeight="1" x14ac:dyDescent="0.25">
      <c r="A67" s="272"/>
      <c r="G67" s="7"/>
      <c r="H67" s="35"/>
      <c r="I67" s="5"/>
    </row>
    <row r="68" spans="1:9" s="1" customFormat="1" ht="19.149999999999999" customHeight="1" x14ac:dyDescent="0.25">
      <c r="A68" s="272"/>
      <c r="G68" s="7"/>
      <c r="H68" s="35"/>
      <c r="I68" s="5"/>
    </row>
    <row r="69" spans="1:9" s="1" customFormat="1" ht="19.149999999999999" customHeight="1" x14ac:dyDescent="0.25">
      <c r="A69" s="272"/>
      <c r="G69" s="7"/>
      <c r="H69" s="35"/>
      <c r="I69" s="5"/>
    </row>
    <row r="70" spans="1:9" s="1" customFormat="1" ht="19.149999999999999" customHeight="1" x14ac:dyDescent="0.25">
      <c r="A70" s="272"/>
      <c r="G70" s="7"/>
      <c r="H70" s="35"/>
      <c r="I70" s="5"/>
    </row>
    <row r="71" spans="1:9" s="1" customFormat="1" ht="19.149999999999999" customHeight="1" x14ac:dyDescent="0.25">
      <c r="A71" s="272"/>
      <c r="G71" s="7"/>
      <c r="H71" s="35"/>
      <c r="I71" s="5"/>
    </row>
    <row r="72" spans="1:9" s="1" customFormat="1" ht="19.149999999999999" customHeight="1" x14ac:dyDescent="0.25">
      <c r="A72" s="272"/>
      <c r="G72" s="7"/>
      <c r="H72" s="35"/>
      <c r="I72" s="5"/>
    </row>
    <row r="73" spans="1:9" s="1" customFormat="1" ht="19.149999999999999" customHeight="1" x14ac:dyDescent="0.25">
      <c r="A73" s="272"/>
      <c r="G73" s="7"/>
      <c r="H73" s="35"/>
      <c r="I73" s="5"/>
    </row>
    <row r="74" spans="1:9" s="1" customFormat="1" ht="19.149999999999999" customHeight="1" x14ac:dyDescent="0.25">
      <c r="A74" s="272"/>
      <c r="G74" s="7"/>
      <c r="H74" s="35"/>
      <c r="I74" s="5"/>
    </row>
    <row r="75" spans="1:9" s="1" customFormat="1" ht="19.149999999999999" customHeight="1" x14ac:dyDescent="0.25">
      <c r="A75" s="272"/>
      <c r="G75" s="7"/>
      <c r="H75" s="35"/>
      <c r="I75" s="5"/>
    </row>
    <row r="76" spans="1:9" s="1" customFormat="1" ht="19.149999999999999" customHeight="1" x14ac:dyDescent="0.25">
      <c r="A76" s="272"/>
      <c r="G76" s="7"/>
      <c r="H76" s="35"/>
      <c r="I76" s="5"/>
    </row>
    <row r="77" spans="1:9" s="1" customFormat="1" ht="19.149999999999999" customHeight="1" x14ac:dyDescent="0.25">
      <c r="A77" s="272"/>
      <c r="G77" s="7"/>
      <c r="H77" s="35"/>
      <c r="I77" s="5"/>
    </row>
    <row r="78" spans="1:9" s="1" customFormat="1" ht="19.149999999999999" customHeight="1" x14ac:dyDescent="0.25">
      <c r="A78" s="272"/>
      <c r="G78" s="7"/>
      <c r="H78" s="35"/>
      <c r="I78" s="5"/>
    </row>
    <row r="79" spans="1:9" s="1" customFormat="1" ht="19.149999999999999" customHeight="1" x14ac:dyDescent="0.25">
      <c r="A79" s="272"/>
      <c r="B79" s="1" t="s">
        <v>363</v>
      </c>
      <c r="G79" s="7" t="s">
        <v>391</v>
      </c>
      <c r="H79" s="52">
        <f>0.5*H47</f>
        <v>8.65</v>
      </c>
      <c r="I79" s="5" t="s">
        <v>0</v>
      </c>
    </row>
    <row r="80" spans="1:9" s="1" customFormat="1" ht="19.149999999999999" customHeight="1" x14ac:dyDescent="0.25">
      <c r="A80" s="272"/>
      <c r="G80" s="7" t="s">
        <v>392</v>
      </c>
      <c r="H80" s="52">
        <f>H79</f>
        <v>8.65</v>
      </c>
      <c r="I80" s="5" t="s">
        <v>0</v>
      </c>
    </row>
    <row r="81" spans="1:9" s="1" customFormat="1" ht="19.149999999999999" customHeight="1" x14ac:dyDescent="0.25">
      <c r="A81" s="272"/>
      <c r="G81" s="7"/>
      <c r="H81" s="35"/>
      <c r="I81" s="5"/>
    </row>
    <row r="82" spans="1:9" s="1" customFormat="1" ht="19.149999999999999" customHeight="1" x14ac:dyDescent="0.25">
      <c r="A82" s="272"/>
      <c r="B82" s="1" t="s">
        <v>366</v>
      </c>
      <c r="F82" s="7" t="s">
        <v>367</v>
      </c>
      <c r="G82" s="7" t="s">
        <v>368</v>
      </c>
      <c r="H82" s="4">
        <f>H50</f>
        <v>12307.330820000003</v>
      </c>
      <c r="I82" s="5" t="s">
        <v>115</v>
      </c>
    </row>
    <row r="83" spans="1:9" s="1" customFormat="1" ht="19.149999999999999" customHeight="1" x14ac:dyDescent="0.25">
      <c r="A83" s="272"/>
      <c r="F83" s="7" t="s">
        <v>369</v>
      </c>
      <c r="G83" s="7" t="s">
        <v>393</v>
      </c>
      <c r="H83" s="4">
        <f>'Process (1)'!R208</f>
        <v>-2643.3204641952179</v>
      </c>
      <c r="I83" s="5" t="s">
        <v>145</v>
      </c>
    </row>
    <row r="84" spans="1:9" s="1" customFormat="1" ht="19.149999999999999" customHeight="1" x14ac:dyDescent="0.25">
      <c r="A84" s="272"/>
      <c r="B84" s="135" t="s">
        <v>371</v>
      </c>
      <c r="C84" s="136"/>
      <c r="D84" s="136"/>
      <c r="E84" s="136"/>
      <c r="F84" s="7" t="s">
        <v>367</v>
      </c>
      <c r="G84" s="7" t="s">
        <v>368</v>
      </c>
      <c r="H84" s="4">
        <f t="shared" ref="H84:H86" si="0">H52</f>
        <v>11009.250820000001</v>
      </c>
      <c r="I84" s="5" t="s">
        <v>115</v>
      </c>
    </row>
    <row r="85" spans="1:9" s="1" customFormat="1" ht="19.149999999999999" customHeight="1" x14ac:dyDescent="0.25">
      <c r="A85" s="272"/>
      <c r="B85" s="135"/>
      <c r="C85" s="136"/>
      <c r="D85" s="136"/>
      <c r="E85" s="136"/>
      <c r="F85" s="7" t="s">
        <v>369</v>
      </c>
      <c r="G85" s="7" t="s">
        <v>393</v>
      </c>
      <c r="H85" s="4">
        <f>'Process (1)'!R209</f>
        <v>14991.660732468616</v>
      </c>
      <c r="I85" s="5" t="s">
        <v>145</v>
      </c>
    </row>
    <row r="86" spans="1:9" s="1" customFormat="1" ht="19.149999999999999" customHeight="1" x14ac:dyDescent="0.25">
      <c r="A86" s="272"/>
      <c r="B86" s="135" t="s">
        <v>372</v>
      </c>
      <c r="C86" s="136"/>
      <c r="D86" s="136"/>
      <c r="E86" s="136"/>
      <c r="F86" s="7" t="s">
        <v>367</v>
      </c>
      <c r="G86" s="7" t="s">
        <v>368</v>
      </c>
      <c r="H86" s="4">
        <f t="shared" si="0"/>
        <v>11009.250820000001</v>
      </c>
      <c r="I86" s="5" t="s">
        <v>115</v>
      </c>
    </row>
    <row r="87" spans="1:9" s="1" customFormat="1" ht="19.149999999999999" customHeight="1" x14ac:dyDescent="0.25">
      <c r="A87" s="272"/>
      <c r="B87" s="135"/>
      <c r="C87" s="136"/>
      <c r="D87" s="136"/>
      <c r="E87" s="136"/>
      <c r="F87" s="7" t="s">
        <v>369</v>
      </c>
      <c r="G87" s="7" t="s">
        <v>393</v>
      </c>
      <c r="H87" s="4">
        <f>'Process (1)'!R210</f>
        <v>4456.0699698823446</v>
      </c>
      <c r="I87" s="5" t="s">
        <v>145</v>
      </c>
    </row>
    <row r="88" spans="1:9" s="1" customFormat="1" ht="19.149999999999999" customHeight="1" x14ac:dyDescent="0.25">
      <c r="A88" s="272"/>
      <c r="B88" s="1" t="s">
        <v>909</v>
      </c>
      <c r="G88" s="7"/>
      <c r="H88" s="35"/>
      <c r="I88" s="5"/>
    </row>
    <row r="89" spans="1:9" s="1" customFormat="1" ht="19.149999999999999" customHeight="1" x14ac:dyDescent="0.25">
      <c r="A89" s="272"/>
      <c r="B89" s="1" t="s">
        <v>334</v>
      </c>
      <c r="D89" s="35" t="s">
        <v>394</v>
      </c>
      <c r="E89" s="35" t="s">
        <v>340</v>
      </c>
      <c r="F89" s="511">
        <v>2</v>
      </c>
      <c r="G89" s="7"/>
      <c r="H89" s="35"/>
      <c r="I89" s="5"/>
    </row>
    <row r="90" spans="1:9" s="1" customFormat="1" ht="19.149999999999999" customHeight="1" x14ac:dyDescent="0.25">
      <c r="A90" s="272"/>
      <c r="D90" s="35" t="s">
        <v>395</v>
      </c>
      <c r="E90" s="35" t="s">
        <v>340</v>
      </c>
      <c r="F90" s="511">
        <v>2</v>
      </c>
      <c r="G90" s="35"/>
      <c r="H90" s="35"/>
      <c r="I90" s="5"/>
    </row>
    <row r="91" spans="1:9" s="1" customFormat="1" ht="19.149999999999999" customHeight="1" x14ac:dyDescent="0.25">
      <c r="A91" s="272"/>
      <c r="G91" s="7"/>
      <c r="H91" s="35"/>
      <c r="I91" s="5"/>
    </row>
    <row r="92" spans="1:9" s="1" customFormat="1" ht="19.149999999999999" customHeight="1" x14ac:dyDescent="0.25">
      <c r="A92" s="272"/>
      <c r="B92" s="5" t="s">
        <v>376</v>
      </c>
      <c r="D92" s="4">
        <f>H82*IF(H83&gt;0,H80,H79)/ABS(H83)</f>
        <v>40.274500589323068</v>
      </c>
      <c r="E92" s="35" t="str">
        <f>IF(D92&gt;F92,"&gt;","&lt;")</f>
        <v>&gt;</v>
      </c>
      <c r="F92" s="52">
        <v>2</v>
      </c>
      <c r="G92" s="137" t="s">
        <v>338</v>
      </c>
      <c r="H92" s="138" t="str">
        <f>IF(D92&gt;F92,"[ OK ]","[ NOT OK ]")</f>
        <v>[ OK ]</v>
      </c>
      <c r="I92" s="5"/>
    </row>
    <row r="93" spans="1:9" s="1" customFormat="1" ht="19.149999999999999" customHeight="1" x14ac:dyDescent="0.25">
      <c r="A93" s="272"/>
      <c r="B93" s="5" t="s">
        <v>377</v>
      </c>
      <c r="D93" s="4">
        <f>H84*IF(H85&gt;0,H80,H79)/ABS(H85)</f>
        <v>6.3521994855948742</v>
      </c>
      <c r="E93" s="35" t="str">
        <f>IF(D93&gt;F93,"&gt;","&lt;")</f>
        <v>&gt;</v>
      </c>
      <c r="F93" s="52">
        <v>2</v>
      </c>
      <c r="G93" s="137" t="s">
        <v>338</v>
      </c>
      <c r="H93" s="138" t="str">
        <f>IF(D93&gt;F93,"[ OK ]","[ NOT OK ]")</f>
        <v>[ OK ]</v>
      </c>
      <c r="I93" s="5"/>
    </row>
    <row r="94" spans="1:9" s="1" customFormat="1" ht="19.149999999999999" customHeight="1" x14ac:dyDescent="0.25">
      <c r="A94" s="272"/>
      <c r="B94" s="5" t="s">
        <v>378</v>
      </c>
      <c r="D94" s="4">
        <f>H86*IF(H87&gt;0,H80,H79)/ABS(H87)</f>
        <v>21.370853742566887</v>
      </c>
      <c r="E94" s="35" t="str">
        <f>IF(D94&gt;F94,"&gt;","&lt;")</f>
        <v>&gt;</v>
      </c>
      <c r="F94" s="52">
        <v>2</v>
      </c>
      <c r="G94" s="137" t="s">
        <v>338</v>
      </c>
      <c r="H94" s="138" t="str">
        <f>IF(D94&gt;F94,"[ OK ]","[ NOT OK ]")</f>
        <v>[ OK ]</v>
      </c>
      <c r="I94" s="5"/>
    </row>
    <row r="95" spans="1:9" s="1" customFormat="1" ht="19.149999999999999" customHeight="1" x14ac:dyDescent="0.25">
      <c r="A95" s="272"/>
      <c r="G95" s="7"/>
      <c r="H95" s="35"/>
      <c r="I95" s="5"/>
    </row>
    <row r="96" spans="1:9" s="1" customFormat="1" ht="19.149999999999999" customHeight="1" x14ac:dyDescent="0.25">
      <c r="A96" s="271" t="s">
        <v>860</v>
      </c>
      <c r="B96" s="270" t="s">
        <v>396</v>
      </c>
      <c r="C96" s="131"/>
      <c r="D96" s="131"/>
      <c r="E96" s="131"/>
      <c r="F96" s="131"/>
      <c r="G96" s="132"/>
      <c r="H96" s="133"/>
      <c r="I96" s="134"/>
    </row>
    <row r="97" spans="1:9" s="1" customFormat="1" ht="19.149999999999999" customHeight="1" x14ac:dyDescent="0.25">
      <c r="A97" s="272"/>
      <c r="G97" s="7"/>
      <c r="H97" s="35"/>
      <c r="I97" s="5"/>
    </row>
    <row r="98" spans="1:9" s="1" customFormat="1" ht="19.149999999999999" customHeight="1" x14ac:dyDescent="0.25">
      <c r="A98" s="272"/>
      <c r="G98" s="7"/>
      <c r="H98" s="35"/>
      <c r="I98" s="5"/>
    </row>
    <row r="99" spans="1:9" s="1" customFormat="1" ht="19.149999999999999" customHeight="1" x14ac:dyDescent="0.25">
      <c r="A99" s="272"/>
      <c r="G99" s="7"/>
      <c r="H99" s="35"/>
      <c r="I99" s="5"/>
    </row>
    <row r="100" spans="1:9" s="1" customFormat="1" ht="19.149999999999999" customHeight="1" x14ac:dyDescent="0.25">
      <c r="A100" s="272"/>
      <c r="G100" s="7"/>
      <c r="H100" s="35"/>
      <c r="I100" s="5"/>
    </row>
    <row r="101" spans="1:9" s="1" customFormat="1" ht="19.149999999999999" customHeight="1" x14ac:dyDescent="0.25">
      <c r="A101" s="272"/>
      <c r="G101" s="7"/>
      <c r="H101" s="35"/>
      <c r="I101" s="5"/>
    </row>
    <row r="102" spans="1:9" s="1" customFormat="1" ht="19.149999999999999" customHeight="1" x14ac:dyDescent="0.25">
      <c r="A102" s="272"/>
      <c r="G102" s="7"/>
      <c r="H102" s="35"/>
      <c r="I102" s="5"/>
    </row>
    <row r="103" spans="1:9" s="1" customFormat="1" ht="19.149999999999999" customHeight="1" x14ac:dyDescent="0.25">
      <c r="A103" s="272"/>
      <c r="G103" s="7"/>
      <c r="H103" s="35"/>
      <c r="I103" s="5"/>
    </row>
    <row r="104" spans="1:9" s="1" customFormat="1" ht="19.149999999999999" customHeight="1" x14ac:dyDescent="0.25">
      <c r="A104" s="272"/>
      <c r="G104" s="7"/>
      <c r="H104" s="35"/>
      <c r="I104" s="5"/>
    </row>
    <row r="105" spans="1:9" s="1" customFormat="1" ht="19.149999999999999" customHeight="1" x14ac:dyDescent="0.25">
      <c r="A105" s="272"/>
      <c r="G105" s="7"/>
      <c r="H105" s="35"/>
      <c r="I105" s="5"/>
    </row>
    <row r="106" spans="1:9" s="1" customFormat="1" ht="19.149999999999999" customHeight="1" x14ac:dyDescent="0.25">
      <c r="A106" s="272"/>
      <c r="G106" s="7"/>
      <c r="H106" s="35"/>
      <c r="I106" s="5"/>
    </row>
    <row r="107" spans="1:9" s="1" customFormat="1" ht="19.149999999999999" customHeight="1" x14ac:dyDescent="0.25">
      <c r="A107" s="272"/>
      <c r="G107" s="7"/>
      <c r="H107" s="35"/>
      <c r="I107" s="5"/>
    </row>
    <row r="108" spans="1:9" s="1" customFormat="1" ht="19.149999999999999" customHeight="1" x14ac:dyDescent="0.25">
      <c r="A108" s="272"/>
      <c r="G108" s="7"/>
      <c r="H108" s="35"/>
      <c r="I108" s="5"/>
    </row>
    <row r="109" spans="1:9" s="1" customFormat="1" ht="19.149999999999999" customHeight="1" x14ac:dyDescent="0.25">
      <c r="A109" s="272"/>
      <c r="B109" s="1" t="s">
        <v>111</v>
      </c>
      <c r="G109" s="50" t="s">
        <v>112</v>
      </c>
      <c r="H109" s="52">
        <f>H45</f>
        <v>36.020000000000003</v>
      </c>
      <c r="I109" s="15" t="s">
        <v>100</v>
      </c>
    </row>
    <row r="110" spans="1:9" s="1" customFormat="1" ht="19.149999999999999" customHeight="1" x14ac:dyDescent="0.25">
      <c r="A110" s="272"/>
      <c r="B110" s="1" t="s">
        <v>113</v>
      </c>
      <c r="G110" s="7" t="s">
        <v>102</v>
      </c>
      <c r="H110" s="4">
        <f>H46</f>
        <v>2.4220000000000002</v>
      </c>
      <c r="I110" s="5" t="s">
        <v>103</v>
      </c>
    </row>
    <row r="111" spans="1:9" s="1" customFormat="1" ht="19.149999999999999" customHeight="1" x14ac:dyDescent="0.25">
      <c r="A111" s="272"/>
      <c r="B111" s="1" t="s">
        <v>380</v>
      </c>
      <c r="G111" s="7" t="s">
        <v>381</v>
      </c>
      <c r="H111" s="6">
        <f>H47</f>
        <v>17.3</v>
      </c>
      <c r="I111" s="5" t="s">
        <v>0</v>
      </c>
    </row>
    <row r="112" spans="1:9" s="1" customFormat="1" ht="19.149999999999999" customHeight="1" x14ac:dyDescent="0.25">
      <c r="A112" s="272"/>
      <c r="B112" s="1" t="s">
        <v>382</v>
      </c>
      <c r="G112" s="7" t="s">
        <v>383</v>
      </c>
      <c r="H112" s="6">
        <f>H48</f>
        <v>7</v>
      </c>
      <c r="I112" s="5" t="s">
        <v>0</v>
      </c>
    </row>
    <row r="113" spans="1:9" s="1" customFormat="1" ht="19.149999999999999" customHeight="1" x14ac:dyDescent="0.25">
      <c r="A113" s="272"/>
      <c r="G113" s="7"/>
      <c r="H113" s="35"/>
      <c r="I113" s="5"/>
    </row>
    <row r="114" spans="1:9" s="1" customFormat="1" ht="19.149999999999999" customHeight="1" x14ac:dyDescent="0.25">
      <c r="A114" s="272"/>
      <c r="B114" s="1" t="s">
        <v>366</v>
      </c>
      <c r="F114" s="7" t="s">
        <v>367</v>
      </c>
      <c r="G114" s="7" t="s">
        <v>368</v>
      </c>
      <c r="H114" s="4">
        <f>H82</f>
        <v>12307.330820000003</v>
      </c>
      <c r="I114" s="5" t="s">
        <v>115</v>
      </c>
    </row>
    <row r="115" spans="1:9" s="1" customFormat="1" ht="19.149999999999999" customHeight="1" x14ac:dyDescent="0.25">
      <c r="A115" s="272"/>
      <c r="F115" s="7" t="s">
        <v>384</v>
      </c>
      <c r="G115" s="7" t="s">
        <v>397</v>
      </c>
      <c r="H115" s="4">
        <f>'Process (1)'!P208</f>
        <v>143.93799999999999</v>
      </c>
      <c r="I115" s="5" t="s">
        <v>115</v>
      </c>
    </row>
    <row r="116" spans="1:9" s="1" customFormat="1" ht="19.149999999999999" customHeight="1" x14ac:dyDescent="0.25">
      <c r="A116" s="272"/>
      <c r="B116" s="135" t="s">
        <v>371</v>
      </c>
      <c r="C116" s="136"/>
      <c r="D116" s="136"/>
      <c r="E116" s="136"/>
      <c r="F116" s="7" t="s">
        <v>367</v>
      </c>
      <c r="G116" s="7" t="s">
        <v>368</v>
      </c>
      <c r="H116" s="4">
        <f>H84</f>
        <v>11009.250820000001</v>
      </c>
      <c r="I116" s="5" t="s">
        <v>115</v>
      </c>
    </row>
    <row r="117" spans="1:9" s="1" customFormat="1" ht="19.149999999999999" customHeight="1" x14ac:dyDescent="0.25">
      <c r="A117" s="272"/>
      <c r="B117" s="135"/>
      <c r="C117" s="136"/>
      <c r="D117" s="136"/>
      <c r="E117" s="136"/>
      <c r="F117" s="7" t="s">
        <v>384</v>
      </c>
      <c r="G117" s="7" t="s">
        <v>397</v>
      </c>
      <c r="H117" s="4">
        <f>'Process (1)'!P209</f>
        <v>798.64855559999978</v>
      </c>
      <c r="I117" s="5" t="s">
        <v>115</v>
      </c>
    </row>
    <row r="118" spans="1:9" s="1" customFormat="1" ht="19.149999999999999" customHeight="1" x14ac:dyDescent="0.25">
      <c r="A118" s="272"/>
      <c r="B118" s="135" t="s">
        <v>372</v>
      </c>
      <c r="C118" s="136"/>
      <c r="D118" s="136"/>
      <c r="E118" s="136"/>
      <c r="F118" s="7" t="s">
        <v>367</v>
      </c>
      <c r="G118" s="7" t="s">
        <v>368</v>
      </c>
      <c r="H118" s="4">
        <f>H86</f>
        <v>11009.250820000001</v>
      </c>
      <c r="I118" s="5" t="s">
        <v>115</v>
      </c>
    </row>
    <row r="119" spans="1:9" s="1" customFormat="1" ht="19.149999999999999" customHeight="1" x14ac:dyDescent="0.25">
      <c r="A119" s="272"/>
      <c r="B119" s="135"/>
      <c r="C119" s="136"/>
      <c r="D119" s="136"/>
      <c r="E119" s="136"/>
      <c r="F119" s="7" t="s">
        <v>384</v>
      </c>
      <c r="G119" s="7" t="s">
        <v>397</v>
      </c>
      <c r="H119" s="4">
        <f>'Process (1)'!P210</f>
        <v>1683.552114038639</v>
      </c>
      <c r="I119" s="5" t="s">
        <v>115</v>
      </c>
    </row>
    <row r="120" spans="1:9" s="1" customFormat="1" ht="19.149999999999999" customHeight="1" x14ac:dyDescent="0.25">
      <c r="A120" s="272"/>
      <c r="B120" s="1" t="s">
        <v>910</v>
      </c>
      <c r="G120" s="7"/>
      <c r="H120" s="35"/>
      <c r="I120" s="5"/>
    </row>
    <row r="121" spans="1:9" s="1" customFormat="1" ht="19.149999999999999" customHeight="1" x14ac:dyDescent="0.25">
      <c r="A121" s="272"/>
      <c r="B121" s="1" t="s">
        <v>334</v>
      </c>
      <c r="D121" s="35" t="s">
        <v>387</v>
      </c>
      <c r="E121" s="35" t="s">
        <v>340</v>
      </c>
      <c r="F121" s="511">
        <v>1.5</v>
      </c>
      <c r="G121" s="8" t="s">
        <v>671</v>
      </c>
      <c r="H121" s="35"/>
      <c r="I121" s="5"/>
    </row>
    <row r="122" spans="1:9" s="1" customFormat="1" ht="19.149999999999999" customHeight="1" x14ac:dyDescent="0.25">
      <c r="A122" s="272"/>
      <c r="D122" s="35" t="s">
        <v>387</v>
      </c>
      <c r="E122" s="35" t="s">
        <v>340</v>
      </c>
      <c r="F122" s="511">
        <v>1.1000000000000001</v>
      </c>
      <c r="G122" s="8" t="s">
        <v>672</v>
      </c>
      <c r="H122" s="35"/>
      <c r="I122" s="5"/>
    </row>
    <row r="123" spans="1:9" s="1" customFormat="1" ht="19.149999999999999" customHeight="1" x14ac:dyDescent="0.25">
      <c r="A123" s="272"/>
      <c r="D123" s="35" t="s">
        <v>388</v>
      </c>
      <c r="E123" s="35" t="s">
        <v>11</v>
      </c>
      <c r="F123" s="8" t="s">
        <v>389</v>
      </c>
      <c r="G123" s="35"/>
      <c r="H123" s="35"/>
      <c r="I123" s="5"/>
    </row>
    <row r="124" spans="1:9" s="1" customFormat="1" ht="19.149999999999999" customHeight="1" x14ac:dyDescent="0.25">
      <c r="A124" s="272"/>
      <c r="G124" s="7"/>
      <c r="H124" s="35"/>
      <c r="I124" s="5"/>
    </row>
    <row r="125" spans="1:9" s="1" customFormat="1" ht="19.149999999999999" customHeight="1" x14ac:dyDescent="0.25">
      <c r="A125" s="272"/>
      <c r="B125" s="5" t="s">
        <v>376</v>
      </c>
      <c r="D125" s="4">
        <f>($H$110*$H$111*$H$112+H114*TAN(RADIANS($H$109)))/ABS(H115)</f>
        <v>64.205900606586837</v>
      </c>
      <c r="E125" s="35" t="str">
        <f>IF(D125&gt;F125,"&gt;","&lt;")</f>
        <v>&gt;</v>
      </c>
      <c r="F125" s="52">
        <v>1.5</v>
      </c>
      <c r="G125" s="137" t="s">
        <v>338</v>
      </c>
      <c r="H125" s="138" t="str">
        <f>IF(D125&gt;F125,"[ OK ]","[ NOT OK ]")</f>
        <v>[ OK ]</v>
      </c>
      <c r="I125" s="5"/>
    </row>
    <row r="126" spans="1:9" s="1" customFormat="1" ht="19.149999999999999" customHeight="1" x14ac:dyDescent="0.25">
      <c r="A126" s="272"/>
      <c r="B126" s="5" t="s">
        <v>377</v>
      </c>
      <c r="D126" s="4">
        <f>($H$110*$H$111*$H$112+H116*TAN(RADIANS($H$109)))/ABS(H117)</f>
        <v>10.389884341742652</v>
      </c>
      <c r="E126" s="35" t="str">
        <f>IF(D126&gt;F126,"&gt;","&lt;")</f>
        <v>&gt;</v>
      </c>
      <c r="F126" s="52">
        <v>1.1000000000000001</v>
      </c>
      <c r="G126" s="137" t="s">
        <v>338</v>
      </c>
      <c r="H126" s="138" t="str">
        <f>IF(D126&gt;F126,"[ OK ]","[ NOT OK ]")</f>
        <v>[ OK ]</v>
      </c>
      <c r="I126" s="5"/>
    </row>
    <row r="127" spans="1:9" s="1" customFormat="1" ht="19.149999999999999" customHeight="1" x14ac:dyDescent="0.25">
      <c r="A127" s="272"/>
      <c r="B127" s="5" t="s">
        <v>378</v>
      </c>
      <c r="D127" s="4">
        <f>($H$110*$H$111*$H$112+H118*TAN(RADIANS($H$109)))/ABS(H119)</f>
        <v>4.9287848313042364</v>
      </c>
      <c r="E127" s="35" t="str">
        <f>IF(D127&gt;F127,"&gt;","&lt;")</f>
        <v>&gt;</v>
      </c>
      <c r="F127" s="52">
        <v>1.1000000000000001</v>
      </c>
      <c r="G127" s="137" t="s">
        <v>338</v>
      </c>
      <c r="H127" s="138" t="str">
        <f>IF(D127&gt;F127,"[ OK ]","[ NOT OK ]")</f>
        <v>[ OK ]</v>
      </c>
      <c r="I127" s="5"/>
    </row>
    <row r="128" spans="1:9" s="1" customFormat="1" ht="19.149999999999999" customHeight="1" x14ac:dyDescent="0.25">
      <c r="A128" s="272"/>
      <c r="G128" s="7"/>
      <c r="H128" s="35"/>
      <c r="I128" s="5"/>
    </row>
  </sheetData>
  <conditionalFormatting sqref="H28:H30 H61:H63 H92:H94 H125:H127">
    <cfRule type="containsText" dxfId="22" priority="2" operator="containsText" text="[ OK ]">
      <formula>NOT(ISERROR(SEARCH("[ OK ]",H28)))</formula>
    </cfRule>
  </conditionalFormatting>
  <conditionalFormatting sqref="H28:H30 H61:H63 H92:H94 H125:H127">
    <cfRule type="containsText" dxfId="21" priority="1" operator="containsText" text="[ NOT OK ]">
      <formula>NOT(ISERROR(SEARCH("[ NOT OK ]",H28)))</formula>
    </cfRule>
  </conditionalFormatting>
  <pageMargins left="0.7" right="0.7" top="0.75" bottom="0.75" header="0.3" footer="0.3"/>
  <pageSetup orientation="portrait" r:id="rId1"/>
  <ignoredErrors>
    <ignoredError sqref="H50 H54:H55 H79:H80 H82 H86:H87 H109:H112" evalError="1"/>
    <ignoredError sqref="H51:H53 H83:H85" evalError="1" formula="1"/>
    <ignoredError sqref="H115:H11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D2F7-2518-4A04-83A5-A2FD3B9C4937}">
  <sheetPr>
    <tabColor theme="9" tint="0.79998168889431442"/>
  </sheetPr>
  <dimension ref="A1:I142"/>
  <sheetViews>
    <sheetView showGridLines="0" workbookViewId="0"/>
  </sheetViews>
  <sheetFormatPr defaultRowHeight="18.75" customHeight="1" x14ac:dyDescent="0.25"/>
  <cols>
    <col min="1" max="1" width="6.7109375" style="1" customWidth="1"/>
    <col min="2" max="17" width="11.42578125" style="1" customWidth="1"/>
    <col min="18" max="16384" width="9.140625" style="1"/>
  </cols>
  <sheetData>
    <row r="1" spans="2:2" ht="18.75" customHeight="1" x14ac:dyDescent="0.25">
      <c r="B1" s="9" t="s">
        <v>872</v>
      </c>
    </row>
    <row r="19" spans="2:9" ht="18.75" customHeight="1" x14ac:dyDescent="0.25">
      <c r="B19" s="347" t="s">
        <v>39</v>
      </c>
      <c r="C19" s="37">
        <f>'Input (1)'!C38</f>
        <v>0.9</v>
      </c>
      <c r="D19" s="348" t="s">
        <v>0</v>
      </c>
      <c r="E19" s="349" t="s">
        <v>873</v>
      </c>
      <c r="F19" s="37">
        <f>'Input (1)'!F38</f>
        <v>0.35</v>
      </c>
      <c r="G19" s="8" t="s">
        <v>0</v>
      </c>
      <c r="H19" s="7"/>
    </row>
    <row r="20" spans="2:9" ht="18.75" customHeight="1" x14ac:dyDescent="0.25">
      <c r="B20" s="347" t="s">
        <v>15</v>
      </c>
      <c r="C20" s="37">
        <f>'Input (1)'!C39</f>
        <v>2.63</v>
      </c>
      <c r="D20" s="348" t="s">
        <v>0</v>
      </c>
      <c r="E20" s="349" t="s">
        <v>874</v>
      </c>
      <c r="F20" s="37">
        <f>'Input (1)'!F39</f>
        <v>0.55000000000000004</v>
      </c>
      <c r="G20" s="8" t="s">
        <v>0</v>
      </c>
      <c r="H20" s="7"/>
    </row>
    <row r="21" spans="2:9" ht="18.75" customHeight="1" x14ac:dyDescent="0.25">
      <c r="B21" s="347" t="s">
        <v>17</v>
      </c>
      <c r="C21" s="37">
        <f>'Input (1)'!C40</f>
        <v>0.6</v>
      </c>
      <c r="D21" s="348" t="s">
        <v>0</v>
      </c>
      <c r="E21" s="349" t="s">
        <v>875</v>
      </c>
      <c r="F21" s="37">
        <f>'Input (1)'!F40</f>
        <v>0.6</v>
      </c>
      <c r="G21" s="8" t="s">
        <v>0</v>
      </c>
      <c r="H21" s="7"/>
    </row>
    <row r="22" spans="2:9" ht="18.75" customHeight="1" x14ac:dyDescent="0.25">
      <c r="B22" s="347" t="s">
        <v>19</v>
      </c>
      <c r="C22" s="37">
        <f>'Input (1)'!C41</f>
        <v>2.1</v>
      </c>
      <c r="D22" s="348" t="s">
        <v>0</v>
      </c>
      <c r="E22" s="343"/>
      <c r="F22" s="344"/>
      <c r="G22" s="8"/>
      <c r="H22" s="7"/>
    </row>
    <row r="23" spans="2:9" ht="18.75" customHeight="1" x14ac:dyDescent="0.25">
      <c r="B23" s="347" t="s">
        <v>20</v>
      </c>
      <c r="C23" s="37">
        <f>'Input (1)'!C42</f>
        <v>0.5</v>
      </c>
      <c r="D23" s="348" t="s">
        <v>0</v>
      </c>
      <c r="E23" s="349" t="s">
        <v>876</v>
      </c>
      <c r="F23" s="37">
        <f>'Input (1)'!F42</f>
        <v>1</v>
      </c>
      <c r="G23" s="8" t="s">
        <v>0</v>
      </c>
      <c r="H23" s="7"/>
    </row>
    <row r="24" spans="2:9" ht="18.75" customHeight="1" x14ac:dyDescent="0.25">
      <c r="B24" s="347" t="s">
        <v>22</v>
      </c>
      <c r="C24" s="37">
        <f>'Input (1)'!C43</f>
        <v>0.75</v>
      </c>
      <c r="D24" s="348" t="s">
        <v>0</v>
      </c>
      <c r="E24" s="349" t="s">
        <v>877</v>
      </c>
      <c r="F24" s="37">
        <f>'Input (1)'!F43</f>
        <v>3</v>
      </c>
      <c r="G24" s="8" t="s">
        <v>0</v>
      </c>
      <c r="H24" s="7"/>
      <c r="I24" s="339"/>
    </row>
    <row r="25" spans="2:9" ht="18.75" customHeight="1" x14ac:dyDescent="0.25">
      <c r="B25" s="7"/>
      <c r="C25" s="345"/>
      <c r="D25" s="348"/>
      <c r="E25" s="349" t="s">
        <v>878</v>
      </c>
      <c r="F25" s="37">
        <f>'Input (1)'!F44</f>
        <v>3</v>
      </c>
      <c r="G25" s="8" t="s">
        <v>0</v>
      </c>
      <c r="H25" s="7"/>
      <c r="I25" s="339"/>
    </row>
    <row r="26" spans="2:9" ht="18.75" customHeight="1" x14ac:dyDescent="0.25">
      <c r="B26" s="347" t="s">
        <v>23</v>
      </c>
      <c r="C26" s="37">
        <f>'Input (1)'!C46</f>
        <v>2.5</v>
      </c>
      <c r="D26" s="348" t="s">
        <v>0</v>
      </c>
      <c r="E26" s="349" t="s">
        <v>879</v>
      </c>
      <c r="F26" s="37">
        <f>'Input (1)'!F45</f>
        <v>0.6</v>
      </c>
      <c r="G26" s="8" t="s">
        <v>0</v>
      </c>
      <c r="H26" s="7"/>
    </row>
    <row r="27" spans="2:9" ht="18.75" customHeight="1" x14ac:dyDescent="0.25">
      <c r="B27" s="347" t="s">
        <v>25</v>
      </c>
      <c r="C27" s="37">
        <f>'Input (1)'!C47</f>
        <v>0.55000000000000004</v>
      </c>
      <c r="D27" s="348" t="s">
        <v>0</v>
      </c>
      <c r="E27" s="350"/>
      <c r="F27" s="346"/>
      <c r="G27" s="8"/>
      <c r="H27" s="7"/>
    </row>
    <row r="28" spans="2:9" ht="18.75" customHeight="1" x14ac:dyDescent="0.25">
      <c r="B28" s="347" t="s">
        <v>26</v>
      </c>
      <c r="C28" s="37">
        <f>'Input (1)'!C48</f>
        <v>0.8</v>
      </c>
      <c r="D28" s="348" t="s">
        <v>0</v>
      </c>
      <c r="E28" s="349" t="s">
        <v>11</v>
      </c>
      <c r="F28" s="37">
        <f>'Input (1)'!F48</f>
        <v>7.48</v>
      </c>
      <c r="G28" s="8" t="s">
        <v>0</v>
      </c>
      <c r="H28" s="21"/>
    </row>
    <row r="29" spans="2:9" ht="18.75" customHeight="1" x14ac:dyDescent="0.25">
      <c r="B29" s="347" t="s">
        <v>27</v>
      </c>
      <c r="C29" s="37">
        <f>'Input (1)'!C49</f>
        <v>0.6</v>
      </c>
      <c r="D29" s="348" t="s">
        <v>0</v>
      </c>
      <c r="E29" s="349" t="s">
        <v>1</v>
      </c>
      <c r="F29" s="37">
        <f>'Input (1)'!F49</f>
        <v>7</v>
      </c>
      <c r="G29" s="351" t="s">
        <v>0</v>
      </c>
      <c r="H29" s="340"/>
      <c r="I29" s="341"/>
    </row>
    <row r="30" spans="2:9" ht="18.75" customHeight="1" x14ac:dyDescent="0.25">
      <c r="B30" s="347" t="s">
        <v>654</v>
      </c>
      <c r="C30" s="37">
        <f>'Input (1)'!C50</f>
        <v>1.7800000000000007</v>
      </c>
      <c r="D30" s="348" t="s">
        <v>0</v>
      </c>
      <c r="E30" s="349" t="s">
        <v>880</v>
      </c>
      <c r="F30" s="37">
        <f>'Input (1)'!F50</f>
        <v>2</v>
      </c>
      <c r="G30" s="8" t="s">
        <v>0</v>
      </c>
      <c r="H30" s="7"/>
    </row>
    <row r="31" spans="2:9" ht="18.75" customHeight="1" x14ac:dyDescent="0.25">
      <c r="B31" s="7"/>
      <c r="C31" s="346"/>
      <c r="D31" s="346"/>
      <c r="E31" s="349" t="s">
        <v>881</v>
      </c>
      <c r="F31" s="37">
        <f>'Input (1)'!F51</f>
        <v>2.9800000000000004</v>
      </c>
      <c r="G31" s="8" t="s">
        <v>0</v>
      </c>
      <c r="H31" s="7"/>
    </row>
    <row r="32" spans="2:9" ht="18.75" customHeight="1" x14ac:dyDescent="0.25">
      <c r="B32" s="7"/>
      <c r="C32" s="346"/>
      <c r="D32" s="346"/>
      <c r="E32" s="350"/>
      <c r="F32" s="346"/>
      <c r="H32" s="7"/>
    </row>
    <row r="33" spans="2:9" ht="18.75" customHeight="1" x14ac:dyDescent="0.25">
      <c r="B33" s="7"/>
      <c r="C33" s="346"/>
      <c r="D33" s="346"/>
      <c r="E33" s="350"/>
      <c r="F33" s="346"/>
      <c r="H33" s="7"/>
    </row>
    <row r="34" spans="2:9" ht="18.75" customHeight="1" x14ac:dyDescent="0.25">
      <c r="B34" s="347" t="s">
        <v>30</v>
      </c>
      <c r="C34" s="37">
        <f>'Input (1)'!C54</f>
        <v>6</v>
      </c>
      <c r="D34" s="348" t="s">
        <v>0</v>
      </c>
      <c r="E34" s="349" t="s">
        <v>882</v>
      </c>
      <c r="F34" s="37">
        <f>'Input (1)'!F54</f>
        <v>4</v>
      </c>
      <c r="G34" s="8" t="s">
        <v>0</v>
      </c>
      <c r="H34" s="7"/>
    </row>
    <row r="35" spans="2:9" ht="18.75" customHeight="1" x14ac:dyDescent="0.25">
      <c r="B35" s="347" t="s">
        <v>32</v>
      </c>
      <c r="C35" s="37">
        <f>'Input (1)'!C55</f>
        <v>0.5</v>
      </c>
      <c r="D35" s="348" t="s">
        <v>0</v>
      </c>
      <c r="E35" s="346"/>
      <c r="F35" s="346"/>
      <c r="H35" s="7"/>
    </row>
    <row r="36" spans="2:9" ht="18.75" customHeight="1" x14ac:dyDescent="0.25">
      <c r="H36" s="7"/>
    </row>
    <row r="37" spans="2:9" ht="18.75" customHeight="1" x14ac:dyDescent="0.25">
      <c r="B37" s="8" t="s">
        <v>33</v>
      </c>
      <c r="G37" s="7" t="s">
        <v>34</v>
      </c>
      <c r="H37" s="4">
        <f>'Input (1)'!I57</f>
        <v>17.863</v>
      </c>
      <c r="I37" s="1" t="s">
        <v>0</v>
      </c>
    </row>
    <row r="38" spans="2:9" ht="18.75" customHeight="1" x14ac:dyDescent="0.25">
      <c r="B38" s="8" t="s">
        <v>36</v>
      </c>
      <c r="G38" s="7" t="s">
        <v>2</v>
      </c>
      <c r="H38" s="4">
        <f>'Input (1)'!I58</f>
        <v>17.3</v>
      </c>
      <c r="I38" s="1" t="s">
        <v>0</v>
      </c>
    </row>
    <row r="40" spans="2:9" ht="18.75" customHeight="1" x14ac:dyDescent="0.25">
      <c r="B40" s="9" t="s">
        <v>884</v>
      </c>
    </row>
    <row r="41" spans="2:9" ht="18.75" customHeight="1" x14ac:dyDescent="0.25">
      <c r="B41" s="589" t="s">
        <v>260</v>
      </c>
      <c r="C41" s="589"/>
      <c r="D41" s="589"/>
      <c r="E41" s="589"/>
      <c r="F41" s="589"/>
      <c r="G41" s="589"/>
      <c r="H41" s="589"/>
      <c r="I41" s="589"/>
    </row>
    <row r="42" spans="2:9" ht="18.75" customHeight="1" x14ac:dyDescent="0.25">
      <c r="B42" s="2" t="s">
        <v>334</v>
      </c>
      <c r="C42" s="2"/>
      <c r="D42" s="89" t="s">
        <v>335</v>
      </c>
      <c r="E42" s="89" t="s">
        <v>336</v>
      </c>
      <c r="F42" s="89" t="s">
        <v>337</v>
      </c>
      <c r="G42" s="2"/>
      <c r="H42" s="2"/>
    </row>
    <row r="43" spans="2:9" ht="18.75" customHeight="1" x14ac:dyDescent="0.25">
      <c r="B43" s="2"/>
      <c r="C43" s="2"/>
      <c r="D43" s="82">
        <f>'Process (2)'!E134</f>
        <v>13513.702398978483</v>
      </c>
      <c r="E43" s="89" t="str">
        <f>IF(D43&lt;=F43,"&lt;","&gt;")</f>
        <v>&lt;</v>
      </c>
      <c r="F43" s="82">
        <f>'Process (2)'!G134</f>
        <v>21480.01420933663</v>
      </c>
      <c r="G43" s="25" t="s">
        <v>338</v>
      </c>
      <c r="H43" s="61" t="str">
        <f>IF(D43&lt;F43,"AMAN (OK)","BAHAYA (NG)")</f>
        <v>AMAN (OK)</v>
      </c>
    </row>
    <row r="44" spans="2:9" ht="18.75" customHeight="1" x14ac:dyDescent="0.25">
      <c r="B44" s="2"/>
      <c r="C44" s="2"/>
      <c r="D44" s="2"/>
      <c r="E44" s="2"/>
      <c r="F44" s="2"/>
      <c r="G44" s="2"/>
      <c r="H44" s="2"/>
    </row>
    <row r="45" spans="2:9" ht="18.75" customHeight="1" x14ac:dyDescent="0.25">
      <c r="B45" s="2"/>
      <c r="C45" s="2"/>
      <c r="D45" s="89" t="s">
        <v>339</v>
      </c>
      <c r="E45" s="89" t="s">
        <v>340</v>
      </c>
      <c r="F45" s="104" t="s">
        <v>341</v>
      </c>
      <c r="G45" s="2"/>
      <c r="H45" s="2"/>
    </row>
    <row r="46" spans="2:9" ht="18.75" customHeight="1" x14ac:dyDescent="0.25">
      <c r="B46" s="2"/>
      <c r="C46" s="2"/>
      <c r="D46" s="82">
        <f>'Process (2)'!E137</f>
        <v>961.00472866139773</v>
      </c>
      <c r="E46" s="89" t="str">
        <f>IF(D46&lt;=F46,"&lt;","&gt;")</f>
        <v>&gt;</v>
      </c>
      <c r="F46" s="82">
        <f>'Process (2)'!G137</f>
        <v>-371.21563244837341</v>
      </c>
      <c r="G46" s="25" t="s">
        <v>338</v>
      </c>
      <c r="H46" s="61" t="str">
        <f>IF(D46&gt;F46,"AMAN (OK)","SISA GAYA DILIMPAHKAN")</f>
        <v>AMAN (OK)</v>
      </c>
    </row>
    <row r="47" spans="2:9" ht="18.75" customHeight="1" x14ac:dyDescent="0.25">
      <c r="B47" s="2"/>
      <c r="C47" s="2"/>
      <c r="D47" s="2"/>
      <c r="E47" s="2"/>
      <c r="F47" s="2"/>
      <c r="G47" s="2"/>
      <c r="H47" s="2"/>
    </row>
    <row r="48" spans="2:9" ht="18.75" customHeight="1" x14ac:dyDescent="0.25">
      <c r="B48" s="2"/>
      <c r="C48" s="2"/>
      <c r="D48" s="89" t="s">
        <v>342</v>
      </c>
      <c r="E48" s="89" t="s">
        <v>336</v>
      </c>
      <c r="F48" s="89" t="s">
        <v>343</v>
      </c>
      <c r="G48" s="2"/>
      <c r="H48" s="2"/>
    </row>
    <row r="49" spans="2:9" ht="18.75" customHeight="1" x14ac:dyDescent="0.25">
      <c r="B49" s="2"/>
      <c r="C49" s="2"/>
      <c r="D49" s="82">
        <f>'Process (2)'!E140</f>
        <v>1291.2790045016827</v>
      </c>
      <c r="E49" s="89" t="str">
        <f>IF(D49&lt;=F49,"&lt;","&gt;")</f>
        <v>&lt;</v>
      </c>
      <c r="F49" s="82">
        <f>'Process (2)'!G140</f>
        <v>2343.6331640781891</v>
      </c>
      <c r="G49" s="25" t="s">
        <v>338</v>
      </c>
      <c r="H49" s="61" t="str">
        <f>IF(D49&lt;F49,"AMAN (OK)","BAHAYA (NG)")</f>
        <v>AMAN (OK)</v>
      </c>
    </row>
    <row r="50" spans="2:9" ht="18.75" customHeight="1" x14ac:dyDescent="0.25">
      <c r="B50" s="2"/>
      <c r="C50" s="2"/>
      <c r="D50" s="68"/>
      <c r="E50" s="89"/>
      <c r="F50" s="68"/>
      <c r="G50" s="25"/>
      <c r="H50" s="61"/>
    </row>
    <row r="51" spans="2:9" ht="18.75" customHeight="1" x14ac:dyDescent="0.25">
      <c r="B51" s="590" t="s">
        <v>51</v>
      </c>
      <c r="C51" s="590"/>
      <c r="D51" s="590"/>
      <c r="E51" s="590"/>
      <c r="F51" s="590"/>
      <c r="G51" s="590"/>
      <c r="H51" s="590"/>
      <c r="I51" s="590"/>
    </row>
    <row r="52" spans="2:9" ht="18.75" customHeight="1" x14ac:dyDescent="0.25">
      <c r="B52" s="2" t="s">
        <v>334</v>
      </c>
      <c r="C52" s="2"/>
      <c r="D52" s="89" t="s">
        <v>335</v>
      </c>
      <c r="E52" s="89" t="s">
        <v>336</v>
      </c>
      <c r="F52" s="89" t="s">
        <v>337</v>
      </c>
      <c r="G52" s="2"/>
      <c r="H52" s="2"/>
    </row>
    <row r="53" spans="2:9" ht="18.75" customHeight="1" x14ac:dyDescent="0.25">
      <c r="B53" s="2"/>
      <c r="C53" s="2"/>
      <c r="D53" s="82">
        <f>'Process (2)'!E144</f>
        <v>12215.622398978481</v>
      </c>
      <c r="E53" s="89" t="str">
        <f>IF(D53&lt;=F53,"&lt;","&gt;")</f>
        <v>&lt;</v>
      </c>
      <c r="F53" s="82">
        <f>'Process (2)'!G144</f>
        <v>21480.01420933663</v>
      </c>
      <c r="G53" s="25" t="s">
        <v>338</v>
      </c>
      <c r="H53" s="61" t="str">
        <f>IF(D53&lt;F53,"AMAN (OK)","BAHAYA (NG)")</f>
        <v>AMAN (OK)</v>
      </c>
    </row>
    <row r="54" spans="2:9" ht="18.75" customHeight="1" x14ac:dyDescent="0.25">
      <c r="B54" s="2"/>
      <c r="C54" s="2"/>
      <c r="D54" s="2"/>
      <c r="E54" s="2"/>
      <c r="F54" s="2"/>
      <c r="G54" s="2"/>
      <c r="H54" s="2"/>
    </row>
    <row r="55" spans="2:9" ht="18.75" customHeight="1" x14ac:dyDescent="0.25">
      <c r="B55" s="2"/>
      <c r="C55" s="2"/>
      <c r="D55" s="89" t="s">
        <v>339</v>
      </c>
      <c r="E55" s="89" t="s">
        <v>340</v>
      </c>
      <c r="F55" s="104" t="s">
        <v>341</v>
      </c>
      <c r="G55" s="2"/>
      <c r="H55" s="2"/>
    </row>
    <row r="56" spans="2:9" ht="18.75" customHeight="1" x14ac:dyDescent="0.25">
      <c r="B56" s="2"/>
      <c r="C56" s="2"/>
      <c r="D56" s="82">
        <f>'Process (2)'!E147</f>
        <v>85.897896920607991</v>
      </c>
      <c r="E56" s="89" t="str">
        <f>IF(D56&lt;=F56,"&lt;","&gt;")</f>
        <v>&gt;</v>
      </c>
      <c r="F56" s="82">
        <f>'Process (2)'!G147</f>
        <v>-371.21563244837341</v>
      </c>
      <c r="G56" s="25" t="s">
        <v>338</v>
      </c>
      <c r="H56" s="61" t="str">
        <f>IF(D56&gt;F56,"AMAN (OK)","SISA GAYA DILIMPAHKAN")</f>
        <v>AMAN (OK)</v>
      </c>
    </row>
    <row r="57" spans="2:9" ht="18.75" customHeight="1" x14ac:dyDescent="0.25">
      <c r="B57" s="2"/>
      <c r="C57" s="2"/>
      <c r="D57" s="2"/>
      <c r="E57" s="2"/>
      <c r="F57" s="2"/>
      <c r="G57" s="2"/>
      <c r="H57" s="2"/>
    </row>
    <row r="58" spans="2:9" ht="18.75" customHeight="1" x14ac:dyDescent="0.25">
      <c r="B58" s="2"/>
      <c r="C58" s="2"/>
      <c r="D58" s="89" t="s">
        <v>342</v>
      </c>
      <c r="E58" s="89" t="s">
        <v>336</v>
      </c>
      <c r="F58" s="89" t="s">
        <v>343</v>
      </c>
      <c r="G58" s="2"/>
      <c r="H58" s="2"/>
    </row>
    <row r="59" spans="2:9" ht="18.75" customHeight="1" x14ac:dyDescent="0.25">
      <c r="B59" s="2"/>
      <c r="C59" s="2"/>
      <c r="D59" s="82">
        <f>'Process (2)'!E150</f>
        <v>1950.0391695758058</v>
      </c>
      <c r="E59" s="89" t="str">
        <f>IF(D59&lt;=F59,"&lt;","&gt;")</f>
        <v>&lt;</v>
      </c>
      <c r="F59" s="82">
        <f>'Process (2)'!G150</f>
        <v>2343.6331640781891</v>
      </c>
      <c r="G59" s="25" t="s">
        <v>338</v>
      </c>
      <c r="H59" s="61" t="str">
        <f>IF(D59&lt;F59,"AMAN (OK)","BAHAYA (NG)")</f>
        <v>AMAN (OK)</v>
      </c>
    </row>
    <row r="60" spans="2:9" ht="18.75" customHeight="1" x14ac:dyDescent="0.25">
      <c r="B60" s="2"/>
      <c r="C60" s="2"/>
      <c r="D60" s="2"/>
      <c r="E60" s="2"/>
      <c r="F60" s="2"/>
      <c r="G60" s="2"/>
      <c r="H60" s="2"/>
    </row>
    <row r="61" spans="2:9" ht="18.75" customHeight="1" x14ac:dyDescent="0.25">
      <c r="B61" s="591" t="s">
        <v>52</v>
      </c>
      <c r="C61" s="591"/>
      <c r="D61" s="591"/>
      <c r="E61" s="591"/>
      <c r="F61" s="591"/>
      <c r="G61" s="591"/>
      <c r="H61" s="591"/>
      <c r="I61" s="591"/>
    </row>
    <row r="62" spans="2:9" ht="18.75" customHeight="1" x14ac:dyDescent="0.25">
      <c r="B62" s="2" t="s">
        <v>334</v>
      </c>
      <c r="C62" s="2"/>
      <c r="D62" s="89" t="s">
        <v>335</v>
      </c>
      <c r="E62" s="89" t="s">
        <v>336</v>
      </c>
      <c r="F62" s="89" t="s">
        <v>337</v>
      </c>
      <c r="G62" s="2"/>
      <c r="H62" s="2"/>
    </row>
    <row r="63" spans="2:9" ht="18.75" customHeight="1" x14ac:dyDescent="0.25">
      <c r="B63" s="2"/>
      <c r="C63" s="2"/>
      <c r="D63" s="82">
        <f>'Process (2)'!E154</f>
        <v>12215.622398978481</v>
      </c>
      <c r="E63" s="89" t="str">
        <f>IF(D63&lt;=F63,"&lt;","&gt;")</f>
        <v>&lt;</v>
      </c>
      <c r="F63" s="82">
        <f>'Process (2)'!G154</f>
        <v>21480.01420933663</v>
      </c>
      <c r="G63" s="25" t="s">
        <v>338</v>
      </c>
      <c r="H63" s="61" t="str">
        <f>IF(D63&lt;F63,"AMAN (OK)","BAHAYA (NG)")</f>
        <v>AMAN (OK)</v>
      </c>
    </row>
    <row r="64" spans="2:9" ht="18.75" customHeight="1" x14ac:dyDescent="0.25">
      <c r="B64" s="2"/>
      <c r="C64" s="2"/>
      <c r="D64" s="2"/>
      <c r="E64" s="2"/>
      <c r="F64" s="2"/>
      <c r="G64" s="2"/>
      <c r="H64" s="2"/>
    </row>
    <row r="65" spans="2:8" ht="18.75" customHeight="1" x14ac:dyDescent="0.25">
      <c r="B65" s="2"/>
      <c r="C65" s="2"/>
      <c r="D65" s="89" t="s">
        <v>339</v>
      </c>
      <c r="E65" s="89" t="s">
        <v>340</v>
      </c>
      <c r="F65" s="104" t="s">
        <v>341</v>
      </c>
      <c r="G65" s="2"/>
      <c r="H65" s="2"/>
    </row>
    <row r="66" spans="2:8" ht="18.75" customHeight="1" x14ac:dyDescent="0.25">
      <c r="B66" s="2"/>
      <c r="C66" s="2"/>
      <c r="D66" s="82">
        <f>'Process (2)'!E157</f>
        <v>564.06381833634225</v>
      </c>
      <c r="E66" s="89" t="str">
        <f>IF(D66&lt;=F66,"&lt;","&gt;")</f>
        <v>&gt;</v>
      </c>
      <c r="F66" s="82">
        <f>'Process (2)'!G157</f>
        <v>-371.21563244837341</v>
      </c>
      <c r="G66" s="25" t="s">
        <v>338</v>
      </c>
      <c r="H66" s="61" t="str">
        <f>IF(D66&gt;F66,"AMAN (OK)","SISA GAYA DILIMPAHKAN")</f>
        <v>AMAN (OK)</v>
      </c>
    </row>
    <row r="67" spans="2:8" ht="18.75" customHeight="1" x14ac:dyDescent="0.25">
      <c r="B67" s="2"/>
      <c r="C67" s="2"/>
      <c r="D67" s="2"/>
      <c r="E67" s="2"/>
      <c r="F67" s="2"/>
      <c r="G67" s="2"/>
      <c r="H67" s="2"/>
    </row>
    <row r="68" spans="2:8" ht="18.75" customHeight="1" x14ac:dyDescent="0.25">
      <c r="B68" s="2"/>
      <c r="C68" s="2"/>
      <c r="D68" s="89" t="s">
        <v>342</v>
      </c>
      <c r="E68" s="89" t="s">
        <v>336</v>
      </c>
      <c r="F68" s="89" t="s">
        <v>343</v>
      </c>
      <c r="G68" s="2"/>
      <c r="H68" s="2"/>
    </row>
    <row r="69" spans="2:8" ht="18.75" customHeight="1" x14ac:dyDescent="0.25">
      <c r="B69" s="2"/>
      <c r="C69" s="2"/>
      <c r="D69" s="82">
        <f>'Process (2)'!E160</f>
        <v>1950.0391695758058</v>
      </c>
      <c r="E69" s="89" t="str">
        <f>IF(D69&lt;=F69,"&lt;","&gt;")</f>
        <v>&lt;</v>
      </c>
      <c r="F69" s="82">
        <f>'Process (2)'!G160</f>
        <v>2343.6331640781891</v>
      </c>
      <c r="G69" s="25" t="s">
        <v>338</v>
      </c>
      <c r="H69" s="61" t="str">
        <f>IF(D69&lt;F69,"AMAN (OK)","BAHAYA (NG)")</f>
        <v>AMAN (OK)</v>
      </c>
    </row>
    <row r="72" spans="2:8" ht="18.75" customHeight="1" x14ac:dyDescent="0.25">
      <c r="B72" s="9" t="s">
        <v>885</v>
      </c>
    </row>
    <row r="73" spans="2:8" ht="18.75" customHeight="1" x14ac:dyDescent="0.25">
      <c r="B73" s="5" t="s">
        <v>894</v>
      </c>
      <c r="G73" s="352">
        <f>'Process (4)'!G38</f>
        <v>19</v>
      </c>
      <c r="H73" s="234">
        <f>'Process (4)'!H38</f>
        <v>50</v>
      </c>
    </row>
    <row r="74" spans="2:8" ht="18.75" customHeight="1" x14ac:dyDescent="0.25">
      <c r="B74" s="5" t="s">
        <v>893</v>
      </c>
      <c r="G74" s="352">
        <f>'Process (4)'!G117</f>
        <v>16</v>
      </c>
      <c r="H74" s="234">
        <f>'Process (4)'!H117</f>
        <v>225</v>
      </c>
    </row>
    <row r="75" spans="2:8" ht="18.75" customHeight="1" x14ac:dyDescent="0.25">
      <c r="B75" s="5" t="s">
        <v>892</v>
      </c>
      <c r="G75" s="352">
        <f>'Process (4)'!G196</f>
        <v>13</v>
      </c>
      <c r="H75" s="234">
        <f>'Process (4)'!H196</f>
        <v>275</v>
      </c>
    </row>
    <row r="76" spans="2:8" ht="18.75" customHeight="1" x14ac:dyDescent="0.25">
      <c r="B76" s="5" t="s">
        <v>891</v>
      </c>
      <c r="G76" s="352">
        <f>'Process (4)'!G275</f>
        <v>13</v>
      </c>
      <c r="H76" s="234">
        <f>'Process (4)'!H275</f>
        <v>50</v>
      </c>
    </row>
    <row r="77" spans="2:8" ht="18.75" customHeight="1" x14ac:dyDescent="0.25">
      <c r="B77" s="5" t="s">
        <v>890</v>
      </c>
      <c r="G77" s="352">
        <f>'Process (4)'!G354</f>
        <v>13</v>
      </c>
      <c r="H77" s="234">
        <f>'Process (4)'!H354</f>
        <v>75</v>
      </c>
    </row>
    <row r="78" spans="2:8" ht="18.75" customHeight="1" x14ac:dyDescent="0.25">
      <c r="B78" s="5" t="s">
        <v>888</v>
      </c>
      <c r="E78" s="1" t="s">
        <v>886</v>
      </c>
      <c r="F78" s="1" t="s">
        <v>889</v>
      </c>
      <c r="G78" s="352">
        <f>'Process (4)'!H453</f>
        <v>22</v>
      </c>
      <c r="H78" s="234">
        <f>ROUNDDOWN(1000/'Process (4)'!G453/25,0)*25</f>
        <v>75</v>
      </c>
    </row>
    <row r="79" spans="2:8" ht="18.75" customHeight="1" x14ac:dyDescent="0.25">
      <c r="E79" s="1" t="s">
        <v>887</v>
      </c>
      <c r="F79" s="1" t="s">
        <v>889</v>
      </c>
      <c r="G79" s="352">
        <f>'Process (4)'!H462</f>
        <v>19</v>
      </c>
      <c r="H79" s="234">
        <f>ROUNDDOWN(1000/'Process (4)'!F462/25,0)*25</f>
        <v>75</v>
      </c>
    </row>
    <row r="80" spans="2:8" ht="18.75" customHeight="1" x14ac:dyDescent="0.25">
      <c r="B80" s="5" t="s">
        <v>896</v>
      </c>
      <c r="G80" s="352">
        <f>'Process (5)'!G174</f>
        <v>19</v>
      </c>
      <c r="H80" s="234">
        <f>'Process (5)'!H174</f>
        <v>100</v>
      </c>
    </row>
    <row r="82" spans="2:8" ht="18.75" customHeight="1" x14ac:dyDescent="0.25">
      <c r="B82" s="9" t="s">
        <v>895</v>
      </c>
    </row>
    <row r="83" spans="2:8" ht="18.75" customHeight="1" x14ac:dyDescent="0.25">
      <c r="B83" s="1" t="s">
        <v>897</v>
      </c>
    </row>
    <row r="84" spans="2:8" ht="18.75" customHeight="1" x14ac:dyDescent="0.25">
      <c r="B84" s="2"/>
      <c r="C84" s="2" t="s">
        <v>523</v>
      </c>
      <c r="D84" s="212" t="s">
        <v>524</v>
      </c>
      <c r="E84" s="89" t="s">
        <v>449</v>
      </c>
      <c r="F84" s="212" t="s">
        <v>907</v>
      </c>
      <c r="G84" s="2"/>
    </row>
    <row r="85" spans="2:8" ht="18.75" customHeight="1" x14ac:dyDescent="0.25">
      <c r="B85" s="2"/>
      <c r="C85" s="2"/>
      <c r="D85" s="170">
        <f>'Process (4)'!D78</f>
        <v>11555.473958985709</v>
      </c>
      <c r="E85" s="213" t="str">
        <f>IF(D85&lt;=F85,"&lt;","&gt;")</f>
        <v>&gt;</v>
      </c>
      <c r="F85" s="170">
        <f>'Process (4)'!F78</f>
        <v>7178.5394379740947</v>
      </c>
      <c r="G85" s="214" t="s">
        <v>338</v>
      </c>
      <c r="H85" s="215" t="str">
        <f>IF(D85&gt;F85,"AMAN (OK)","BAHAYA (NG)")</f>
        <v>AMAN (OK)</v>
      </c>
    </row>
    <row r="86" spans="2:8" ht="18.75" customHeight="1" x14ac:dyDescent="0.25">
      <c r="B86" s="1" t="s">
        <v>898</v>
      </c>
    </row>
    <row r="87" spans="2:8" ht="18.75" customHeight="1" x14ac:dyDescent="0.25">
      <c r="B87" s="2"/>
      <c r="C87" s="2" t="s">
        <v>523</v>
      </c>
      <c r="D87" s="212" t="s">
        <v>524</v>
      </c>
      <c r="E87" s="89" t="s">
        <v>449</v>
      </c>
      <c r="F87" s="212" t="s">
        <v>907</v>
      </c>
      <c r="G87" s="2"/>
    </row>
    <row r="88" spans="2:8" ht="18.75" customHeight="1" x14ac:dyDescent="0.25">
      <c r="B88" s="2"/>
      <c r="C88" s="2"/>
      <c r="D88" s="170">
        <f>'Process (4)'!D157</f>
        <v>5404.378474903473</v>
      </c>
      <c r="E88" s="213" t="str">
        <f>IF(D88&lt;=F88,"&lt;","&gt;")</f>
        <v>&gt;</v>
      </c>
      <c r="F88" s="170">
        <f>'Process (4)'!F157</f>
        <v>1186.3415677816974</v>
      </c>
      <c r="G88" s="214" t="s">
        <v>338</v>
      </c>
      <c r="H88" s="215" t="str">
        <f>IF(D88&gt;F88,"AMAN (OK)","BAHAYA (NG)")</f>
        <v>AMAN (OK)</v>
      </c>
    </row>
    <row r="89" spans="2:8" ht="18.75" customHeight="1" x14ac:dyDescent="0.25">
      <c r="B89" s="1" t="s">
        <v>899</v>
      </c>
    </row>
    <row r="90" spans="2:8" ht="18.75" customHeight="1" x14ac:dyDescent="0.25">
      <c r="B90" s="2"/>
      <c r="C90" s="2" t="s">
        <v>523</v>
      </c>
      <c r="D90" s="212" t="s">
        <v>524</v>
      </c>
      <c r="E90" s="89" t="s">
        <v>449</v>
      </c>
      <c r="F90" s="212" t="s">
        <v>907</v>
      </c>
      <c r="G90" s="2"/>
    </row>
    <row r="91" spans="2:8" ht="18.75" customHeight="1" x14ac:dyDescent="0.25">
      <c r="B91" s="2"/>
      <c r="C91" s="2"/>
      <c r="D91" s="170">
        <f>'Process (4)'!D236</f>
        <v>2877.5973864927664</v>
      </c>
      <c r="E91" s="213" t="str">
        <f>IF(D91&lt;=F91,"&lt;","&gt;")</f>
        <v>&gt;</v>
      </c>
      <c r="F91" s="170">
        <f>'Process (4)'!F236</f>
        <v>369.51287863194693</v>
      </c>
      <c r="G91" s="214" t="s">
        <v>338</v>
      </c>
      <c r="H91" s="215" t="str">
        <f>IF(D91&gt;F91,"AMAN (OK)","BAHAYA (NG)")</f>
        <v>AMAN (OK)</v>
      </c>
    </row>
    <row r="92" spans="2:8" ht="18.75" customHeight="1" x14ac:dyDescent="0.25">
      <c r="B92" s="1" t="s">
        <v>900</v>
      </c>
    </row>
    <row r="93" spans="2:8" ht="18.75" customHeight="1" x14ac:dyDescent="0.25">
      <c r="B93" s="2"/>
      <c r="C93" s="2" t="s">
        <v>523</v>
      </c>
      <c r="D93" s="212" t="s">
        <v>524</v>
      </c>
      <c r="E93" s="89" t="s">
        <v>449</v>
      </c>
      <c r="F93" s="212" t="s">
        <v>907</v>
      </c>
      <c r="G93" s="2"/>
    </row>
    <row r="94" spans="2:8" ht="18.75" customHeight="1" x14ac:dyDescent="0.25">
      <c r="B94" s="2"/>
      <c r="C94" s="2"/>
      <c r="D94" s="170">
        <f>'Process (4)'!D315</f>
        <v>1042.0421656535784</v>
      </c>
      <c r="E94" s="213" t="str">
        <f>IF(D94&lt;=F94,"&lt;","&gt;")</f>
        <v>&gt;</v>
      </c>
      <c r="F94" s="170">
        <f>'Process (4)'!F315</f>
        <v>259.19080322874999</v>
      </c>
      <c r="G94" s="214" t="s">
        <v>338</v>
      </c>
      <c r="H94" s="215" t="str">
        <f>IF(D94&gt;F94,"AMAN (OK)","BAHAYA (NG)")</f>
        <v>AMAN (OK)</v>
      </c>
    </row>
    <row r="95" spans="2:8" ht="18.75" customHeight="1" x14ac:dyDescent="0.25">
      <c r="B95" s="1" t="s">
        <v>901</v>
      </c>
    </row>
    <row r="96" spans="2:8" ht="18.75" customHeight="1" x14ac:dyDescent="0.25">
      <c r="B96" s="2"/>
      <c r="C96" s="2" t="s">
        <v>523</v>
      </c>
      <c r="D96" s="212" t="s">
        <v>524</v>
      </c>
      <c r="E96" s="89" t="s">
        <v>449</v>
      </c>
      <c r="F96" s="212" t="s">
        <v>907</v>
      </c>
      <c r="G96" s="2"/>
    </row>
    <row r="97" spans="2:8" ht="18.75" customHeight="1" x14ac:dyDescent="0.25">
      <c r="B97" s="2"/>
      <c r="C97" s="2"/>
      <c r="D97" s="170">
        <f>'Process (4)'!D394</f>
        <v>2013.7464851255404</v>
      </c>
      <c r="E97" s="213" t="str">
        <f>IF(D97&lt;=F97,"&lt;","&gt;")</f>
        <v>&gt;</v>
      </c>
      <c r="F97" s="170">
        <f>'Process (4)'!F394</f>
        <v>581.45136857649595</v>
      </c>
      <c r="G97" s="214" t="s">
        <v>338</v>
      </c>
      <c r="H97" s="215" t="str">
        <f>IF(D97&gt;F97,"AMAN (OK)","BAHAYA (NG)")</f>
        <v>AMAN (OK)</v>
      </c>
    </row>
    <row r="98" spans="2:8" ht="18.75" customHeight="1" x14ac:dyDescent="0.25">
      <c r="B98" s="1" t="s">
        <v>902</v>
      </c>
    </row>
    <row r="99" spans="2:8" ht="18.75" customHeight="1" x14ac:dyDescent="0.25">
      <c r="B99" s="2"/>
      <c r="C99" s="2" t="s">
        <v>523</v>
      </c>
      <c r="D99" s="212" t="s">
        <v>904</v>
      </c>
      <c r="E99" s="89" t="s">
        <v>449</v>
      </c>
      <c r="F99" s="35" t="s">
        <v>903</v>
      </c>
      <c r="G99" s="2"/>
    </row>
    <row r="100" spans="2:8" ht="18.75" customHeight="1" x14ac:dyDescent="0.25">
      <c r="B100" s="2"/>
      <c r="C100" s="2"/>
      <c r="D100" s="170">
        <f>'Process (5)'!F97</f>
        <v>9865.9336743598142</v>
      </c>
      <c r="E100" s="213" t="str">
        <f>IF(D100&lt;=F100,"&lt;","&gt;")</f>
        <v>&gt;</v>
      </c>
      <c r="F100" s="170">
        <f>'Process (4)'!D439</f>
        <v>536.90514065510592</v>
      </c>
      <c r="G100" s="214" t="s">
        <v>338</v>
      </c>
      <c r="H100" s="215" t="str">
        <f>IF(D100&gt;F100,"AMAN (OK)","BAHAYA (NG)")</f>
        <v>AMAN (OK)</v>
      </c>
    </row>
    <row r="101" spans="2:8" ht="18.75" customHeight="1" x14ac:dyDescent="0.25">
      <c r="B101" s="1" t="s">
        <v>905</v>
      </c>
    </row>
    <row r="102" spans="2:8" ht="18.75" customHeight="1" x14ac:dyDescent="0.25">
      <c r="B102" s="2"/>
      <c r="C102" s="2" t="s">
        <v>523</v>
      </c>
      <c r="D102" s="212" t="s">
        <v>524</v>
      </c>
      <c r="E102" s="89" t="s">
        <v>449</v>
      </c>
      <c r="F102" s="212" t="s">
        <v>525</v>
      </c>
      <c r="G102" s="2"/>
    </row>
    <row r="103" spans="2:8" ht="18.75" customHeight="1" x14ac:dyDescent="0.25">
      <c r="B103" s="2"/>
      <c r="C103" s="2"/>
      <c r="D103" s="170">
        <f>'Process (5)'!D97</f>
        <v>20601.925021854819</v>
      </c>
      <c r="E103" s="213" t="str">
        <f>IF(D103&lt;=F103,"&lt;","&gt;")</f>
        <v>&gt;</v>
      </c>
      <c r="F103" s="170">
        <f>'Process (5)'!F97</f>
        <v>9865.9336743598142</v>
      </c>
      <c r="G103" s="214" t="s">
        <v>338</v>
      </c>
      <c r="H103" s="215" t="str">
        <f>IF(D103&gt;F103,"AMAN (OK)","BAHAYA (NG)")</f>
        <v>AMAN (OK)</v>
      </c>
    </row>
    <row r="104" spans="2:8" ht="18.75" customHeight="1" x14ac:dyDescent="0.25">
      <c r="B104" s="1" t="s">
        <v>906</v>
      </c>
    </row>
    <row r="105" spans="2:8" ht="18.75" customHeight="1" x14ac:dyDescent="0.25">
      <c r="B105" s="2"/>
      <c r="C105" s="2" t="s">
        <v>523</v>
      </c>
      <c r="D105" s="218" t="s">
        <v>473</v>
      </c>
      <c r="E105" s="89" t="s">
        <v>449</v>
      </c>
      <c r="F105" s="218" t="s">
        <v>472</v>
      </c>
      <c r="G105" s="2"/>
    </row>
    <row r="106" spans="2:8" ht="18.75" customHeight="1" x14ac:dyDescent="0.25">
      <c r="B106" s="2"/>
      <c r="C106" s="2"/>
      <c r="D106" s="170">
        <f>'Process (5)'!D135</f>
        <v>6140.617330337278</v>
      </c>
      <c r="E106" s="213" t="str">
        <f>IF(D106&lt;=F106,"&lt;","&gt;")</f>
        <v>&gt;</v>
      </c>
      <c r="F106" s="170">
        <f>'Process (5)'!F135</f>
        <v>1950.0391695758058</v>
      </c>
      <c r="G106" s="214" t="s">
        <v>338</v>
      </c>
      <c r="H106" s="215" t="str">
        <f>IF(D106&gt;F106,"AMAN (OK)","BAHAYA (NG)")</f>
        <v>AMAN (OK)</v>
      </c>
    </row>
    <row r="109" spans="2:8" ht="18.75" customHeight="1" x14ac:dyDescent="0.25">
      <c r="B109" s="9" t="s">
        <v>908</v>
      </c>
    </row>
    <row r="110" spans="2:8" ht="18.75" customHeight="1" x14ac:dyDescent="0.25">
      <c r="B110" s="1" t="s">
        <v>373</v>
      </c>
      <c r="G110" s="7"/>
      <c r="H110" s="35"/>
    </row>
    <row r="111" spans="2:8" ht="18.75" customHeight="1" x14ac:dyDescent="0.25">
      <c r="B111" s="1" t="s">
        <v>334</v>
      </c>
      <c r="D111" s="35" t="s">
        <v>374</v>
      </c>
      <c r="E111" s="35" t="s">
        <v>340</v>
      </c>
      <c r="F111" s="35">
        <v>2</v>
      </c>
      <c r="G111" s="7"/>
      <c r="H111" s="35"/>
    </row>
    <row r="112" spans="2:8" ht="18.75" customHeight="1" x14ac:dyDescent="0.25">
      <c r="D112" s="35" t="s">
        <v>375</v>
      </c>
      <c r="E112" s="35" t="s">
        <v>340</v>
      </c>
      <c r="F112" s="35">
        <v>2</v>
      </c>
      <c r="G112" s="35"/>
      <c r="H112" s="35"/>
    </row>
    <row r="113" spans="1:9" ht="18.75" customHeight="1" x14ac:dyDescent="0.25">
      <c r="G113" s="7"/>
      <c r="H113" s="35"/>
    </row>
    <row r="114" spans="1:9" ht="18.75" customHeight="1" x14ac:dyDescent="0.25">
      <c r="B114" s="5" t="s">
        <v>376</v>
      </c>
      <c r="D114" s="4">
        <f>'Process (6)'!D28</f>
        <v>60.093446456001459</v>
      </c>
      <c r="E114" s="35" t="str">
        <f>IF(D114&gt;F114,"&gt;","&lt;")</f>
        <v>&gt;</v>
      </c>
      <c r="F114" s="52">
        <v>2</v>
      </c>
      <c r="G114" s="137" t="s">
        <v>338</v>
      </c>
      <c r="H114" s="138" t="str">
        <f>IF(D114&gt;F114,"[ OK ]","[ NOT OK ]")</f>
        <v>[ OK ]</v>
      </c>
    </row>
    <row r="115" spans="1:9" ht="18.75" customHeight="1" x14ac:dyDescent="0.25">
      <c r="B115" s="5" t="s">
        <v>377</v>
      </c>
      <c r="D115" s="4">
        <f>'Process (6)'!D29</f>
        <v>9.9089004145907129</v>
      </c>
      <c r="E115" s="35" t="str">
        <f>IF(D115&gt;F115,"&gt;","&lt;")</f>
        <v>&gt;</v>
      </c>
      <c r="F115" s="52">
        <v>2</v>
      </c>
      <c r="G115" s="137" t="s">
        <v>338</v>
      </c>
      <c r="H115" s="138" t="str">
        <f>IF(D115&gt;F115,"[ OK ]","[ NOT OK ]")</f>
        <v>[ OK ]</v>
      </c>
    </row>
    <row r="116" spans="1:9" ht="18.75" customHeight="1" x14ac:dyDescent="0.25">
      <c r="B116" s="5" t="s">
        <v>378</v>
      </c>
      <c r="D116" s="4">
        <f>'Process (6)'!D30</f>
        <v>4.7637089670966564</v>
      </c>
      <c r="E116" s="35" t="str">
        <f>IF(D116&gt;F116,"&gt;","&lt;")</f>
        <v>&gt;</v>
      </c>
      <c r="F116" s="52">
        <v>2</v>
      </c>
      <c r="G116" s="137" t="s">
        <v>338</v>
      </c>
      <c r="H116" s="138" t="str">
        <f>IF(D116&gt;F116,"[ OK ]","[ NOT OK ]")</f>
        <v>[ OK ]</v>
      </c>
    </row>
    <row r="118" spans="1:9" ht="19.149999999999999" customHeight="1" x14ac:dyDescent="0.25">
      <c r="A118" s="272"/>
      <c r="B118" s="1" t="s">
        <v>386</v>
      </c>
      <c r="G118" s="7"/>
      <c r="H118" s="35"/>
      <c r="I118" s="5"/>
    </row>
    <row r="119" spans="1:9" ht="19.149999999999999" customHeight="1" x14ac:dyDescent="0.25">
      <c r="A119" s="272"/>
      <c r="B119" s="1" t="s">
        <v>334</v>
      </c>
      <c r="D119" s="35" t="s">
        <v>387</v>
      </c>
      <c r="E119" s="35" t="s">
        <v>340</v>
      </c>
      <c r="F119" s="35">
        <v>1.5</v>
      </c>
      <c r="G119" s="8" t="s">
        <v>671</v>
      </c>
      <c r="H119" s="35"/>
      <c r="I119" s="5"/>
    </row>
    <row r="120" spans="1:9" ht="19.149999999999999" customHeight="1" x14ac:dyDescent="0.25">
      <c r="A120" s="272"/>
      <c r="D120" s="35" t="s">
        <v>387</v>
      </c>
      <c r="E120" s="35" t="s">
        <v>340</v>
      </c>
      <c r="F120" s="35">
        <v>1.1000000000000001</v>
      </c>
      <c r="G120" s="8" t="s">
        <v>672</v>
      </c>
      <c r="H120" s="35"/>
      <c r="I120" s="5"/>
    </row>
    <row r="121" spans="1:9" ht="19.149999999999999" customHeight="1" x14ac:dyDescent="0.25">
      <c r="A121" s="272"/>
      <c r="D121" s="35" t="s">
        <v>388</v>
      </c>
      <c r="E121" s="35" t="s">
        <v>11</v>
      </c>
      <c r="F121" s="8" t="s">
        <v>389</v>
      </c>
      <c r="G121" s="35"/>
      <c r="H121" s="35"/>
      <c r="I121" s="5"/>
    </row>
    <row r="122" spans="1:9" ht="19.149999999999999" customHeight="1" x14ac:dyDescent="0.25">
      <c r="A122" s="272"/>
      <c r="G122" s="7"/>
      <c r="H122" s="35"/>
      <c r="I122" s="5"/>
    </row>
    <row r="123" spans="1:9" ht="19.149999999999999" customHeight="1" x14ac:dyDescent="0.25">
      <c r="A123" s="272"/>
      <c r="B123" s="5" t="s">
        <v>376</v>
      </c>
      <c r="D123" s="4">
        <f>'Process (6)'!D61</f>
        <v>2.5921171568352603</v>
      </c>
      <c r="E123" s="35" t="str">
        <f>IF(D123&gt;F123,"&gt;","&lt;")</f>
        <v>&gt;</v>
      </c>
      <c r="F123" s="52">
        <v>1.5</v>
      </c>
      <c r="G123" s="137" t="s">
        <v>338</v>
      </c>
      <c r="H123" s="138" t="str">
        <f>IF(D123&gt;F123,"[ OK ]","[ NOT OK ]")</f>
        <v>[ OK ]</v>
      </c>
      <c r="I123" s="5"/>
    </row>
    <row r="124" spans="1:9" ht="19.149999999999999" customHeight="1" x14ac:dyDescent="0.25">
      <c r="A124" s="272"/>
      <c r="B124" s="5" t="s">
        <v>377</v>
      </c>
      <c r="D124" s="4">
        <f>'Process (6)'!D62</f>
        <v>1.158211749823344</v>
      </c>
      <c r="E124" s="35" t="str">
        <f>IF(D124&gt;F124,"&gt;","&lt;")</f>
        <v>&gt;</v>
      </c>
      <c r="F124" s="52">
        <v>1.1000000000000001</v>
      </c>
      <c r="G124" s="137" t="s">
        <v>338</v>
      </c>
      <c r="H124" s="138" t="str">
        <f>IF(D124&gt;F124,"[ OK ]","[ NOT OK ]")</f>
        <v>[ OK ]</v>
      </c>
      <c r="I124" s="5"/>
    </row>
    <row r="125" spans="1:9" ht="19.149999999999999" customHeight="1" x14ac:dyDescent="0.25">
      <c r="A125" s="272"/>
      <c r="B125" s="5" t="s">
        <v>378</v>
      </c>
      <c r="D125" s="4">
        <f>'Process (6)'!D63</f>
        <v>1.6571599969574866</v>
      </c>
      <c r="E125" s="35" t="str">
        <f>IF(D125&gt;F125,"&gt;","&lt;")</f>
        <v>&gt;</v>
      </c>
      <c r="F125" s="52">
        <v>1.1000000000000001</v>
      </c>
      <c r="G125" s="137" t="s">
        <v>338</v>
      </c>
      <c r="H125" s="138" t="str">
        <f>IF(D125&gt;F125,"[ OK ]","[ NOT OK ]")</f>
        <v>[ OK ]</v>
      </c>
      <c r="I125" s="5"/>
    </row>
    <row r="127" spans="1:9" ht="19.149999999999999" customHeight="1" x14ac:dyDescent="0.25">
      <c r="A127" s="272"/>
      <c r="B127" s="1" t="s">
        <v>909</v>
      </c>
      <c r="G127" s="7"/>
      <c r="H127" s="35"/>
      <c r="I127" s="5"/>
    </row>
    <row r="128" spans="1:9" ht="19.149999999999999" customHeight="1" x14ac:dyDescent="0.25">
      <c r="A128" s="272"/>
      <c r="B128" s="1" t="s">
        <v>334</v>
      </c>
      <c r="D128" s="35" t="s">
        <v>394</v>
      </c>
      <c r="E128" s="35" t="s">
        <v>340</v>
      </c>
      <c r="F128" s="35">
        <v>2</v>
      </c>
      <c r="G128" s="7"/>
      <c r="H128" s="35"/>
      <c r="I128" s="5"/>
    </row>
    <row r="129" spans="1:9" ht="19.149999999999999" customHeight="1" x14ac:dyDescent="0.25">
      <c r="A129" s="272"/>
      <c r="D129" s="35" t="s">
        <v>395</v>
      </c>
      <c r="E129" s="35" t="s">
        <v>340</v>
      </c>
      <c r="F129" s="35">
        <v>2</v>
      </c>
      <c r="G129" s="35"/>
      <c r="H129" s="35"/>
      <c r="I129" s="5"/>
    </row>
    <row r="130" spans="1:9" ht="19.149999999999999" customHeight="1" x14ac:dyDescent="0.25">
      <c r="A130" s="272"/>
      <c r="G130" s="7"/>
      <c r="H130" s="35"/>
      <c r="I130" s="5"/>
    </row>
    <row r="131" spans="1:9" ht="19.149999999999999" customHeight="1" x14ac:dyDescent="0.25">
      <c r="A131" s="272"/>
      <c r="B131" s="5" t="s">
        <v>376</v>
      </c>
      <c r="D131" s="4">
        <f>'Process (6)'!D92</f>
        <v>40.274500589323068</v>
      </c>
      <c r="E131" s="35" t="str">
        <f>IF(D131&gt;F131,"&gt;","&lt;")</f>
        <v>&gt;</v>
      </c>
      <c r="F131" s="52">
        <v>2</v>
      </c>
      <c r="G131" s="137" t="s">
        <v>338</v>
      </c>
      <c r="H131" s="138" t="str">
        <f>IF(D131&gt;F131,"[ OK ]","[ NOT OK ]")</f>
        <v>[ OK ]</v>
      </c>
      <c r="I131" s="5"/>
    </row>
    <row r="132" spans="1:9" ht="19.149999999999999" customHeight="1" x14ac:dyDescent="0.25">
      <c r="A132" s="272"/>
      <c r="B132" s="5" t="s">
        <v>377</v>
      </c>
      <c r="D132" s="4">
        <f>'Process (6)'!D93</f>
        <v>6.3521994855948742</v>
      </c>
      <c r="E132" s="35" t="str">
        <f>IF(D132&gt;F132,"&gt;","&lt;")</f>
        <v>&gt;</v>
      </c>
      <c r="F132" s="52">
        <v>2</v>
      </c>
      <c r="G132" s="137" t="s">
        <v>338</v>
      </c>
      <c r="H132" s="138" t="str">
        <f>IF(D132&gt;F132,"[ OK ]","[ NOT OK ]")</f>
        <v>[ OK ]</v>
      </c>
      <c r="I132" s="5"/>
    </row>
    <row r="133" spans="1:9" ht="19.149999999999999" customHeight="1" x14ac:dyDescent="0.25">
      <c r="A133" s="272"/>
      <c r="B133" s="5" t="s">
        <v>378</v>
      </c>
      <c r="D133" s="4">
        <f>'Process (6)'!D94</f>
        <v>21.370853742566887</v>
      </c>
      <c r="E133" s="35" t="str">
        <f>IF(D133&gt;F133,"&gt;","&lt;")</f>
        <v>&gt;</v>
      </c>
      <c r="F133" s="52">
        <v>2</v>
      </c>
      <c r="G133" s="137" t="s">
        <v>338</v>
      </c>
      <c r="H133" s="138" t="str">
        <f>IF(D133&gt;F133,"[ OK ]","[ NOT OK ]")</f>
        <v>[ OK ]</v>
      </c>
      <c r="I133" s="5"/>
    </row>
    <row r="135" spans="1:9" ht="19.149999999999999" customHeight="1" x14ac:dyDescent="0.25">
      <c r="A135" s="272"/>
      <c r="B135" s="1" t="s">
        <v>910</v>
      </c>
      <c r="G135" s="7"/>
      <c r="H135" s="35"/>
      <c r="I135" s="5"/>
    </row>
    <row r="136" spans="1:9" ht="19.149999999999999" customHeight="1" x14ac:dyDescent="0.25">
      <c r="A136" s="272"/>
      <c r="B136" s="1" t="s">
        <v>334</v>
      </c>
      <c r="D136" s="35" t="s">
        <v>387</v>
      </c>
      <c r="E136" s="35" t="s">
        <v>340</v>
      </c>
      <c r="F136" s="35">
        <v>1.5</v>
      </c>
      <c r="G136" s="8" t="s">
        <v>671</v>
      </c>
      <c r="H136" s="35"/>
      <c r="I136" s="5"/>
    </row>
    <row r="137" spans="1:9" ht="19.149999999999999" customHeight="1" x14ac:dyDescent="0.25">
      <c r="A137" s="272"/>
      <c r="D137" s="35" t="s">
        <v>387</v>
      </c>
      <c r="E137" s="35" t="s">
        <v>340</v>
      </c>
      <c r="F137" s="35">
        <v>1.1000000000000001</v>
      </c>
      <c r="G137" s="8" t="s">
        <v>672</v>
      </c>
      <c r="H137" s="35"/>
      <c r="I137" s="5"/>
    </row>
    <row r="138" spans="1:9" ht="19.149999999999999" customHeight="1" x14ac:dyDescent="0.25">
      <c r="A138" s="272"/>
      <c r="D138" s="35" t="s">
        <v>388</v>
      </c>
      <c r="E138" s="35" t="s">
        <v>11</v>
      </c>
      <c r="F138" s="8" t="s">
        <v>389</v>
      </c>
      <c r="G138" s="35"/>
      <c r="H138" s="35"/>
      <c r="I138" s="5"/>
    </row>
    <row r="139" spans="1:9" ht="19.149999999999999" customHeight="1" x14ac:dyDescent="0.25">
      <c r="A139" s="272"/>
      <c r="G139" s="7"/>
      <c r="H139" s="35"/>
      <c r="I139" s="5"/>
    </row>
    <row r="140" spans="1:9" ht="19.149999999999999" customHeight="1" x14ac:dyDescent="0.25">
      <c r="A140" s="272"/>
      <c r="B140" s="5" t="s">
        <v>376</v>
      </c>
      <c r="D140" s="4">
        <f>'Process (6)'!D125</f>
        <v>64.205900606586837</v>
      </c>
      <c r="E140" s="35" t="str">
        <f>IF(D140&gt;F140,"&gt;","&lt;")</f>
        <v>&gt;</v>
      </c>
      <c r="F140" s="52">
        <v>1.5</v>
      </c>
      <c r="G140" s="137" t="s">
        <v>338</v>
      </c>
      <c r="H140" s="138" t="str">
        <f>IF(D140&gt;F140,"[ OK ]","[ NOT OK ]")</f>
        <v>[ OK ]</v>
      </c>
      <c r="I140" s="5"/>
    </row>
    <row r="141" spans="1:9" ht="19.149999999999999" customHeight="1" x14ac:dyDescent="0.25">
      <c r="A141" s="272"/>
      <c r="B141" s="5" t="s">
        <v>377</v>
      </c>
      <c r="D141" s="4">
        <f>'Process (6)'!D126</f>
        <v>10.389884341742652</v>
      </c>
      <c r="E141" s="35" t="str">
        <f>IF(D141&gt;F141,"&gt;","&lt;")</f>
        <v>&gt;</v>
      </c>
      <c r="F141" s="52">
        <v>1.1000000000000001</v>
      </c>
      <c r="G141" s="137" t="s">
        <v>338</v>
      </c>
      <c r="H141" s="138" t="str">
        <f>IF(D141&gt;F141,"[ OK ]","[ NOT OK ]")</f>
        <v>[ OK ]</v>
      </c>
      <c r="I141" s="5"/>
    </row>
    <row r="142" spans="1:9" ht="19.149999999999999" customHeight="1" x14ac:dyDescent="0.25">
      <c r="A142" s="272"/>
      <c r="B142" s="5" t="s">
        <v>378</v>
      </c>
      <c r="D142" s="4">
        <f>'Process (6)'!D127</f>
        <v>4.9287848313042364</v>
      </c>
      <c r="E142" s="35" t="str">
        <f>IF(D142&gt;F142,"&gt;","&lt;")</f>
        <v>&gt;</v>
      </c>
      <c r="F142" s="52">
        <v>1.1000000000000001</v>
      </c>
      <c r="G142" s="137" t="s">
        <v>338</v>
      </c>
      <c r="H142" s="138" t="str">
        <f>IF(D142&gt;F142,"[ OK ]","[ NOT OK ]")</f>
        <v>[ OK ]</v>
      </c>
      <c r="I142" s="5"/>
    </row>
  </sheetData>
  <mergeCells count="3">
    <mergeCell ref="B41:I41"/>
    <mergeCell ref="B51:I51"/>
    <mergeCell ref="B61:I61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F978B-A6D4-4704-A47C-44D21982BD7F}">
  <sheetPr>
    <tabColor rgb="FF7030A0"/>
  </sheetPr>
  <dimension ref="A1:W2245"/>
  <sheetViews>
    <sheetView showGridLines="0" view="pageLayout" zoomScaleNormal="100" workbookViewId="0">
      <selection sqref="A1:I1"/>
    </sheetView>
  </sheetViews>
  <sheetFormatPr defaultRowHeight="18.75" customHeight="1" x14ac:dyDescent="0.25"/>
  <cols>
    <col min="1" max="1" width="4.42578125" style="14" bestFit="1" customWidth="1"/>
    <col min="2" max="8" width="10.42578125" style="1" customWidth="1"/>
    <col min="9" max="9" width="10" style="1" customWidth="1"/>
    <col min="10" max="16384" width="9.140625" style="1"/>
  </cols>
  <sheetData>
    <row r="1" spans="1:9" ht="18.75" customHeight="1" x14ac:dyDescent="0.25">
      <c r="A1" s="655" t="s">
        <v>911</v>
      </c>
      <c r="B1" s="655"/>
      <c r="C1" s="655"/>
      <c r="D1" s="655"/>
      <c r="E1" s="655"/>
      <c r="F1" s="655"/>
      <c r="G1" s="655"/>
      <c r="H1" s="655"/>
      <c r="I1" s="655"/>
    </row>
    <row r="2" spans="1:9" ht="18.75" customHeight="1" x14ac:dyDescent="0.25">
      <c r="A2" s="9"/>
      <c r="D2" s="14"/>
      <c r="E2" s="14"/>
      <c r="F2" s="14"/>
      <c r="G2" s="14"/>
      <c r="H2" s="14"/>
      <c r="I2" s="14"/>
    </row>
    <row r="3" spans="1:9" ht="56.25" customHeight="1" x14ac:dyDescent="0.25">
      <c r="A3" s="571"/>
      <c r="B3" s="571"/>
      <c r="C3" s="571"/>
      <c r="D3" s="353" t="s">
        <v>912</v>
      </c>
      <c r="F3" s="656" t="s">
        <v>1128</v>
      </c>
      <c r="G3" s="657"/>
      <c r="H3" s="657"/>
      <c r="I3" s="658"/>
    </row>
    <row r="4" spans="1:9" ht="18.75" customHeight="1" x14ac:dyDescent="0.25">
      <c r="A4" s="571"/>
      <c r="B4" s="571"/>
      <c r="C4" s="571"/>
      <c r="D4" s="353" t="s">
        <v>913</v>
      </c>
      <c r="F4" s="659" t="s">
        <v>1129</v>
      </c>
      <c r="G4" s="660"/>
      <c r="H4" s="660"/>
      <c r="I4" s="661"/>
    </row>
    <row r="5" spans="1:9" ht="18.75" customHeight="1" x14ac:dyDescent="0.25">
      <c r="A5" s="571"/>
      <c r="B5" s="571"/>
      <c r="C5" s="571"/>
      <c r="D5" s="353" t="s">
        <v>914</v>
      </c>
      <c r="F5" s="662" t="s">
        <v>915</v>
      </c>
      <c r="G5" s="660"/>
      <c r="H5" s="660"/>
      <c r="I5" s="661"/>
    </row>
    <row r="6" spans="1:9" ht="18.75" customHeight="1" x14ac:dyDescent="0.25">
      <c r="A6" s="1"/>
    </row>
    <row r="7" spans="1:9" ht="18.75" customHeight="1" x14ac:dyDescent="0.25">
      <c r="A7" s="563" t="s">
        <v>917</v>
      </c>
      <c r="B7" s="564" t="s">
        <v>918</v>
      </c>
      <c r="C7" s="564"/>
      <c r="D7" s="564"/>
      <c r="E7" s="564"/>
      <c r="F7" s="564"/>
      <c r="G7" s="564"/>
      <c r="H7" s="564"/>
      <c r="I7" s="564"/>
    </row>
    <row r="8" spans="1:9" ht="19.149999999999999" customHeight="1" x14ac:dyDescent="0.25">
      <c r="A8" s="359" t="s">
        <v>3</v>
      </c>
      <c r="B8" s="360" t="s">
        <v>929</v>
      </c>
      <c r="C8" s="129"/>
      <c r="D8" s="129"/>
      <c r="E8" s="129"/>
      <c r="F8" s="129"/>
      <c r="G8" s="361"/>
      <c r="H8" s="129"/>
      <c r="I8" s="362"/>
    </row>
    <row r="9" spans="1:9" ht="19.149999999999999" customHeight="1" x14ac:dyDescent="0.25">
      <c r="B9" s="2" t="s">
        <v>6</v>
      </c>
      <c r="C9" s="2"/>
      <c r="D9" s="2"/>
      <c r="E9" s="2"/>
      <c r="F9" s="2"/>
      <c r="G9" s="11" t="s">
        <v>38</v>
      </c>
      <c r="H9" s="37">
        <f>'Input (1)'!I3</f>
        <v>30</v>
      </c>
      <c r="I9" s="10"/>
    </row>
    <row r="10" spans="1:9" ht="19.149999999999999" customHeight="1" x14ac:dyDescent="0.25">
      <c r="B10" s="1" t="s">
        <v>12</v>
      </c>
      <c r="G10" s="7" t="s">
        <v>8</v>
      </c>
      <c r="H10" s="357">
        <f>'Input (1)'!I4</f>
        <v>400</v>
      </c>
      <c r="I10" s="5" t="s">
        <v>7</v>
      </c>
    </row>
    <row r="11" spans="1:9" ht="19.149999999999999" customHeight="1" x14ac:dyDescent="0.25">
      <c r="B11" s="1" t="s">
        <v>13</v>
      </c>
      <c r="G11" s="7" t="s">
        <v>8</v>
      </c>
      <c r="H11" s="357">
        <f>'Input (1)'!I5</f>
        <v>240</v>
      </c>
      <c r="I11" s="5" t="s">
        <v>7</v>
      </c>
    </row>
    <row r="12" spans="1:9" ht="19.149999999999999" customHeight="1" x14ac:dyDescent="0.25">
      <c r="B12" s="12" t="s">
        <v>9</v>
      </c>
      <c r="G12" s="7" t="s">
        <v>10</v>
      </c>
      <c r="H12" s="357">
        <f>'Input (1)'!I6</f>
        <v>200000</v>
      </c>
      <c r="I12" s="5" t="s">
        <v>7</v>
      </c>
    </row>
    <row r="13" spans="1:9" ht="15" x14ac:dyDescent="0.25">
      <c r="G13" s="7"/>
      <c r="I13" s="5"/>
    </row>
    <row r="14" spans="1:9" ht="15" x14ac:dyDescent="0.25">
      <c r="G14" s="7"/>
      <c r="I14" s="5"/>
    </row>
    <row r="15" spans="1:9" ht="19.149999999999999" customHeight="1" x14ac:dyDescent="0.25">
      <c r="A15" s="359" t="s">
        <v>4</v>
      </c>
      <c r="B15" s="360" t="s">
        <v>928</v>
      </c>
      <c r="C15" s="129"/>
      <c r="D15" s="129"/>
      <c r="E15" s="129"/>
      <c r="F15" s="129"/>
      <c r="G15" s="361"/>
      <c r="H15" s="129"/>
      <c r="I15" s="362"/>
    </row>
    <row r="16" spans="1:9" s="12" customFormat="1" ht="19.5" customHeight="1" x14ac:dyDescent="0.25">
      <c r="B16" s="12" t="s">
        <v>710</v>
      </c>
      <c r="C16" s="28"/>
      <c r="D16" s="28"/>
      <c r="E16" s="29"/>
      <c r="F16" s="30"/>
      <c r="G16" s="31" t="s">
        <v>48</v>
      </c>
      <c r="H16" s="356">
        <f>'Input (1)'!I10</f>
        <v>19</v>
      </c>
      <c r="I16" s="32" t="s">
        <v>49</v>
      </c>
    </row>
    <row r="17" spans="2:9" s="12" customFormat="1" ht="19.5" customHeight="1" x14ac:dyDescent="0.25">
      <c r="B17" s="12" t="s">
        <v>711</v>
      </c>
      <c r="C17" s="28"/>
      <c r="D17" s="28"/>
      <c r="E17" s="29"/>
      <c r="F17" s="30"/>
      <c r="G17" s="31" t="s">
        <v>48</v>
      </c>
      <c r="H17" s="356">
        <f>'Input (1)'!I11</f>
        <v>16</v>
      </c>
      <c r="I17" s="32" t="s">
        <v>49</v>
      </c>
    </row>
    <row r="18" spans="2:9" s="12" customFormat="1" ht="19.5" customHeight="1" x14ac:dyDescent="0.25">
      <c r="B18" s="12" t="s">
        <v>714</v>
      </c>
      <c r="C18" s="28"/>
      <c r="D18" s="28"/>
      <c r="E18" s="29"/>
      <c r="F18" s="30"/>
      <c r="G18" s="31" t="s">
        <v>48</v>
      </c>
      <c r="H18" s="356">
        <f>'Input (1)'!I12</f>
        <v>16</v>
      </c>
      <c r="I18" s="32" t="s">
        <v>49</v>
      </c>
    </row>
    <row r="19" spans="2:9" s="12" customFormat="1" ht="19.5" customHeight="1" x14ac:dyDescent="0.25">
      <c r="B19" s="12" t="s">
        <v>715</v>
      </c>
      <c r="C19" s="28"/>
      <c r="D19" s="28"/>
      <c r="E19" s="29"/>
      <c r="F19" s="30"/>
      <c r="G19" s="31" t="s">
        <v>48</v>
      </c>
      <c r="H19" s="356">
        <f>'Input (1)'!I13</f>
        <v>13</v>
      </c>
      <c r="I19" s="32" t="s">
        <v>49</v>
      </c>
    </row>
    <row r="20" spans="2:9" s="12" customFormat="1" ht="19.5" customHeight="1" x14ac:dyDescent="0.25">
      <c r="B20" s="12" t="s">
        <v>716</v>
      </c>
      <c r="C20" s="28"/>
      <c r="D20" s="28"/>
      <c r="E20" s="29"/>
      <c r="F20" s="30"/>
      <c r="G20" s="31" t="s">
        <v>48</v>
      </c>
      <c r="H20" s="356">
        <f>'Input (1)'!I14</f>
        <v>13</v>
      </c>
      <c r="I20" s="32" t="s">
        <v>49</v>
      </c>
    </row>
    <row r="21" spans="2:9" s="12" customFormat="1" ht="19.5" customHeight="1" x14ac:dyDescent="0.25">
      <c r="B21" s="12" t="s">
        <v>717</v>
      </c>
      <c r="C21" s="28"/>
      <c r="D21" s="28"/>
      <c r="E21" s="29"/>
      <c r="F21" s="30"/>
      <c r="G21" s="31" t="s">
        <v>48</v>
      </c>
      <c r="H21" s="356">
        <f>'Input (1)'!I15</f>
        <v>10</v>
      </c>
      <c r="I21" s="32" t="s">
        <v>49</v>
      </c>
    </row>
    <row r="22" spans="2:9" s="12" customFormat="1" ht="19.5" customHeight="1" x14ac:dyDescent="0.25">
      <c r="B22" s="12" t="s">
        <v>721</v>
      </c>
      <c r="C22" s="28"/>
      <c r="D22" s="28"/>
      <c r="E22" s="29"/>
      <c r="F22" s="30"/>
      <c r="G22" s="31" t="s">
        <v>48</v>
      </c>
      <c r="H22" s="356">
        <f>'Input (1)'!I16</f>
        <v>13</v>
      </c>
      <c r="I22" s="32" t="s">
        <v>49</v>
      </c>
    </row>
    <row r="23" spans="2:9" s="12" customFormat="1" ht="19.5" customHeight="1" x14ac:dyDescent="0.25">
      <c r="B23" s="12" t="s">
        <v>722</v>
      </c>
      <c r="C23" s="28"/>
      <c r="D23" s="28"/>
      <c r="E23" s="29"/>
      <c r="F23" s="30"/>
      <c r="G23" s="31" t="s">
        <v>48</v>
      </c>
      <c r="H23" s="356">
        <f>'Input (1)'!I17</f>
        <v>13</v>
      </c>
      <c r="I23" s="32" t="s">
        <v>49</v>
      </c>
    </row>
    <row r="24" spans="2:9" s="12" customFormat="1" ht="19.5" customHeight="1" x14ac:dyDescent="0.25">
      <c r="B24" s="12" t="s">
        <v>837</v>
      </c>
      <c r="C24" s="28"/>
      <c r="D24" s="28"/>
      <c r="E24" s="29"/>
      <c r="F24" s="30"/>
      <c r="G24" s="31" t="s">
        <v>48</v>
      </c>
      <c r="H24" s="356">
        <f>'Input (1)'!I18</f>
        <v>22</v>
      </c>
      <c r="I24" s="32" t="s">
        <v>49</v>
      </c>
    </row>
    <row r="25" spans="2:9" s="12" customFormat="1" ht="19.5" customHeight="1" x14ac:dyDescent="0.25">
      <c r="B25" s="12" t="s">
        <v>838</v>
      </c>
      <c r="C25" s="28"/>
      <c r="D25" s="28"/>
      <c r="E25" s="29"/>
      <c r="F25" s="30"/>
      <c r="G25" s="31" t="s">
        <v>48</v>
      </c>
      <c r="H25" s="356">
        <f>'Input (1)'!I19</f>
        <v>19</v>
      </c>
      <c r="I25" s="32" t="s">
        <v>49</v>
      </c>
    </row>
    <row r="26" spans="2:9" s="12" customFormat="1" ht="19.5" customHeight="1" x14ac:dyDescent="0.25">
      <c r="B26" s="12" t="s">
        <v>349</v>
      </c>
      <c r="C26" s="28"/>
      <c r="D26" s="28"/>
      <c r="E26" s="29"/>
      <c r="F26" s="30"/>
      <c r="G26" s="31" t="s">
        <v>48</v>
      </c>
      <c r="H26" s="356">
        <f>'Input (1)'!I20</f>
        <v>19</v>
      </c>
      <c r="I26" s="32" t="s">
        <v>49</v>
      </c>
    </row>
    <row r="27" spans="2:9" s="12" customFormat="1" ht="19.5" customHeight="1" x14ac:dyDescent="0.25">
      <c r="B27" s="12" t="s">
        <v>350</v>
      </c>
      <c r="C27" s="28"/>
      <c r="D27" s="28"/>
      <c r="E27" s="29"/>
      <c r="F27" s="30"/>
      <c r="G27" s="31" t="s">
        <v>48</v>
      </c>
      <c r="H27" s="356">
        <f>'Input (1)'!I21</f>
        <v>19</v>
      </c>
      <c r="I27" s="32" t="s">
        <v>49</v>
      </c>
    </row>
    <row r="36" spans="1:9" ht="19.149999999999999" customHeight="1" x14ac:dyDescent="0.25">
      <c r="A36" s="359" t="s">
        <v>5</v>
      </c>
      <c r="B36" s="360" t="s">
        <v>871</v>
      </c>
      <c r="C36" s="129"/>
      <c r="D36" s="129"/>
      <c r="E36" s="129"/>
      <c r="F36" s="129"/>
      <c r="G36" s="129"/>
      <c r="H36" s="361"/>
      <c r="I36" s="129"/>
    </row>
    <row r="37" spans="1:9" ht="18.75" customHeight="1" x14ac:dyDescent="0.25">
      <c r="H37" s="7"/>
    </row>
    <row r="38" spans="1:9" ht="18.75" customHeight="1" x14ac:dyDescent="0.25">
      <c r="H38" s="7"/>
    </row>
    <row r="39" spans="1:9" ht="18.75" customHeight="1" x14ac:dyDescent="0.25">
      <c r="H39" s="7"/>
    </row>
    <row r="40" spans="1:9" ht="18.75" customHeight="1" x14ac:dyDescent="0.25">
      <c r="H40" s="7"/>
    </row>
    <row r="41" spans="1:9" ht="18.75" customHeight="1" x14ac:dyDescent="0.25">
      <c r="H41" s="7"/>
    </row>
    <row r="42" spans="1:9" ht="18.75" customHeight="1" x14ac:dyDescent="0.25">
      <c r="H42" s="7"/>
    </row>
    <row r="43" spans="1:9" ht="18.75" customHeight="1" x14ac:dyDescent="0.25">
      <c r="H43" s="7"/>
    </row>
    <row r="44" spans="1:9" ht="18.75" customHeight="1" x14ac:dyDescent="0.25">
      <c r="H44" s="7"/>
    </row>
    <row r="45" spans="1:9" ht="18.75" customHeight="1" x14ac:dyDescent="0.25">
      <c r="H45" s="7"/>
    </row>
    <row r="46" spans="1:9" ht="18.75" customHeight="1" x14ac:dyDescent="0.25">
      <c r="H46" s="7"/>
    </row>
    <row r="47" spans="1:9" ht="18.75" customHeight="1" x14ac:dyDescent="0.25">
      <c r="H47" s="7"/>
    </row>
    <row r="48" spans="1:9" ht="18.75" customHeight="1" x14ac:dyDescent="0.25">
      <c r="H48" s="7"/>
    </row>
    <row r="49" spans="2:9" ht="18.75" customHeight="1" x14ac:dyDescent="0.25">
      <c r="H49" s="7"/>
    </row>
    <row r="50" spans="2:9" ht="18.75" customHeight="1" x14ac:dyDescent="0.25">
      <c r="H50" s="7"/>
    </row>
    <row r="51" spans="2:9" ht="15" x14ac:dyDescent="0.25">
      <c r="H51" s="7"/>
    </row>
    <row r="52" spans="2:9" ht="19.149999999999999" customHeight="1" x14ac:dyDescent="0.25">
      <c r="B52" s="349" t="s">
        <v>930</v>
      </c>
      <c r="C52" s="37">
        <f>'Input (1)'!C38</f>
        <v>0.9</v>
      </c>
      <c r="D52" s="342" t="s">
        <v>0</v>
      </c>
      <c r="E52" s="349" t="s">
        <v>873</v>
      </c>
      <c r="F52" s="37">
        <f>'Input (1)'!F38</f>
        <v>0.35</v>
      </c>
      <c r="G52" s="5" t="s">
        <v>0</v>
      </c>
      <c r="H52" s="7"/>
    </row>
    <row r="53" spans="2:9" ht="19.149999999999999" customHeight="1" x14ac:dyDescent="0.25">
      <c r="B53" s="349" t="s">
        <v>931</v>
      </c>
      <c r="C53" s="37">
        <f>'Input (1)'!C39</f>
        <v>2.63</v>
      </c>
      <c r="D53" s="342" t="s">
        <v>0</v>
      </c>
      <c r="E53" s="349" t="s">
        <v>874</v>
      </c>
      <c r="F53" s="37">
        <f>'Input (1)'!F39</f>
        <v>0.55000000000000004</v>
      </c>
      <c r="G53" s="5" t="s">
        <v>0</v>
      </c>
      <c r="H53" s="7"/>
    </row>
    <row r="54" spans="2:9" ht="19.149999999999999" customHeight="1" x14ac:dyDescent="0.25">
      <c r="B54" s="349" t="s">
        <v>932</v>
      </c>
      <c r="C54" s="37">
        <f>'Input (1)'!C40</f>
        <v>0.6</v>
      </c>
      <c r="D54" s="342" t="s">
        <v>0</v>
      </c>
      <c r="E54" s="349" t="s">
        <v>875</v>
      </c>
      <c r="F54" s="37">
        <f>'Input (1)'!F40</f>
        <v>0.6</v>
      </c>
      <c r="G54" s="5" t="s">
        <v>0</v>
      </c>
      <c r="H54" s="7"/>
    </row>
    <row r="55" spans="2:9" ht="19.149999999999999" customHeight="1" x14ac:dyDescent="0.25">
      <c r="B55" s="349" t="s">
        <v>933</v>
      </c>
      <c r="C55" s="37">
        <f>'Input (1)'!C41</f>
        <v>2.1</v>
      </c>
      <c r="D55" s="342" t="s">
        <v>0</v>
      </c>
      <c r="E55" s="343"/>
      <c r="F55" s="344"/>
      <c r="G55" s="5"/>
      <c r="H55" s="7"/>
    </row>
    <row r="56" spans="2:9" ht="19.149999999999999" customHeight="1" x14ac:dyDescent="0.25">
      <c r="B56" s="349" t="s">
        <v>934</v>
      </c>
      <c r="C56" s="37">
        <f>'Input (1)'!C42</f>
        <v>0.5</v>
      </c>
      <c r="D56" s="342" t="s">
        <v>0</v>
      </c>
      <c r="E56" s="349" t="s">
        <v>876</v>
      </c>
      <c r="F56" s="37">
        <f>'Input (1)'!F42</f>
        <v>1</v>
      </c>
      <c r="G56" s="5" t="s">
        <v>0</v>
      </c>
      <c r="H56" s="7"/>
    </row>
    <row r="57" spans="2:9" ht="19.149999999999999" customHeight="1" x14ac:dyDescent="0.25">
      <c r="B57" s="349" t="s">
        <v>935</v>
      </c>
      <c r="C57" s="37">
        <f>'Input (1)'!C43</f>
        <v>0.75</v>
      </c>
      <c r="D57" s="342" t="s">
        <v>0</v>
      </c>
      <c r="E57" s="349" t="s">
        <v>877</v>
      </c>
      <c r="F57" s="37">
        <f>'Input (1)'!F43</f>
        <v>3</v>
      </c>
      <c r="G57" s="5" t="s">
        <v>0</v>
      </c>
      <c r="I57" s="17"/>
    </row>
    <row r="58" spans="2:9" ht="19.149999999999999" customHeight="1" x14ac:dyDescent="0.25">
      <c r="B58" s="350"/>
      <c r="C58" s="345"/>
      <c r="D58" s="342"/>
      <c r="E58" s="349" t="s">
        <v>878</v>
      </c>
      <c r="F58" s="37">
        <f>'Input (1)'!F44</f>
        <v>3</v>
      </c>
      <c r="G58" s="5" t="s">
        <v>0</v>
      </c>
      <c r="I58" s="17"/>
    </row>
    <row r="59" spans="2:9" ht="19.149999999999999" customHeight="1" x14ac:dyDescent="0.25">
      <c r="B59" s="349" t="s">
        <v>936</v>
      </c>
      <c r="C59" s="37">
        <f>'Input (1)'!C46</f>
        <v>2.5</v>
      </c>
      <c r="D59" s="342" t="s">
        <v>0</v>
      </c>
      <c r="E59" s="349" t="s">
        <v>879</v>
      </c>
      <c r="F59" s="37">
        <f>'Input (1)'!F45</f>
        <v>0.6</v>
      </c>
      <c r="G59" s="5" t="s">
        <v>0</v>
      </c>
      <c r="H59" s="7"/>
    </row>
    <row r="60" spans="2:9" ht="19.149999999999999" customHeight="1" x14ac:dyDescent="0.25">
      <c r="B60" s="349" t="s">
        <v>937</v>
      </c>
      <c r="C60" s="37">
        <f>'Input (1)'!C47</f>
        <v>0.55000000000000004</v>
      </c>
      <c r="D60" s="342" t="s">
        <v>0</v>
      </c>
      <c r="E60" s="346"/>
      <c r="F60" s="346"/>
      <c r="G60" s="5"/>
      <c r="H60" s="7"/>
    </row>
    <row r="61" spans="2:9" ht="19.149999999999999" customHeight="1" x14ac:dyDescent="0.25">
      <c r="B61" s="349" t="s">
        <v>938</v>
      </c>
      <c r="C61" s="37">
        <f>'Input (1)'!C48</f>
        <v>0.8</v>
      </c>
      <c r="D61" s="342" t="s">
        <v>0</v>
      </c>
      <c r="E61" s="349" t="s">
        <v>11</v>
      </c>
      <c r="F61" s="37">
        <f>'Input (1)'!F48</f>
        <v>7.48</v>
      </c>
      <c r="G61" s="5" t="s">
        <v>0</v>
      </c>
      <c r="H61" s="21"/>
    </row>
    <row r="62" spans="2:9" ht="19.149999999999999" customHeight="1" x14ac:dyDescent="0.25">
      <c r="B62" s="349" t="s">
        <v>939</v>
      </c>
      <c r="C62" s="37">
        <f>'Input (1)'!C49</f>
        <v>0.6</v>
      </c>
      <c r="D62" s="342" t="s">
        <v>0</v>
      </c>
      <c r="E62" s="349" t="s">
        <v>1</v>
      </c>
      <c r="F62" s="37">
        <f>'Input (1)'!F49</f>
        <v>7</v>
      </c>
      <c r="G62" s="5"/>
    </row>
    <row r="63" spans="2:9" ht="19.149999999999999" customHeight="1" x14ac:dyDescent="0.25">
      <c r="B63" s="349" t="s">
        <v>940</v>
      </c>
      <c r="C63" s="37">
        <f>'Input (1)'!C50</f>
        <v>1.7800000000000007</v>
      </c>
      <c r="D63" s="342" t="s">
        <v>0</v>
      </c>
      <c r="E63" s="349" t="s">
        <v>880</v>
      </c>
      <c r="F63" s="37">
        <f>'Input (1)'!F50</f>
        <v>2</v>
      </c>
      <c r="G63" s="5" t="s">
        <v>0</v>
      </c>
      <c r="H63" s="7"/>
    </row>
    <row r="64" spans="2:9" ht="19.149999999999999" customHeight="1" x14ac:dyDescent="0.25">
      <c r="B64" s="346"/>
      <c r="C64" s="346"/>
      <c r="D64" s="346"/>
      <c r="E64" s="349" t="s">
        <v>881</v>
      </c>
      <c r="F64" s="37">
        <f>'Input (1)'!F51</f>
        <v>2.9800000000000004</v>
      </c>
      <c r="G64" s="5" t="s">
        <v>0</v>
      </c>
      <c r="H64" s="7"/>
    </row>
    <row r="65" spans="2:8" ht="19.149999999999999" customHeight="1" x14ac:dyDescent="0.25">
      <c r="B65" s="349" t="s">
        <v>941</v>
      </c>
      <c r="C65" s="37">
        <f>'Input (1)'!C54</f>
        <v>6</v>
      </c>
      <c r="D65" s="342" t="s">
        <v>0</v>
      </c>
      <c r="E65" s="346"/>
      <c r="F65" s="346"/>
      <c r="H65" s="7"/>
    </row>
    <row r="66" spans="2:8" ht="19.149999999999999" customHeight="1" x14ac:dyDescent="0.25">
      <c r="B66" s="349" t="s">
        <v>942</v>
      </c>
      <c r="C66" s="37">
        <f>'Input (1)'!C55</f>
        <v>0.5</v>
      </c>
      <c r="D66" s="342" t="s">
        <v>0</v>
      </c>
      <c r="E66" s="349" t="s">
        <v>882</v>
      </c>
      <c r="F66" s="37">
        <f>'Input (1)'!F54</f>
        <v>4</v>
      </c>
      <c r="G66" s="5" t="s">
        <v>0</v>
      </c>
      <c r="H66" s="7"/>
    </row>
    <row r="67" spans="2:8" ht="19.149999999999999" customHeight="1" x14ac:dyDescent="0.25">
      <c r="H67" s="7"/>
    </row>
    <row r="68" spans="2:8" ht="19.149999999999999" customHeight="1" x14ac:dyDescent="0.25">
      <c r="E68" s="346"/>
      <c r="F68" s="346"/>
      <c r="H68" s="7"/>
    </row>
    <row r="69" spans="2:8" ht="19.149999999999999" customHeight="1" x14ac:dyDescent="0.25">
      <c r="H69" s="7"/>
    </row>
    <row r="70" spans="2:8" ht="19.149999999999999" customHeight="1" x14ac:dyDescent="0.25">
      <c r="H70" s="7"/>
    </row>
    <row r="71" spans="2:8" ht="19.149999999999999" customHeight="1" x14ac:dyDescent="0.25">
      <c r="H71" s="7"/>
    </row>
    <row r="72" spans="2:8" ht="19.149999999999999" customHeight="1" x14ac:dyDescent="0.25">
      <c r="H72" s="7"/>
    </row>
    <row r="73" spans="2:8" ht="19.149999999999999" customHeight="1" x14ac:dyDescent="0.25">
      <c r="H73" s="7"/>
    </row>
    <row r="74" spans="2:8" ht="19.149999999999999" customHeight="1" x14ac:dyDescent="0.25">
      <c r="H74" s="7"/>
    </row>
    <row r="75" spans="2:8" ht="19.149999999999999" customHeight="1" x14ac:dyDescent="0.25">
      <c r="H75" s="7"/>
    </row>
    <row r="76" spans="2:8" ht="19.149999999999999" customHeight="1" x14ac:dyDescent="0.25">
      <c r="H76" s="7"/>
    </row>
    <row r="77" spans="2:8" ht="19.149999999999999" customHeight="1" x14ac:dyDescent="0.25">
      <c r="H77" s="7"/>
    </row>
    <row r="78" spans="2:8" ht="19.149999999999999" customHeight="1" x14ac:dyDescent="0.25">
      <c r="H78" s="7"/>
    </row>
    <row r="79" spans="2:8" ht="19.149999999999999" customHeight="1" x14ac:dyDescent="0.25">
      <c r="H79" s="7"/>
    </row>
    <row r="80" spans="2:8" ht="19.149999999999999" customHeight="1" x14ac:dyDescent="0.25">
      <c r="H80" s="7"/>
    </row>
    <row r="81" spans="1:9" ht="19.149999999999999" customHeight="1" x14ac:dyDescent="0.25">
      <c r="H81" s="7"/>
    </row>
    <row r="82" spans="1:9" ht="19.149999999999999" customHeight="1" x14ac:dyDescent="0.25">
      <c r="H82" s="7"/>
    </row>
    <row r="83" spans="1:9" ht="19.149999999999999" customHeight="1" x14ac:dyDescent="0.25">
      <c r="H83" s="7"/>
    </row>
    <row r="84" spans="1:9" ht="19.149999999999999" customHeight="1" x14ac:dyDescent="0.25">
      <c r="B84" s="1" t="s">
        <v>1019</v>
      </c>
      <c r="F84" s="1" t="s">
        <v>1130</v>
      </c>
      <c r="H84" s="7"/>
    </row>
    <row r="85" spans="1:9" ht="19.149999999999999" customHeight="1" x14ac:dyDescent="0.25">
      <c r="H85" s="7"/>
    </row>
    <row r="86" spans="1:9" ht="19.149999999999999" customHeight="1" x14ac:dyDescent="0.25">
      <c r="B86" s="8" t="s">
        <v>33</v>
      </c>
      <c r="G86" s="7" t="s">
        <v>34</v>
      </c>
      <c r="H86" s="4">
        <f>'Input (1)'!I57</f>
        <v>17.863</v>
      </c>
      <c r="I86" s="15" t="s">
        <v>35</v>
      </c>
    </row>
    <row r="87" spans="1:9" ht="19.149999999999999" customHeight="1" x14ac:dyDescent="0.25">
      <c r="B87" s="8" t="s">
        <v>36</v>
      </c>
      <c r="G87" s="7" t="s">
        <v>2</v>
      </c>
      <c r="H87" s="4">
        <f>'Input (1)'!I58</f>
        <v>17.3</v>
      </c>
      <c r="I87" s="358" t="s">
        <v>0</v>
      </c>
    </row>
    <row r="89" spans="1:9" ht="18.75" customHeight="1" x14ac:dyDescent="0.25">
      <c r="A89" s="368" t="s">
        <v>943</v>
      </c>
      <c r="B89" s="360" t="s">
        <v>40</v>
      </c>
      <c r="C89" s="369"/>
      <c r="D89" s="369"/>
      <c r="E89" s="369"/>
      <c r="F89" s="369"/>
      <c r="G89" s="369"/>
      <c r="H89" s="369"/>
      <c r="I89" s="369"/>
    </row>
    <row r="90" spans="1:9" ht="18.75" customHeight="1" x14ac:dyDescent="0.25">
      <c r="A90" s="2"/>
      <c r="B90" s="2" t="s">
        <v>41</v>
      </c>
      <c r="C90" s="27"/>
      <c r="D90" s="27"/>
      <c r="E90" s="27"/>
      <c r="F90" s="27"/>
      <c r="G90" s="3" t="s">
        <v>42</v>
      </c>
      <c r="H90" s="363">
        <f>'Input (1)'!I61</f>
        <v>17.2</v>
      </c>
      <c r="I90" s="10" t="s">
        <v>43</v>
      </c>
    </row>
    <row r="91" spans="1:9" ht="18.75" customHeight="1" x14ac:dyDescent="0.25">
      <c r="A91" s="2"/>
      <c r="B91" s="2" t="s">
        <v>44</v>
      </c>
      <c r="C91" s="27"/>
      <c r="D91" s="27"/>
      <c r="E91" s="27"/>
      <c r="F91" s="27"/>
      <c r="G91" s="3" t="s">
        <v>45</v>
      </c>
      <c r="H91" s="363">
        <f>'Input (1)'!I62</f>
        <v>9.81</v>
      </c>
      <c r="I91" s="10" t="s">
        <v>43</v>
      </c>
    </row>
    <row r="92" spans="1:9" ht="18.75" customHeight="1" x14ac:dyDescent="0.25">
      <c r="A92" s="26"/>
      <c r="B92" s="26" t="s">
        <v>46</v>
      </c>
      <c r="C92" s="26"/>
      <c r="D92" s="26"/>
      <c r="E92" s="26"/>
      <c r="F92" s="26"/>
      <c r="G92" s="3" t="s">
        <v>47</v>
      </c>
      <c r="H92" s="363">
        <f>'Input (1)'!I63</f>
        <v>25</v>
      </c>
      <c r="I92" s="10" t="s">
        <v>43</v>
      </c>
    </row>
    <row r="93" spans="1:9" ht="18.75" customHeight="1" x14ac:dyDescent="0.25">
      <c r="G93" s="7"/>
      <c r="H93" s="346"/>
      <c r="I93" s="5"/>
    </row>
    <row r="94" spans="1:9" ht="18.75" customHeight="1" x14ac:dyDescent="0.25">
      <c r="A94" s="368" t="s">
        <v>166</v>
      </c>
      <c r="B94" s="360" t="s">
        <v>167</v>
      </c>
      <c r="C94" s="129"/>
      <c r="D94" s="129"/>
      <c r="E94" s="129"/>
      <c r="F94" s="129"/>
      <c r="G94" s="361"/>
      <c r="H94" s="200"/>
      <c r="I94" s="362"/>
    </row>
    <row r="95" spans="1:9" ht="18.75" customHeight="1" x14ac:dyDescent="0.25">
      <c r="B95" s="8" t="s">
        <v>150</v>
      </c>
      <c r="G95" s="7" t="s">
        <v>151</v>
      </c>
      <c r="H95" s="357">
        <f>'Input (1)'!I66</f>
        <v>0.3</v>
      </c>
      <c r="I95" s="5" t="s">
        <v>152</v>
      </c>
    </row>
    <row r="96" spans="1:9" ht="18.75" customHeight="1" x14ac:dyDescent="0.25">
      <c r="B96" s="8" t="s">
        <v>153</v>
      </c>
      <c r="G96" s="7" t="s">
        <v>154</v>
      </c>
      <c r="H96" s="357">
        <f>'Input (1)'!I67</f>
        <v>1.2</v>
      </c>
      <c r="I96" s="5"/>
    </row>
    <row r="97" spans="1:10" ht="48.75" customHeight="1" x14ac:dyDescent="0.25">
      <c r="B97" s="566" t="s">
        <v>1055</v>
      </c>
      <c r="C97" s="566"/>
      <c r="D97" s="566"/>
      <c r="E97" s="566"/>
      <c r="F97" s="566"/>
      <c r="G97" s="555" t="s">
        <v>1131</v>
      </c>
      <c r="H97" s="556">
        <f>'Input (1)'!I68</f>
        <v>0.6</v>
      </c>
      <c r="I97" s="5" t="s">
        <v>152</v>
      </c>
    </row>
    <row r="98" spans="1:10" ht="48.75" customHeight="1" x14ac:dyDescent="0.25">
      <c r="B98" s="566" t="s">
        <v>1057</v>
      </c>
      <c r="C98" s="566"/>
      <c r="D98" s="566"/>
      <c r="E98" s="566"/>
      <c r="F98" s="566"/>
      <c r="G98" s="555" t="s">
        <v>1132</v>
      </c>
      <c r="H98" s="556">
        <f>'Input (1)'!I69</f>
        <v>0.25</v>
      </c>
      <c r="I98" s="5" t="s">
        <v>152</v>
      </c>
    </row>
    <row r="99" spans="1:10" ht="18.75" customHeight="1" x14ac:dyDescent="0.25">
      <c r="B99" s="1" t="s">
        <v>1060</v>
      </c>
      <c r="G99" s="663" t="str">
        <f>'Input (1)'!H70</f>
        <v>Tanah Sedang (SD)</v>
      </c>
      <c r="H99" s="664"/>
      <c r="I99" s="5"/>
    </row>
    <row r="100" spans="1:10" ht="18.75" customHeight="1" x14ac:dyDescent="0.25">
      <c r="G100" s="7"/>
      <c r="H100" s="346"/>
      <c r="I100" s="5"/>
    </row>
    <row r="101" spans="1:10" ht="18.75" customHeight="1" x14ac:dyDescent="0.25">
      <c r="A101" s="368" t="s">
        <v>246</v>
      </c>
      <c r="B101" s="199" t="s">
        <v>224</v>
      </c>
      <c r="C101" s="200"/>
      <c r="D101" s="200"/>
      <c r="E101" s="200"/>
      <c r="F101" s="200"/>
      <c r="G101" s="200"/>
      <c r="H101" s="200"/>
      <c r="I101" s="374"/>
    </row>
    <row r="102" spans="1:10" ht="18.75" customHeight="1" x14ac:dyDescent="0.25">
      <c r="A102" s="25"/>
      <c r="B102" s="2" t="s">
        <v>225</v>
      </c>
      <c r="C102" s="2"/>
      <c r="D102" s="2"/>
      <c r="E102" s="2"/>
      <c r="F102" s="2"/>
      <c r="G102" s="3" t="s">
        <v>226</v>
      </c>
      <c r="H102" s="363">
        <f>'Input (1)'!I73</f>
        <v>0</v>
      </c>
      <c r="I102" s="10" t="s">
        <v>0</v>
      </c>
    </row>
    <row r="103" spans="1:10" ht="18.75" customHeight="1" x14ac:dyDescent="0.25">
      <c r="A103" s="12"/>
      <c r="B103" s="12" t="s">
        <v>227</v>
      </c>
      <c r="C103" s="12"/>
      <c r="D103" s="28"/>
      <c r="E103" s="29"/>
      <c r="F103" s="30"/>
      <c r="G103" s="31" t="s">
        <v>228</v>
      </c>
      <c r="H103" s="365">
        <f>'Input (1)'!I74</f>
        <v>100</v>
      </c>
      <c r="I103" s="32" t="s">
        <v>49</v>
      </c>
    </row>
    <row r="107" spans="1:10" s="2" customFormat="1" ht="19.5" customHeight="1" x14ac:dyDescent="0.25">
      <c r="A107" s="368" t="s">
        <v>348</v>
      </c>
      <c r="B107" s="199" t="s">
        <v>229</v>
      </c>
      <c r="C107" s="200"/>
      <c r="D107" s="200"/>
      <c r="E107" s="200"/>
      <c r="F107" s="200"/>
      <c r="G107" s="200"/>
      <c r="H107" s="372"/>
      <c r="I107" s="373"/>
      <c r="J107" s="10"/>
    </row>
    <row r="121" spans="1:9" s="2" customFormat="1" ht="19.5" customHeight="1" x14ac:dyDescent="0.25">
      <c r="A121" s="25"/>
      <c r="B121" s="2" t="s">
        <v>230</v>
      </c>
      <c r="G121" s="3" t="s">
        <v>48</v>
      </c>
      <c r="H121" s="363">
        <f>'Input (1)'!I96</f>
        <v>0.8</v>
      </c>
      <c r="I121" s="10" t="s">
        <v>0</v>
      </c>
    </row>
    <row r="122" spans="1:9" s="2" customFormat="1" ht="19.5" customHeight="1" x14ac:dyDescent="0.25">
      <c r="A122" s="25"/>
      <c r="B122" s="2" t="s">
        <v>231</v>
      </c>
      <c r="G122" s="3" t="s">
        <v>232</v>
      </c>
      <c r="H122" s="37">
        <f>'Input (1)'!I97</f>
        <v>3</v>
      </c>
      <c r="I122" s="64" t="s">
        <v>233</v>
      </c>
    </row>
    <row r="123" spans="1:9" s="2" customFormat="1" ht="19.5" customHeight="1" x14ac:dyDescent="0.25">
      <c r="A123" s="25"/>
      <c r="B123" s="2" t="s">
        <v>234</v>
      </c>
      <c r="G123" s="3" t="s">
        <v>232</v>
      </c>
      <c r="H123" s="37">
        <f>'Input (1)'!I98</f>
        <v>11</v>
      </c>
      <c r="I123" s="64" t="s">
        <v>233</v>
      </c>
    </row>
    <row r="124" spans="1:9" s="2" customFormat="1" ht="19.5" customHeight="1" x14ac:dyDescent="0.25">
      <c r="A124" s="25"/>
      <c r="B124" s="1" t="s">
        <v>235</v>
      </c>
      <c r="G124" s="3" t="s">
        <v>236</v>
      </c>
      <c r="H124" s="37">
        <f>'Input (1)'!I99</f>
        <v>33.799999999999997</v>
      </c>
      <c r="I124" s="64"/>
    </row>
    <row r="125" spans="1:9" s="2" customFormat="1" ht="19.5" customHeight="1" x14ac:dyDescent="0.25">
      <c r="A125" s="25"/>
      <c r="B125" s="1" t="s">
        <v>237</v>
      </c>
      <c r="G125" s="3" t="s">
        <v>236</v>
      </c>
      <c r="H125" s="37">
        <f>'Input (1)'!I100</f>
        <v>50</v>
      </c>
      <c r="I125" s="64"/>
    </row>
    <row r="126" spans="1:9" s="2" customFormat="1" ht="19.5" customHeight="1" x14ac:dyDescent="0.25">
      <c r="A126" s="25"/>
      <c r="B126" s="2" t="s">
        <v>238</v>
      </c>
      <c r="G126" s="3" t="s">
        <v>239</v>
      </c>
      <c r="H126" s="363">
        <f>'Input (1)'!I101</f>
        <v>1.6</v>
      </c>
      <c r="I126" s="10" t="s">
        <v>0</v>
      </c>
    </row>
    <row r="127" spans="1:9" s="2" customFormat="1" ht="19.5" customHeight="1" x14ac:dyDescent="0.25">
      <c r="A127" s="25"/>
      <c r="B127" s="2" t="s">
        <v>240</v>
      </c>
      <c r="G127" s="3" t="s">
        <v>241</v>
      </c>
      <c r="H127" s="366">
        <f>'Input (1)'!I102</f>
        <v>6</v>
      </c>
      <c r="I127" s="64"/>
    </row>
    <row r="128" spans="1:9" s="2" customFormat="1" ht="19.5" customHeight="1" x14ac:dyDescent="0.25">
      <c r="A128" s="25"/>
      <c r="B128" s="2" t="s">
        <v>242</v>
      </c>
      <c r="G128" s="3" t="s">
        <v>243</v>
      </c>
      <c r="H128" s="366">
        <f>'Input (1)'!I103</f>
        <v>2</v>
      </c>
      <c r="I128" s="64"/>
    </row>
    <row r="129" spans="1:9" s="2" customFormat="1" ht="19.5" customHeight="1" x14ac:dyDescent="0.25">
      <c r="A129" s="25"/>
      <c r="B129" s="2" t="s">
        <v>244</v>
      </c>
      <c r="F129" s="2" t="s">
        <v>354</v>
      </c>
      <c r="G129" s="3" t="s">
        <v>356</v>
      </c>
      <c r="H129" s="37">
        <f>'Input (1)'!I104</f>
        <v>3</v>
      </c>
      <c r="I129" s="10" t="s">
        <v>0</v>
      </c>
    </row>
    <row r="130" spans="1:9" s="2" customFormat="1" ht="19.5" customHeight="1" x14ac:dyDescent="0.25">
      <c r="A130" s="25"/>
      <c r="F130" s="2" t="s">
        <v>355</v>
      </c>
      <c r="G130" s="3" t="s">
        <v>357</v>
      </c>
      <c r="H130" s="37">
        <f>'Input (1)'!I105</f>
        <v>2.8</v>
      </c>
      <c r="I130" s="10" t="s">
        <v>0</v>
      </c>
    </row>
    <row r="131" spans="1:9" ht="19.149999999999999" customHeight="1" x14ac:dyDescent="0.25">
      <c r="G131" s="7"/>
      <c r="H131" s="367"/>
      <c r="I131" s="5"/>
    </row>
    <row r="132" spans="1:9" ht="19.149999999999999" customHeight="1" x14ac:dyDescent="0.25">
      <c r="G132" s="7"/>
      <c r="H132" s="367"/>
      <c r="I132" s="5"/>
    </row>
    <row r="133" spans="1:9" ht="19.149999999999999" customHeight="1" x14ac:dyDescent="0.25">
      <c r="G133" s="7"/>
      <c r="H133" s="367"/>
      <c r="I133" s="5"/>
    </row>
    <row r="134" spans="1:9" ht="19.149999999999999" customHeight="1" x14ac:dyDescent="0.25">
      <c r="G134" s="7"/>
      <c r="H134" s="367"/>
      <c r="I134" s="5"/>
    </row>
    <row r="135" spans="1:9" ht="19.149999999999999" customHeight="1" x14ac:dyDescent="0.25">
      <c r="G135" s="7"/>
      <c r="H135" s="367"/>
      <c r="I135" s="5"/>
    </row>
    <row r="136" spans="1:9" ht="19.149999999999999" customHeight="1" x14ac:dyDescent="0.25">
      <c r="G136" s="7"/>
      <c r="H136" s="367"/>
      <c r="I136" s="5"/>
    </row>
    <row r="137" spans="1:9" ht="19.149999999999999" customHeight="1" x14ac:dyDescent="0.25">
      <c r="G137" s="7"/>
      <c r="H137" s="367"/>
      <c r="I137" s="5"/>
    </row>
    <row r="138" spans="1:9" ht="19.149999999999999" customHeight="1" x14ac:dyDescent="0.25">
      <c r="G138" s="7"/>
      <c r="H138" s="367"/>
      <c r="I138" s="5"/>
    </row>
    <row r="139" spans="1:9" ht="19.149999999999999" customHeight="1" x14ac:dyDescent="0.25">
      <c r="G139" s="7"/>
      <c r="H139" s="367"/>
      <c r="I139" s="5"/>
    </row>
    <row r="140" spans="1:9" ht="19.149999999999999" customHeight="1" x14ac:dyDescent="0.25">
      <c r="G140" s="7"/>
      <c r="H140" s="367"/>
      <c r="I140" s="5"/>
    </row>
    <row r="141" spans="1:9" ht="19.149999999999999" customHeight="1" x14ac:dyDescent="0.25">
      <c r="G141" s="7"/>
      <c r="H141" s="367"/>
      <c r="I141" s="5"/>
    </row>
    <row r="142" spans="1:9" ht="19.149999999999999" customHeight="1" x14ac:dyDescent="0.25">
      <c r="G142" s="7"/>
      <c r="H142" s="367"/>
      <c r="I142" s="5"/>
    </row>
    <row r="143" spans="1:9" ht="19.149999999999999" customHeight="1" x14ac:dyDescent="0.25">
      <c r="G143" s="7"/>
      <c r="H143" s="367"/>
      <c r="I143" s="5"/>
    </row>
    <row r="144" spans="1:9" ht="19.149999999999999" customHeight="1" x14ac:dyDescent="0.25">
      <c r="A144" s="368" t="s">
        <v>840</v>
      </c>
      <c r="B144" s="360" t="s">
        <v>110</v>
      </c>
      <c r="C144" s="369"/>
      <c r="D144" s="369"/>
      <c r="E144" s="369"/>
      <c r="F144" s="369"/>
      <c r="G144" s="369"/>
      <c r="H144" s="370"/>
      <c r="I144" s="371"/>
    </row>
    <row r="145" spans="1:14" ht="19.5" customHeight="1" x14ac:dyDescent="0.25">
      <c r="B145" s="1" t="s">
        <v>111</v>
      </c>
      <c r="G145" s="50" t="s">
        <v>112</v>
      </c>
      <c r="H145" s="357">
        <f>'Input (1)'!I124</f>
        <v>36.020000000000003</v>
      </c>
      <c r="I145" s="15" t="s">
        <v>100</v>
      </c>
    </row>
    <row r="146" spans="1:14" ht="19.5" customHeight="1" x14ac:dyDescent="0.25">
      <c r="B146" s="1" t="s">
        <v>113</v>
      </c>
      <c r="G146" s="7" t="s">
        <v>102</v>
      </c>
      <c r="H146" s="364">
        <f>'Input (1)'!I125</f>
        <v>2.4220000000000002</v>
      </c>
      <c r="I146" s="5" t="s">
        <v>103</v>
      </c>
    </row>
    <row r="147" spans="1:14" s="2" customFormat="1" ht="18" customHeight="1" x14ac:dyDescent="0.25">
      <c r="A147" s="25"/>
      <c r="B147" s="2" t="s">
        <v>247</v>
      </c>
      <c r="G147" s="3" t="s">
        <v>248</v>
      </c>
      <c r="H147" s="37">
        <f>'Input (1)'!I126</f>
        <v>5917.2525948894472</v>
      </c>
      <c r="I147" s="10" t="s">
        <v>115</v>
      </c>
      <c r="J147" s="65"/>
      <c r="K147" s="65"/>
      <c r="L147" s="45"/>
      <c r="M147" s="65"/>
      <c r="N147" s="65"/>
    </row>
    <row r="148" spans="1:14" ht="19.5" customHeight="1" x14ac:dyDescent="0.25">
      <c r="A148" s="1"/>
      <c r="B148" s="2" t="s">
        <v>249</v>
      </c>
      <c r="G148" s="3" t="s">
        <v>250</v>
      </c>
      <c r="H148" s="37">
        <f>'Input (1)'!I127</f>
        <v>1856.0781622418669</v>
      </c>
      <c r="I148" s="10" t="s">
        <v>115</v>
      </c>
    </row>
    <row r="149" spans="1:14" ht="19.5" customHeight="1" x14ac:dyDescent="0.25">
      <c r="A149" s="1"/>
      <c r="B149" s="1" t="s">
        <v>864</v>
      </c>
      <c r="G149" s="3" t="s">
        <v>251</v>
      </c>
      <c r="H149" s="366">
        <f>'Input (1)'!I128</f>
        <v>3</v>
      </c>
      <c r="I149" s="10"/>
    </row>
    <row r="150" spans="1:14" ht="19.5" customHeight="1" x14ac:dyDescent="0.25">
      <c r="A150" s="1"/>
      <c r="B150" s="1" t="s">
        <v>861</v>
      </c>
      <c r="G150" s="3" t="s">
        <v>251</v>
      </c>
      <c r="H150" s="366">
        <f>'Input (1)'!I129</f>
        <v>5</v>
      </c>
      <c r="I150" s="10"/>
    </row>
    <row r="153" spans="1:14" ht="18.75" customHeight="1" x14ac:dyDescent="0.25">
      <c r="A153" s="563" t="s">
        <v>919</v>
      </c>
      <c r="B153" s="564" t="s">
        <v>944</v>
      </c>
      <c r="C153" s="564"/>
      <c r="D153" s="564"/>
      <c r="E153" s="564"/>
      <c r="F153" s="564"/>
      <c r="G153" s="564"/>
      <c r="H153" s="564"/>
      <c r="I153" s="564"/>
    </row>
    <row r="154" spans="1:14" customFormat="1" ht="19.5" customHeight="1" x14ac:dyDescent="0.25">
      <c r="A154" s="359" t="s">
        <v>50</v>
      </c>
      <c r="B154" s="360" t="s">
        <v>945</v>
      </c>
      <c r="C154" s="163"/>
      <c r="D154" s="163"/>
      <c r="E154" s="163"/>
      <c r="F154" s="163"/>
      <c r="G154" s="163"/>
      <c r="H154" s="163"/>
      <c r="I154" s="163"/>
    </row>
    <row r="170" spans="2:9" ht="18.75" customHeight="1" x14ac:dyDescent="0.25">
      <c r="B170" s="577" t="s">
        <v>59</v>
      </c>
      <c r="C170" s="577" t="s">
        <v>184</v>
      </c>
      <c r="D170" s="577"/>
      <c r="E170" s="577"/>
      <c r="F170" s="577"/>
      <c r="G170" s="577" t="s">
        <v>115</v>
      </c>
      <c r="H170" s="577"/>
      <c r="I170" s="577"/>
    </row>
    <row r="171" spans="2:9" ht="18.75" customHeight="1" x14ac:dyDescent="0.25">
      <c r="B171" s="577"/>
      <c r="C171" s="577"/>
      <c r="D171" s="577"/>
      <c r="E171" s="577"/>
      <c r="F171" s="577"/>
      <c r="G171" s="293" t="s">
        <v>185</v>
      </c>
      <c r="H171" s="293" t="s">
        <v>622</v>
      </c>
      <c r="I171" s="293" t="s">
        <v>623</v>
      </c>
    </row>
    <row r="172" spans="2:9" ht="18.75" customHeight="1" x14ac:dyDescent="0.25">
      <c r="B172" s="267">
        <v>1</v>
      </c>
      <c r="C172" s="640" t="s">
        <v>188</v>
      </c>
      <c r="D172" s="640"/>
      <c r="E172" s="640"/>
      <c r="F172" s="640"/>
      <c r="G172" s="264">
        <f>0.5*6958.068</f>
        <v>3479.0340000000001</v>
      </c>
      <c r="H172" s="265"/>
      <c r="I172" s="265"/>
    </row>
    <row r="173" spans="2:9" ht="18.75" customHeight="1" x14ac:dyDescent="0.25">
      <c r="B173" s="267">
        <v>2</v>
      </c>
      <c r="C173" s="640" t="s">
        <v>189</v>
      </c>
      <c r="D173" s="640"/>
      <c r="E173" s="640"/>
      <c r="F173" s="640"/>
      <c r="G173" s="264">
        <f>0.5*2443.6</f>
        <v>1221.8</v>
      </c>
      <c r="H173" s="265"/>
      <c r="I173" s="265"/>
    </row>
    <row r="174" spans="2:9" ht="18.75" customHeight="1" x14ac:dyDescent="0.25">
      <c r="B174" s="267">
        <v>3</v>
      </c>
      <c r="C174" s="640" t="s">
        <v>190</v>
      </c>
      <c r="D174" s="640"/>
      <c r="E174" s="640"/>
      <c r="F174" s="640"/>
      <c r="G174" s="264">
        <f>0.5*3068.8</f>
        <v>1534.4</v>
      </c>
      <c r="H174" s="265"/>
      <c r="I174" s="265"/>
    </row>
    <row r="175" spans="2:9" ht="18.75" customHeight="1" x14ac:dyDescent="0.25">
      <c r="B175" s="267">
        <v>4</v>
      </c>
      <c r="C175" s="640" t="s">
        <v>191</v>
      </c>
      <c r="D175" s="640"/>
      <c r="E175" s="640"/>
      <c r="F175" s="640"/>
      <c r="G175" s="264">
        <f>500*1.3</f>
        <v>650</v>
      </c>
      <c r="H175" s="265"/>
      <c r="I175" s="265"/>
    </row>
    <row r="176" spans="2:9" ht="18.75" customHeight="1" x14ac:dyDescent="0.25">
      <c r="B176" s="267">
        <v>5</v>
      </c>
      <c r="C176" s="640" t="s">
        <v>192</v>
      </c>
      <c r="D176" s="640"/>
      <c r="E176" s="640"/>
      <c r="F176" s="640"/>
      <c r="G176" s="265"/>
      <c r="H176" s="264">
        <v>144.01499999999999</v>
      </c>
      <c r="I176" s="265"/>
    </row>
    <row r="177" spans="1:9" ht="18.75" customHeight="1" x14ac:dyDescent="0.25">
      <c r="B177" s="267">
        <v>6</v>
      </c>
      <c r="C177" s="640" t="s">
        <v>193</v>
      </c>
      <c r="D177" s="640"/>
      <c r="E177" s="640"/>
      <c r="F177" s="640"/>
      <c r="G177" s="264">
        <f>0.5*640</f>
        <v>320</v>
      </c>
      <c r="H177" s="265"/>
      <c r="I177" s="265"/>
    </row>
    <row r="178" spans="1:9" ht="18.75" customHeight="1" x14ac:dyDescent="0.25">
      <c r="B178" s="267">
        <v>7</v>
      </c>
      <c r="C178" s="640" t="s">
        <v>194</v>
      </c>
      <c r="D178" s="640"/>
      <c r="E178" s="640"/>
      <c r="F178" s="640"/>
      <c r="G178" s="265"/>
      <c r="H178" s="265"/>
      <c r="I178" s="264">
        <f>0.5*58.4</f>
        <v>29.2</v>
      </c>
    </row>
    <row r="179" spans="1:9" ht="18.75" customHeight="1" x14ac:dyDescent="0.25">
      <c r="B179" s="267">
        <v>8</v>
      </c>
      <c r="C179" s="640" t="s">
        <v>195</v>
      </c>
      <c r="D179" s="640"/>
      <c r="E179" s="640"/>
      <c r="F179" s="640"/>
      <c r="G179" s="265"/>
      <c r="H179" s="265"/>
      <c r="I179" s="264">
        <f>0.5*764.92</f>
        <v>382.46</v>
      </c>
    </row>
    <row r="181" spans="1:9" ht="18.75" customHeight="1" x14ac:dyDescent="0.25">
      <c r="A181" s="563" t="s">
        <v>920</v>
      </c>
      <c r="B181" s="565" t="s">
        <v>921</v>
      </c>
      <c r="C181" s="564"/>
      <c r="D181" s="564"/>
      <c r="E181" s="564"/>
      <c r="F181" s="564"/>
      <c r="G181" s="564"/>
      <c r="H181" s="564"/>
      <c r="I181" s="564"/>
    </row>
    <row r="182" spans="1:9" ht="18.75" customHeight="1" x14ac:dyDescent="0.25">
      <c r="A182" s="359" t="s">
        <v>922</v>
      </c>
      <c r="B182" s="360" t="s">
        <v>946</v>
      </c>
      <c r="C182" s="163"/>
      <c r="D182" s="163"/>
      <c r="E182" s="163"/>
      <c r="F182" s="163"/>
      <c r="G182" s="163"/>
      <c r="H182" s="163"/>
      <c r="I182" s="163"/>
    </row>
    <row r="183" spans="1:9" s="367" customFormat="1" ht="18.75" customHeight="1" x14ac:dyDescent="0.25">
      <c r="A183" s="375"/>
      <c r="B183" s="367" t="s">
        <v>948</v>
      </c>
      <c r="C183" s="376"/>
      <c r="D183" s="376"/>
      <c r="E183" s="376"/>
      <c r="F183" s="376"/>
      <c r="G183" s="376"/>
      <c r="H183" s="376"/>
      <c r="I183" s="376"/>
    </row>
    <row r="184" spans="1:9" s="367" customFormat="1" ht="18.75" customHeight="1" x14ac:dyDescent="0.25">
      <c r="A184" s="375"/>
      <c r="B184" s="367" t="s">
        <v>949</v>
      </c>
      <c r="C184" s="376"/>
      <c r="D184" s="376"/>
      <c r="E184" s="376"/>
      <c r="F184" s="376"/>
      <c r="G184" s="376"/>
      <c r="H184" s="376"/>
      <c r="I184" s="376"/>
    </row>
    <row r="199" spans="2:9" ht="18.75" customHeight="1" x14ac:dyDescent="0.25">
      <c r="B199" s="347" t="s">
        <v>39</v>
      </c>
      <c r="C199" s="37">
        <f>Output!C19</f>
        <v>0.9</v>
      </c>
      <c r="D199" s="348" t="s">
        <v>0</v>
      </c>
      <c r="E199" s="349" t="s">
        <v>873</v>
      </c>
      <c r="F199" s="37">
        <f>Output!F19</f>
        <v>0.35</v>
      </c>
      <c r="G199" s="8" t="s">
        <v>0</v>
      </c>
      <c r="H199" s="7"/>
    </row>
    <row r="200" spans="2:9" ht="18.75" customHeight="1" x14ac:dyDescent="0.25">
      <c r="B200" s="347" t="s">
        <v>15</v>
      </c>
      <c r="C200" s="37">
        <f>Output!C20</f>
        <v>2.63</v>
      </c>
      <c r="D200" s="348" t="s">
        <v>0</v>
      </c>
      <c r="E200" s="349" t="s">
        <v>874</v>
      </c>
      <c r="F200" s="37">
        <f>Output!F20</f>
        <v>0.55000000000000004</v>
      </c>
      <c r="G200" s="8" t="s">
        <v>0</v>
      </c>
      <c r="H200" s="7"/>
    </row>
    <row r="201" spans="2:9" ht="18.75" customHeight="1" x14ac:dyDescent="0.25">
      <c r="B201" s="347" t="s">
        <v>17</v>
      </c>
      <c r="C201" s="37">
        <f>Output!C21</f>
        <v>0.6</v>
      </c>
      <c r="D201" s="348" t="s">
        <v>0</v>
      </c>
      <c r="E201" s="349" t="s">
        <v>875</v>
      </c>
      <c r="F201" s="37">
        <f>Output!F21</f>
        <v>0.6</v>
      </c>
      <c r="G201" s="8" t="s">
        <v>0</v>
      </c>
      <c r="H201" s="7"/>
    </row>
    <row r="202" spans="2:9" ht="18.75" customHeight="1" x14ac:dyDescent="0.25">
      <c r="B202" s="347" t="s">
        <v>19</v>
      </c>
      <c r="C202" s="37">
        <f>Output!C22</f>
        <v>2.1</v>
      </c>
      <c r="D202" s="348" t="s">
        <v>0</v>
      </c>
      <c r="E202" s="343"/>
      <c r="F202" s="344"/>
      <c r="G202" s="8"/>
      <c r="H202" s="7"/>
    </row>
    <row r="203" spans="2:9" ht="18.75" customHeight="1" x14ac:dyDescent="0.25">
      <c r="B203" s="347" t="s">
        <v>20</v>
      </c>
      <c r="C203" s="37">
        <f>Output!C23</f>
        <v>0.5</v>
      </c>
      <c r="D203" s="348" t="s">
        <v>0</v>
      </c>
      <c r="E203" s="349" t="s">
        <v>876</v>
      </c>
      <c r="F203" s="37">
        <f>Output!F23</f>
        <v>1</v>
      </c>
      <c r="G203" s="8" t="s">
        <v>0</v>
      </c>
      <c r="H203" s="7"/>
    </row>
    <row r="204" spans="2:9" ht="18.75" customHeight="1" x14ac:dyDescent="0.25">
      <c r="B204" s="347" t="s">
        <v>22</v>
      </c>
      <c r="C204" s="37">
        <f>Output!C24</f>
        <v>0.75</v>
      </c>
      <c r="D204" s="348" t="s">
        <v>0</v>
      </c>
      <c r="E204" s="349" t="s">
        <v>877</v>
      </c>
      <c r="F204" s="37">
        <f>Output!F24</f>
        <v>3</v>
      </c>
      <c r="G204" s="8" t="s">
        <v>0</v>
      </c>
      <c r="H204" s="7"/>
      <c r="I204" s="339"/>
    </row>
    <row r="205" spans="2:9" ht="18.75" customHeight="1" x14ac:dyDescent="0.25">
      <c r="B205" s="7"/>
      <c r="C205" s="345"/>
      <c r="D205" s="348"/>
      <c r="E205" s="349" t="s">
        <v>878</v>
      </c>
      <c r="F205" s="37">
        <f>Output!F25</f>
        <v>3</v>
      </c>
      <c r="G205" s="8" t="s">
        <v>0</v>
      </c>
      <c r="H205" s="7"/>
      <c r="I205" s="339"/>
    </row>
    <row r="206" spans="2:9" ht="18.75" customHeight="1" x14ac:dyDescent="0.25">
      <c r="B206" s="347" t="s">
        <v>23</v>
      </c>
      <c r="C206" s="37">
        <f>Output!C26</f>
        <v>2.5</v>
      </c>
      <c r="D206" s="348" t="s">
        <v>0</v>
      </c>
      <c r="E206" s="349" t="s">
        <v>879</v>
      </c>
      <c r="F206" s="37">
        <f>Output!F26</f>
        <v>0.6</v>
      </c>
      <c r="G206" s="8" t="s">
        <v>0</v>
      </c>
      <c r="H206" s="7"/>
    </row>
    <row r="207" spans="2:9" ht="18.75" customHeight="1" x14ac:dyDescent="0.25">
      <c r="B207" s="347" t="s">
        <v>25</v>
      </c>
      <c r="C207" s="37">
        <f>Output!C27</f>
        <v>0.55000000000000004</v>
      </c>
      <c r="D207" s="348" t="s">
        <v>0</v>
      </c>
      <c r="E207" s="350"/>
      <c r="F207" s="346"/>
      <c r="G207" s="8"/>
      <c r="H207" s="7"/>
    </row>
    <row r="208" spans="2:9" ht="18.75" customHeight="1" x14ac:dyDescent="0.25">
      <c r="B208" s="347" t="s">
        <v>26</v>
      </c>
      <c r="C208" s="37">
        <f>Output!C28</f>
        <v>0.8</v>
      </c>
      <c r="D208" s="348" t="s">
        <v>0</v>
      </c>
      <c r="E208" s="349" t="s">
        <v>11</v>
      </c>
      <c r="F208" s="37">
        <f>Output!F28</f>
        <v>7.48</v>
      </c>
      <c r="G208" s="8" t="s">
        <v>0</v>
      </c>
      <c r="H208" s="21"/>
    </row>
    <row r="209" spans="1:9" ht="18.75" customHeight="1" x14ac:dyDescent="0.25">
      <c r="B209" s="347" t="s">
        <v>27</v>
      </c>
      <c r="C209" s="37">
        <f>Output!C29</f>
        <v>0.6</v>
      </c>
      <c r="D209" s="348" t="s">
        <v>0</v>
      </c>
      <c r="E209" s="349" t="s">
        <v>1</v>
      </c>
      <c r="F209" s="37">
        <f>Output!F29</f>
        <v>7</v>
      </c>
      <c r="G209" s="351" t="s">
        <v>0</v>
      </c>
      <c r="H209" s="340"/>
      <c r="I209" s="341"/>
    </row>
    <row r="210" spans="1:9" ht="18.75" customHeight="1" x14ac:dyDescent="0.25">
      <c r="B210" s="347" t="s">
        <v>654</v>
      </c>
      <c r="C210" s="37">
        <f>Output!C30</f>
        <v>1.7800000000000007</v>
      </c>
      <c r="D210" s="348" t="s">
        <v>0</v>
      </c>
      <c r="E210" s="349" t="s">
        <v>880</v>
      </c>
      <c r="F210" s="37">
        <f>Output!F30</f>
        <v>2</v>
      </c>
      <c r="G210" s="8" t="s">
        <v>0</v>
      </c>
      <c r="H210" s="7"/>
    </row>
    <row r="211" spans="1:9" ht="18.75" customHeight="1" x14ac:dyDescent="0.25">
      <c r="B211" s="7"/>
      <c r="C211" s="346"/>
      <c r="D211" s="346"/>
      <c r="E211" s="349" t="s">
        <v>881</v>
      </c>
      <c r="F211" s="37">
        <f>Output!F31</f>
        <v>2.9800000000000004</v>
      </c>
      <c r="G211" s="8" t="s">
        <v>0</v>
      </c>
      <c r="H211" s="7"/>
    </row>
    <row r="212" spans="1:9" ht="18.75" customHeight="1" x14ac:dyDescent="0.25">
      <c r="B212" s="347" t="s">
        <v>30</v>
      </c>
      <c r="C212" s="37">
        <f>Output!C34</f>
        <v>6</v>
      </c>
      <c r="D212" s="348" t="s">
        <v>0</v>
      </c>
      <c r="E212" s="350"/>
      <c r="F212" s="346"/>
      <c r="H212" s="7"/>
    </row>
    <row r="213" spans="1:9" ht="18.75" customHeight="1" x14ac:dyDescent="0.25">
      <c r="B213" s="347" t="s">
        <v>32</v>
      </c>
      <c r="C213" s="37">
        <f>Output!C35</f>
        <v>0.5</v>
      </c>
      <c r="D213" s="348" t="s">
        <v>0</v>
      </c>
      <c r="E213" s="349" t="s">
        <v>882</v>
      </c>
      <c r="F213" s="37">
        <f>Output!F34</f>
        <v>4</v>
      </c>
      <c r="G213" s="8" t="s">
        <v>0</v>
      </c>
      <c r="H213" s="7"/>
    </row>
    <row r="214" spans="1:9" ht="18.75" customHeight="1" x14ac:dyDescent="0.25">
      <c r="H214" s="7"/>
    </row>
    <row r="215" spans="1:9" ht="18.75" customHeight="1" x14ac:dyDescent="0.25">
      <c r="B215" s="8" t="s">
        <v>33</v>
      </c>
      <c r="G215" s="7" t="s">
        <v>34</v>
      </c>
      <c r="H215" s="4">
        <f>Output!H37</f>
        <v>17.863</v>
      </c>
      <c r="I215" s="1" t="s">
        <v>0</v>
      </c>
    </row>
    <row r="216" spans="1:9" ht="18.75" customHeight="1" x14ac:dyDescent="0.25">
      <c r="B216" s="8" t="s">
        <v>36</v>
      </c>
      <c r="G216" s="7" t="s">
        <v>2</v>
      </c>
      <c r="H216" s="4">
        <f>Output!H38</f>
        <v>17.3</v>
      </c>
      <c r="I216" s="1" t="s">
        <v>0</v>
      </c>
    </row>
    <row r="218" spans="1:9" ht="18.75" customHeight="1" x14ac:dyDescent="0.25">
      <c r="A218" s="359" t="s">
        <v>923</v>
      </c>
      <c r="B218" s="360" t="s">
        <v>947</v>
      </c>
      <c r="C218" s="163"/>
      <c r="D218" s="163"/>
      <c r="E218" s="163"/>
      <c r="F218" s="163"/>
      <c r="G218" s="163"/>
      <c r="H218" s="163"/>
      <c r="I218" s="163"/>
    </row>
    <row r="219" spans="1:9" s="367" customFormat="1" ht="18.75" customHeight="1" x14ac:dyDescent="0.25">
      <c r="A219" s="375"/>
      <c r="B219" s="367" t="s">
        <v>950</v>
      </c>
      <c r="C219" s="376"/>
      <c r="D219" s="376"/>
      <c r="E219" s="376"/>
      <c r="F219" s="376"/>
      <c r="G219" s="376"/>
      <c r="H219" s="376"/>
      <c r="I219" s="376"/>
    </row>
    <row r="220" spans="1:9" s="367" customFormat="1" ht="18.75" customHeight="1" x14ac:dyDescent="0.25">
      <c r="A220" s="375"/>
      <c r="B220" s="367" t="s">
        <v>951</v>
      </c>
      <c r="C220" s="376"/>
      <c r="D220" s="376"/>
      <c r="E220" s="376"/>
      <c r="F220" s="376"/>
      <c r="G220" s="376"/>
      <c r="H220" s="376"/>
      <c r="I220" s="376"/>
    </row>
    <row r="221" spans="1:9" ht="18.75" customHeight="1" x14ac:dyDescent="0.25">
      <c r="B221" s="589" t="s">
        <v>260</v>
      </c>
      <c r="C221" s="589"/>
      <c r="D221" s="589"/>
      <c r="E221" s="589"/>
      <c r="F221" s="589"/>
      <c r="G221" s="589"/>
      <c r="H221" s="589"/>
      <c r="I221" s="589"/>
    </row>
    <row r="222" spans="1:9" ht="18.75" customHeight="1" x14ac:dyDescent="0.25">
      <c r="B222" s="2" t="s">
        <v>334</v>
      </c>
      <c r="C222" s="2"/>
      <c r="D222" s="89" t="s">
        <v>335</v>
      </c>
      <c r="E222" s="89" t="s">
        <v>336</v>
      </c>
      <c r="F222" s="89" t="s">
        <v>337</v>
      </c>
      <c r="G222" s="2"/>
      <c r="H222" s="2"/>
    </row>
    <row r="223" spans="1:9" ht="18.75" customHeight="1" x14ac:dyDescent="0.25">
      <c r="B223" s="2"/>
      <c r="C223" s="2"/>
      <c r="D223" s="82">
        <f>Output!D43</f>
        <v>13513.702398978483</v>
      </c>
      <c r="E223" s="89" t="str">
        <f>IF(D223&lt;=F223,"&lt;","&gt;")</f>
        <v>&lt;</v>
      </c>
      <c r="F223" s="82">
        <f>Output!F43</f>
        <v>21480.01420933663</v>
      </c>
      <c r="G223" s="25" t="s">
        <v>338</v>
      </c>
      <c r="H223" s="25" t="str">
        <f>IF(D223&lt;F223,"[ OK ]","[ NOT OK ]")</f>
        <v>[ OK ]</v>
      </c>
    </row>
    <row r="224" spans="1:9" ht="18.75" customHeight="1" x14ac:dyDescent="0.25">
      <c r="B224" s="2"/>
      <c r="C224" s="2"/>
      <c r="D224" s="2"/>
      <c r="E224" s="2"/>
      <c r="F224" s="2"/>
      <c r="G224" s="2"/>
      <c r="H224" s="2"/>
    </row>
    <row r="225" spans="2:9" ht="18.75" customHeight="1" x14ac:dyDescent="0.25">
      <c r="B225" s="2"/>
      <c r="C225" s="2"/>
      <c r="D225" s="89" t="s">
        <v>339</v>
      </c>
      <c r="E225" s="89" t="s">
        <v>340</v>
      </c>
      <c r="F225" s="104" t="s">
        <v>341</v>
      </c>
      <c r="G225" s="2"/>
      <c r="H225" s="2"/>
    </row>
    <row r="226" spans="2:9" ht="18.75" customHeight="1" x14ac:dyDescent="0.25">
      <c r="B226" s="2"/>
      <c r="C226" s="2"/>
      <c r="D226" s="82">
        <f>Output!D46</f>
        <v>961.00472866139773</v>
      </c>
      <c r="E226" s="89" t="str">
        <f>IF(D226&lt;=F226,"&lt;","&gt;")</f>
        <v>&gt;</v>
      </c>
      <c r="F226" s="82">
        <f>Output!F46</f>
        <v>-371.21563244837341</v>
      </c>
      <c r="G226" s="25" t="s">
        <v>338</v>
      </c>
      <c r="H226" s="25" t="str">
        <f>IF(D226&gt;F226,"[ OK ]","[ SISA GAYA DILIMPAHKAN ]")</f>
        <v>[ OK ]</v>
      </c>
    </row>
    <row r="227" spans="2:9" ht="18.75" customHeight="1" x14ac:dyDescent="0.25">
      <c r="B227" s="2"/>
      <c r="C227" s="2"/>
      <c r="D227" s="2"/>
      <c r="E227" s="2"/>
      <c r="F227" s="2"/>
      <c r="G227" s="2"/>
      <c r="H227" s="2"/>
    </row>
    <row r="228" spans="2:9" ht="18.75" customHeight="1" x14ac:dyDescent="0.25">
      <c r="B228" s="2"/>
      <c r="C228" s="2"/>
      <c r="D228" s="89" t="s">
        <v>342</v>
      </c>
      <c r="E228" s="89" t="s">
        <v>336</v>
      </c>
      <c r="F228" s="89" t="s">
        <v>343</v>
      </c>
      <c r="G228" s="2"/>
      <c r="H228" s="2"/>
    </row>
    <row r="229" spans="2:9" ht="18.75" customHeight="1" x14ac:dyDescent="0.25">
      <c r="B229" s="2"/>
      <c r="C229" s="2"/>
      <c r="D229" s="82">
        <f>Output!D49</f>
        <v>1291.2790045016827</v>
      </c>
      <c r="E229" s="89" t="str">
        <f>IF(D229&lt;=F229,"&lt;","&gt;")</f>
        <v>&lt;</v>
      </c>
      <c r="F229" s="82">
        <f>Output!F49</f>
        <v>2343.6331640781891</v>
      </c>
      <c r="G229" s="25" t="s">
        <v>338</v>
      </c>
      <c r="H229" s="25" t="str">
        <f>IF(D229&lt;F229,"[ OK ]","[ NOT OK ]")</f>
        <v>[ OK ]</v>
      </c>
    </row>
    <row r="230" spans="2:9" ht="18.75" customHeight="1" x14ac:dyDescent="0.25">
      <c r="B230" s="2"/>
      <c r="C230" s="2"/>
      <c r="D230" s="68"/>
      <c r="E230" s="89"/>
      <c r="F230" s="68"/>
      <c r="G230" s="25"/>
      <c r="H230" s="61"/>
    </row>
    <row r="231" spans="2:9" ht="18.75" customHeight="1" x14ac:dyDescent="0.25">
      <c r="B231" s="590" t="s">
        <v>51</v>
      </c>
      <c r="C231" s="590"/>
      <c r="D231" s="590"/>
      <c r="E231" s="590"/>
      <c r="F231" s="590"/>
      <c r="G231" s="590"/>
      <c r="H231" s="590"/>
      <c r="I231" s="590"/>
    </row>
    <row r="232" spans="2:9" ht="18.75" customHeight="1" x14ac:dyDescent="0.25">
      <c r="B232" s="2" t="s">
        <v>334</v>
      </c>
      <c r="C232" s="2"/>
      <c r="D232" s="89" t="s">
        <v>335</v>
      </c>
      <c r="E232" s="89" t="s">
        <v>336</v>
      </c>
      <c r="F232" s="89" t="s">
        <v>337</v>
      </c>
      <c r="G232" s="2"/>
      <c r="H232" s="2"/>
    </row>
    <row r="233" spans="2:9" ht="18.75" customHeight="1" x14ac:dyDescent="0.25">
      <c r="B233" s="2"/>
      <c r="C233" s="2"/>
      <c r="D233" s="82">
        <f>Output!D53</f>
        <v>12215.622398978481</v>
      </c>
      <c r="E233" s="89" t="str">
        <f>IF(D233&lt;=F233,"&lt;","&gt;")</f>
        <v>&lt;</v>
      </c>
      <c r="F233" s="82">
        <f>Output!F53</f>
        <v>21480.01420933663</v>
      </c>
      <c r="G233" s="25" t="s">
        <v>338</v>
      </c>
      <c r="H233" s="25" t="str">
        <f>IF(D233&lt;F233,"[ OK ]","[ NOT OK ]")</f>
        <v>[ OK ]</v>
      </c>
    </row>
    <row r="234" spans="2:9" ht="18.75" customHeight="1" x14ac:dyDescent="0.25">
      <c r="B234" s="2"/>
      <c r="C234" s="2"/>
      <c r="D234" s="2"/>
      <c r="E234" s="2"/>
      <c r="F234" s="2"/>
      <c r="G234" s="2"/>
      <c r="H234" s="2"/>
    </row>
    <row r="235" spans="2:9" ht="18.75" customHeight="1" x14ac:dyDescent="0.25">
      <c r="B235" s="2"/>
      <c r="C235" s="2"/>
      <c r="D235" s="89" t="s">
        <v>339</v>
      </c>
      <c r="E235" s="89" t="s">
        <v>340</v>
      </c>
      <c r="F235" s="104" t="s">
        <v>341</v>
      </c>
      <c r="G235" s="2"/>
      <c r="H235" s="2"/>
    </row>
    <row r="236" spans="2:9" ht="18.75" customHeight="1" x14ac:dyDescent="0.25">
      <c r="B236" s="2"/>
      <c r="C236" s="2"/>
      <c r="D236" s="82">
        <f>Output!D56</f>
        <v>85.897896920607991</v>
      </c>
      <c r="E236" s="89" t="str">
        <f>IF(D236&lt;=F236,"&lt;","&gt;")</f>
        <v>&gt;</v>
      </c>
      <c r="F236" s="82">
        <f>Output!F56</f>
        <v>-371.21563244837341</v>
      </c>
      <c r="G236" s="25" t="s">
        <v>338</v>
      </c>
      <c r="H236" s="25" t="str">
        <f>IF(D236&gt;F236,"[ OK ]","[ SISA GAYA DILIMPAHKAN ]")</f>
        <v>[ OK ]</v>
      </c>
    </row>
    <row r="237" spans="2:9" ht="18.75" customHeight="1" x14ac:dyDescent="0.25">
      <c r="B237" s="2"/>
      <c r="C237" s="2"/>
      <c r="D237" s="2"/>
      <c r="E237" s="2"/>
      <c r="F237" s="2"/>
      <c r="G237" s="2"/>
      <c r="H237" s="2"/>
    </row>
    <row r="238" spans="2:9" ht="18.75" customHeight="1" x14ac:dyDescent="0.25">
      <c r="B238" s="2"/>
      <c r="C238" s="2"/>
      <c r="D238" s="89" t="s">
        <v>342</v>
      </c>
      <c r="E238" s="89" t="s">
        <v>336</v>
      </c>
      <c r="F238" s="89" t="s">
        <v>343</v>
      </c>
      <c r="G238" s="2"/>
      <c r="H238" s="61"/>
    </row>
    <row r="239" spans="2:9" ht="18.75" customHeight="1" x14ac:dyDescent="0.25">
      <c r="B239" s="2"/>
      <c r="C239" s="2"/>
      <c r="D239" s="82">
        <f>Output!D59</f>
        <v>1950.0391695758058</v>
      </c>
      <c r="E239" s="89" t="str">
        <f>IF(D239&lt;=F239,"&lt;","&gt;")</f>
        <v>&lt;</v>
      </c>
      <c r="F239" s="82">
        <f>Output!F59</f>
        <v>2343.6331640781891</v>
      </c>
      <c r="G239" s="25" t="s">
        <v>338</v>
      </c>
      <c r="H239" s="25" t="str">
        <f>IF(D239&lt;F239,"[ OK ]","[ NOT OK ]")</f>
        <v>[ OK ]</v>
      </c>
    </row>
    <row r="240" spans="2:9" ht="18.75" customHeight="1" x14ac:dyDescent="0.25">
      <c r="B240" s="2"/>
      <c r="C240" s="2"/>
      <c r="D240" s="2"/>
      <c r="E240" s="2"/>
      <c r="F240" s="2"/>
      <c r="G240" s="2"/>
      <c r="H240" s="2"/>
    </row>
    <row r="241" spans="1:9" ht="18.75" customHeight="1" x14ac:dyDescent="0.25">
      <c r="B241" s="591" t="s">
        <v>52</v>
      </c>
      <c r="C241" s="591"/>
      <c r="D241" s="591"/>
      <c r="E241" s="591"/>
      <c r="F241" s="591"/>
      <c r="G241" s="591"/>
      <c r="H241" s="591"/>
      <c r="I241" s="591"/>
    </row>
    <row r="242" spans="1:9" ht="18.75" customHeight="1" x14ac:dyDescent="0.25">
      <c r="B242" s="2" t="s">
        <v>334</v>
      </c>
      <c r="C242" s="2"/>
      <c r="D242" s="89" t="s">
        <v>335</v>
      </c>
      <c r="E242" s="89" t="s">
        <v>336</v>
      </c>
      <c r="F242" s="89" t="s">
        <v>337</v>
      </c>
      <c r="G242" s="2"/>
      <c r="H242" s="2"/>
    </row>
    <row r="243" spans="1:9" ht="18.75" customHeight="1" x14ac:dyDescent="0.25">
      <c r="B243" s="2"/>
      <c r="C243" s="2"/>
      <c r="D243" s="82">
        <f>Output!D63</f>
        <v>12215.622398978481</v>
      </c>
      <c r="E243" s="89" t="str">
        <f>IF(D243&lt;=F243,"&lt;","&gt;")</f>
        <v>&lt;</v>
      </c>
      <c r="F243" s="82">
        <f>Output!F63</f>
        <v>21480.01420933663</v>
      </c>
      <c r="G243" s="25" t="s">
        <v>338</v>
      </c>
      <c r="H243" s="25" t="str">
        <f>IF(D243&lt;F243,"[ OK ]","[ NOT OK ]")</f>
        <v>[ OK ]</v>
      </c>
    </row>
    <row r="244" spans="1:9" ht="18.75" customHeight="1" x14ac:dyDescent="0.25">
      <c r="B244" s="2"/>
      <c r="C244" s="2"/>
      <c r="D244" s="2"/>
      <c r="E244" s="2"/>
      <c r="F244" s="2"/>
      <c r="G244" s="2"/>
      <c r="H244" s="2"/>
    </row>
    <row r="245" spans="1:9" ht="18.75" customHeight="1" x14ac:dyDescent="0.25">
      <c r="B245" s="2"/>
      <c r="C245" s="2"/>
      <c r="D245" s="89" t="s">
        <v>339</v>
      </c>
      <c r="E245" s="89" t="s">
        <v>340</v>
      </c>
      <c r="F245" s="104" t="s">
        <v>341</v>
      </c>
      <c r="G245" s="2"/>
      <c r="H245" s="2"/>
    </row>
    <row r="246" spans="1:9" ht="18.75" customHeight="1" x14ac:dyDescent="0.25">
      <c r="B246" s="2"/>
      <c r="C246" s="2"/>
      <c r="D246" s="82">
        <f>Output!D66</f>
        <v>564.06381833634225</v>
      </c>
      <c r="E246" s="89" t="str">
        <f>IF(D246&lt;=F246,"&lt;","&gt;")</f>
        <v>&gt;</v>
      </c>
      <c r="F246" s="82">
        <f>Output!F66</f>
        <v>-371.21563244837341</v>
      </c>
      <c r="G246" s="25" t="s">
        <v>338</v>
      </c>
      <c r="H246" s="25" t="str">
        <f>IF(D246&gt;F246,"[ OK ]","[ SISA GAYA DILIMPAHKAN ]")</f>
        <v>[ OK ]</v>
      </c>
    </row>
    <row r="247" spans="1:9" ht="18.75" customHeight="1" x14ac:dyDescent="0.25">
      <c r="B247" s="2"/>
      <c r="C247" s="2"/>
      <c r="D247" s="2"/>
      <c r="E247" s="2"/>
      <c r="F247" s="2"/>
      <c r="G247" s="2"/>
      <c r="H247" s="2"/>
    </row>
    <row r="248" spans="1:9" ht="18.75" customHeight="1" x14ac:dyDescent="0.25">
      <c r="B248" s="2"/>
      <c r="C248" s="2"/>
      <c r="D248" s="89" t="s">
        <v>342</v>
      </c>
      <c r="E248" s="89" t="s">
        <v>336</v>
      </c>
      <c r="F248" s="89" t="s">
        <v>343</v>
      </c>
      <c r="G248" s="2"/>
      <c r="H248" s="61"/>
    </row>
    <row r="249" spans="1:9" ht="18.75" customHeight="1" x14ac:dyDescent="0.25">
      <c r="B249" s="2"/>
      <c r="C249" s="2"/>
      <c r="D249" s="82">
        <f>Output!D69</f>
        <v>1950.0391695758058</v>
      </c>
      <c r="E249" s="89" t="str">
        <f>IF(D249&lt;=F249,"&lt;","&gt;")</f>
        <v>&lt;</v>
      </c>
      <c r="F249" s="82">
        <f>Output!F69</f>
        <v>2343.6331640781891</v>
      </c>
      <c r="G249" s="25" t="s">
        <v>338</v>
      </c>
      <c r="H249" s="25" t="str">
        <f>IF(D249&lt;F249,"[ OK ]","[ NOT OK ]")</f>
        <v>[ OK ]</v>
      </c>
    </row>
    <row r="255" spans="1:9" ht="18.75" customHeight="1" x14ac:dyDescent="0.25">
      <c r="A255" s="359" t="s">
        <v>924</v>
      </c>
      <c r="B255" s="360" t="s">
        <v>952</v>
      </c>
      <c r="C255" s="163"/>
      <c r="D255" s="163"/>
      <c r="E255" s="163"/>
      <c r="F255" s="163"/>
      <c r="G255" s="163"/>
      <c r="H255" s="163"/>
      <c r="I255" s="163"/>
    </row>
    <row r="256" spans="1:9" ht="18.75" customHeight="1" x14ac:dyDescent="0.25">
      <c r="B256" s="5" t="s">
        <v>894</v>
      </c>
      <c r="G256" s="377">
        <f>Output!G73</f>
        <v>19</v>
      </c>
      <c r="H256" s="378">
        <f>Output!H73</f>
        <v>50</v>
      </c>
    </row>
    <row r="257" spans="1:9" ht="18.75" customHeight="1" x14ac:dyDescent="0.25">
      <c r="B257" s="5" t="s">
        <v>893</v>
      </c>
      <c r="G257" s="377">
        <f>Output!G74</f>
        <v>16</v>
      </c>
      <c r="H257" s="378">
        <f>Output!H74</f>
        <v>225</v>
      </c>
    </row>
    <row r="258" spans="1:9" ht="18.75" customHeight="1" x14ac:dyDescent="0.25">
      <c r="B258" s="5" t="s">
        <v>892</v>
      </c>
      <c r="G258" s="377">
        <f>Output!G75</f>
        <v>13</v>
      </c>
      <c r="H258" s="378">
        <f>Output!H75</f>
        <v>275</v>
      </c>
    </row>
    <row r="259" spans="1:9" ht="18.75" customHeight="1" x14ac:dyDescent="0.25">
      <c r="B259" s="5" t="s">
        <v>891</v>
      </c>
      <c r="G259" s="377">
        <f>Output!G76</f>
        <v>13</v>
      </c>
      <c r="H259" s="378">
        <f>Output!H76</f>
        <v>50</v>
      </c>
    </row>
    <row r="260" spans="1:9" ht="18.75" customHeight="1" x14ac:dyDescent="0.25">
      <c r="B260" s="5" t="s">
        <v>890</v>
      </c>
      <c r="G260" s="377">
        <f>Output!G77</f>
        <v>13</v>
      </c>
      <c r="H260" s="378">
        <f>Output!H77</f>
        <v>75</v>
      </c>
    </row>
    <row r="261" spans="1:9" ht="18.75" customHeight="1" x14ac:dyDescent="0.25">
      <c r="B261" s="5" t="s">
        <v>888</v>
      </c>
      <c r="E261" s="1" t="s">
        <v>886</v>
      </c>
      <c r="F261" s="1" t="s">
        <v>889</v>
      </c>
      <c r="G261" s="377">
        <f>Output!G78</f>
        <v>22</v>
      </c>
      <c r="H261" s="378">
        <f>Output!H78</f>
        <v>75</v>
      </c>
    </row>
    <row r="262" spans="1:9" ht="18.75" customHeight="1" x14ac:dyDescent="0.25">
      <c r="E262" s="1" t="s">
        <v>887</v>
      </c>
      <c r="F262" s="1" t="s">
        <v>889</v>
      </c>
      <c r="G262" s="377">
        <f>Output!G79</f>
        <v>19</v>
      </c>
      <c r="H262" s="378">
        <f>Output!H79</f>
        <v>75</v>
      </c>
    </row>
    <row r="263" spans="1:9" ht="18.75" customHeight="1" x14ac:dyDescent="0.25">
      <c r="B263" s="5" t="s">
        <v>896</v>
      </c>
      <c r="G263" s="377">
        <f>Output!G80</f>
        <v>19</v>
      </c>
      <c r="H263" s="378">
        <f>Output!H80</f>
        <v>100</v>
      </c>
    </row>
    <row r="265" spans="1:9" ht="18.75" customHeight="1" x14ac:dyDescent="0.25">
      <c r="A265" s="359" t="s">
        <v>953</v>
      </c>
      <c r="B265" s="360" t="s">
        <v>954</v>
      </c>
      <c r="C265" s="163"/>
      <c r="D265" s="163"/>
      <c r="E265" s="163"/>
      <c r="F265" s="163"/>
      <c r="G265" s="163"/>
      <c r="H265" s="163"/>
      <c r="I265" s="163"/>
    </row>
    <row r="266" spans="1:9" ht="18.75" customHeight="1" x14ac:dyDescent="0.25">
      <c r="B266" s="1" t="s">
        <v>897</v>
      </c>
    </row>
    <row r="267" spans="1:9" ht="18.75" customHeight="1" x14ac:dyDescent="0.25">
      <c r="B267" s="2"/>
      <c r="C267" s="2" t="s">
        <v>523</v>
      </c>
      <c r="D267" s="212" t="s">
        <v>524</v>
      </c>
      <c r="E267" s="89" t="s">
        <v>449</v>
      </c>
      <c r="F267" s="212" t="s">
        <v>907</v>
      </c>
      <c r="G267" s="2"/>
    </row>
    <row r="268" spans="1:9" ht="18.75" customHeight="1" x14ac:dyDescent="0.25">
      <c r="B268" s="2"/>
      <c r="C268" s="2"/>
      <c r="D268" s="170">
        <f>Output!D85</f>
        <v>11555.473958985709</v>
      </c>
      <c r="E268" s="213" t="str">
        <f>IF(D268&lt;=F268,"&lt;","&gt;")</f>
        <v>&gt;</v>
      </c>
      <c r="F268" s="170">
        <f>Output!F85</f>
        <v>7178.5394379740947</v>
      </c>
      <c r="G268" s="214" t="s">
        <v>338</v>
      </c>
      <c r="H268" s="25" t="str">
        <f>IF(D268&gt;F268,"[ OK ]","[ NOT OK ]")</f>
        <v>[ OK ]</v>
      </c>
    </row>
    <row r="269" spans="1:9" ht="18.75" customHeight="1" x14ac:dyDescent="0.25">
      <c r="B269" s="1" t="s">
        <v>898</v>
      </c>
    </row>
    <row r="270" spans="1:9" ht="18.75" customHeight="1" x14ac:dyDescent="0.25">
      <c r="B270" s="2"/>
      <c r="C270" s="2" t="s">
        <v>523</v>
      </c>
      <c r="D270" s="212" t="s">
        <v>524</v>
      </c>
      <c r="E270" s="89" t="s">
        <v>449</v>
      </c>
      <c r="F270" s="212" t="s">
        <v>907</v>
      </c>
      <c r="G270" s="2"/>
    </row>
    <row r="271" spans="1:9" ht="18.75" customHeight="1" x14ac:dyDescent="0.25">
      <c r="B271" s="2"/>
      <c r="C271" s="2"/>
      <c r="D271" s="170">
        <f>Output!D88</f>
        <v>5404.378474903473</v>
      </c>
      <c r="E271" s="213" t="str">
        <f>IF(D271&lt;=F271,"&lt;","&gt;")</f>
        <v>&gt;</v>
      </c>
      <c r="F271" s="170">
        <f>Output!F88</f>
        <v>1186.3415677816974</v>
      </c>
      <c r="G271" s="214" t="s">
        <v>338</v>
      </c>
      <c r="H271" s="25" t="str">
        <f>IF(D271&gt;F271,"[ OK ]","[ NOT OK ]")</f>
        <v>[ OK ]</v>
      </c>
    </row>
    <row r="272" spans="1:9" ht="18.75" customHeight="1" x14ac:dyDescent="0.25">
      <c r="B272" s="1" t="s">
        <v>899</v>
      </c>
    </row>
    <row r="273" spans="2:8" ht="18.75" customHeight="1" x14ac:dyDescent="0.25">
      <c r="B273" s="2"/>
      <c r="C273" s="2" t="s">
        <v>523</v>
      </c>
      <c r="D273" s="212" t="s">
        <v>524</v>
      </c>
      <c r="E273" s="89" t="s">
        <v>449</v>
      </c>
      <c r="F273" s="212" t="s">
        <v>907</v>
      </c>
      <c r="G273" s="2"/>
    </row>
    <row r="274" spans="2:8" ht="18.75" customHeight="1" x14ac:dyDescent="0.25">
      <c r="B274" s="2"/>
      <c r="C274" s="2"/>
      <c r="D274" s="170">
        <f>Output!D91</f>
        <v>2877.5973864927664</v>
      </c>
      <c r="E274" s="213" t="str">
        <f>IF(D274&lt;=F274,"&lt;","&gt;")</f>
        <v>&gt;</v>
      </c>
      <c r="F274" s="170">
        <f>Output!F91</f>
        <v>369.51287863194693</v>
      </c>
      <c r="G274" s="214" t="s">
        <v>338</v>
      </c>
      <c r="H274" s="25" t="str">
        <f>IF(D274&gt;F274,"[ OK ]","[ NOT OK ]")</f>
        <v>[ OK ]</v>
      </c>
    </row>
    <row r="275" spans="2:8" ht="18.75" customHeight="1" x14ac:dyDescent="0.25">
      <c r="B275" s="1" t="s">
        <v>900</v>
      </c>
    </row>
    <row r="276" spans="2:8" ht="18.75" customHeight="1" x14ac:dyDescent="0.25">
      <c r="B276" s="2"/>
      <c r="C276" s="2" t="s">
        <v>523</v>
      </c>
      <c r="D276" s="212" t="s">
        <v>524</v>
      </c>
      <c r="E276" s="89" t="s">
        <v>449</v>
      </c>
      <c r="F276" s="212" t="s">
        <v>907</v>
      </c>
      <c r="G276" s="2"/>
    </row>
    <row r="277" spans="2:8" ht="18.75" customHeight="1" x14ac:dyDescent="0.25">
      <c r="B277" s="2"/>
      <c r="C277" s="2"/>
      <c r="D277" s="170">
        <f>Output!D94</f>
        <v>1042.0421656535784</v>
      </c>
      <c r="E277" s="213" t="str">
        <f>IF(D277&lt;=F277,"&lt;","&gt;")</f>
        <v>&gt;</v>
      </c>
      <c r="F277" s="170">
        <f>Output!F94</f>
        <v>259.19080322874999</v>
      </c>
      <c r="G277" s="214" t="s">
        <v>338</v>
      </c>
      <c r="H277" s="25" t="str">
        <f>IF(D277&gt;F277,"[ OK ]","[ NOT OK ]")</f>
        <v>[ OK ]</v>
      </c>
    </row>
    <row r="278" spans="2:8" ht="18.75" customHeight="1" x14ac:dyDescent="0.25">
      <c r="B278" s="2"/>
      <c r="C278" s="2"/>
      <c r="D278" s="403"/>
      <c r="E278" s="213"/>
      <c r="F278" s="403"/>
      <c r="G278" s="214"/>
      <c r="H278" s="215"/>
    </row>
    <row r="279" spans="2:8" ht="18.75" customHeight="1" x14ac:dyDescent="0.25">
      <c r="B279" s="1" t="s">
        <v>901</v>
      </c>
    </row>
    <row r="280" spans="2:8" ht="18.75" customHeight="1" x14ac:dyDescent="0.25">
      <c r="B280" s="2"/>
      <c r="C280" s="2" t="s">
        <v>523</v>
      </c>
      <c r="D280" s="212" t="s">
        <v>524</v>
      </c>
      <c r="E280" s="89" t="s">
        <v>449</v>
      </c>
      <c r="F280" s="212" t="s">
        <v>907</v>
      </c>
      <c r="G280" s="2"/>
    </row>
    <row r="281" spans="2:8" ht="18.75" customHeight="1" x14ac:dyDescent="0.25">
      <c r="B281" s="2"/>
      <c r="C281" s="2"/>
      <c r="D281" s="170">
        <f>Output!D97</f>
        <v>2013.7464851255404</v>
      </c>
      <c r="E281" s="213" t="str">
        <f>IF(D281&lt;=F281,"&lt;","&gt;")</f>
        <v>&gt;</v>
      </c>
      <c r="F281" s="170">
        <f>Output!F97</f>
        <v>581.45136857649595</v>
      </c>
      <c r="G281" s="214" t="s">
        <v>338</v>
      </c>
      <c r="H281" s="25" t="str">
        <f>IF(D281&gt;F281,"[ OK ]","[ NOT OK ]")</f>
        <v>[ OK ]</v>
      </c>
    </row>
    <row r="282" spans="2:8" ht="18.75" customHeight="1" x14ac:dyDescent="0.25">
      <c r="B282" s="1" t="s">
        <v>902</v>
      </c>
    </row>
    <row r="283" spans="2:8" ht="18.75" customHeight="1" x14ac:dyDescent="0.25">
      <c r="B283" s="2"/>
      <c r="C283" s="2" t="s">
        <v>523</v>
      </c>
      <c r="D283" s="212" t="s">
        <v>904</v>
      </c>
      <c r="E283" s="89" t="s">
        <v>449</v>
      </c>
      <c r="F283" s="35" t="s">
        <v>903</v>
      </c>
      <c r="G283" s="2"/>
    </row>
    <row r="284" spans="2:8" ht="18.75" customHeight="1" x14ac:dyDescent="0.25">
      <c r="B284" s="2"/>
      <c r="C284" s="2"/>
      <c r="D284" s="170">
        <f>Output!D100</f>
        <v>9865.9336743598142</v>
      </c>
      <c r="E284" s="213" t="str">
        <f>IF(D284&lt;=F284,"&lt;","&gt;")</f>
        <v>&gt;</v>
      </c>
      <c r="F284" s="170">
        <f>Output!F100</f>
        <v>536.90514065510592</v>
      </c>
      <c r="G284" s="214" t="s">
        <v>338</v>
      </c>
      <c r="H284" s="25" t="str">
        <f>IF(D284&gt;F284,"[ OK ]","[ NOT OK ]")</f>
        <v>[ OK ]</v>
      </c>
    </row>
    <row r="285" spans="2:8" ht="18.75" customHeight="1" x14ac:dyDescent="0.25">
      <c r="B285" s="1" t="s">
        <v>905</v>
      </c>
    </row>
    <row r="286" spans="2:8" ht="18.75" customHeight="1" x14ac:dyDescent="0.25">
      <c r="B286" s="2"/>
      <c r="C286" s="2" t="s">
        <v>523</v>
      </c>
      <c r="D286" s="212" t="s">
        <v>524</v>
      </c>
      <c r="E286" s="89" t="s">
        <v>449</v>
      </c>
      <c r="F286" s="212" t="s">
        <v>525</v>
      </c>
      <c r="G286" s="2"/>
    </row>
    <row r="287" spans="2:8" ht="18.75" customHeight="1" x14ac:dyDescent="0.25">
      <c r="B287" s="2"/>
      <c r="C287" s="2"/>
      <c r="D287" s="170">
        <f>Output!D103</f>
        <v>20601.925021854819</v>
      </c>
      <c r="E287" s="213" t="str">
        <f>IF(D287&lt;=F287,"&lt;","&gt;")</f>
        <v>&gt;</v>
      </c>
      <c r="F287" s="170">
        <f>Output!F103</f>
        <v>9865.9336743598142</v>
      </c>
      <c r="G287" s="214" t="s">
        <v>338</v>
      </c>
      <c r="H287" s="25" t="str">
        <f>IF(D287&gt;F287,"[ OK ]","[ NOT OK ]")</f>
        <v>[ OK ]</v>
      </c>
    </row>
    <row r="288" spans="2:8" ht="18.75" customHeight="1" x14ac:dyDescent="0.25">
      <c r="B288" s="1" t="s">
        <v>906</v>
      </c>
    </row>
    <row r="289" spans="1:9" ht="18.75" customHeight="1" x14ac:dyDescent="0.25">
      <c r="B289" s="2"/>
      <c r="C289" s="2" t="s">
        <v>523</v>
      </c>
      <c r="D289" s="218" t="s">
        <v>473</v>
      </c>
      <c r="E289" s="89" t="s">
        <v>449</v>
      </c>
      <c r="F289" s="218" t="s">
        <v>472</v>
      </c>
      <c r="G289" s="2"/>
    </row>
    <row r="290" spans="1:9" ht="18.75" customHeight="1" x14ac:dyDescent="0.25">
      <c r="B290" s="2"/>
      <c r="C290" s="2"/>
      <c r="D290" s="170">
        <f>Output!D106</f>
        <v>6140.617330337278</v>
      </c>
      <c r="E290" s="213" t="str">
        <f>IF(D290&lt;=F290,"&lt;","&gt;")</f>
        <v>&gt;</v>
      </c>
      <c r="F290" s="170">
        <f>Output!F106</f>
        <v>1950.0391695758058</v>
      </c>
      <c r="G290" s="214" t="s">
        <v>338</v>
      </c>
      <c r="H290" s="25" t="str">
        <f>IF(D290&gt;F290,"[ OK ]","[ NOT OK ]")</f>
        <v>[ OK ]</v>
      </c>
    </row>
    <row r="292" spans="1:9" ht="18.75" customHeight="1" x14ac:dyDescent="0.25">
      <c r="A292" s="359" t="s">
        <v>955</v>
      </c>
      <c r="B292" s="360" t="s">
        <v>956</v>
      </c>
      <c r="C292" s="163"/>
      <c r="D292" s="163"/>
      <c r="E292" s="163"/>
      <c r="F292" s="163"/>
      <c r="G292" s="163"/>
      <c r="H292" s="163"/>
      <c r="I292" s="163"/>
    </row>
    <row r="293" spans="1:9" ht="18.75" customHeight="1" x14ac:dyDescent="0.25">
      <c r="B293" s="1" t="s">
        <v>373</v>
      </c>
      <c r="G293" s="7"/>
      <c r="H293" s="35"/>
    </row>
    <row r="294" spans="1:9" ht="18.75" customHeight="1" x14ac:dyDescent="0.25">
      <c r="B294" s="1" t="s">
        <v>334</v>
      </c>
      <c r="D294" s="35" t="s">
        <v>374</v>
      </c>
      <c r="E294" s="35" t="s">
        <v>340</v>
      </c>
      <c r="F294" s="35">
        <v>2</v>
      </c>
      <c r="G294" s="7"/>
      <c r="H294" s="35"/>
    </row>
    <row r="295" spans="1:9" ht="18.75" customHeight="1" x14ac:dyDescent="0.25">
      <c r="D295" s="35" t="s">
        <v>375</v>
      </c>
      <c r="E295" s="35" t="s">
        <v>340</v>
      </c>
      <c r="F295" s="35">
        <v>2</v>
      </c>
      <c r="G295" s="35"/>
      <c r="H295" s="35"/>
    </row>
    <row r="296" spans="1:9" ht="18.75" customHeight="1" x14ac:dyDescent="0.25">
      <c r="G296" s="7"/>
      <c r="H296" s="35"/>
    </row>
    <row r="297" spans="1:9" ht="18.75" customHeight="1" x14ac:dyDescent="0.25">
      <c r="B297" s="5" t="s">
        <v>376</v>
      </c>
      <c r="D297" s="4">
        <f>Output!D114</f>
        <v>60.093446456001459</v>
      </c>
      <c r="E297" s="35" t="str">
        <f>IF(D297&gt;F297,"&gt;","&lt;")</f>
        <v>&gt;</v>
      </c>
      <c r="F297" s="52">
        <v>2</v>
      </c>
      <c r="G297" s="137" t="s">
        <v>338</v>
      </c>
      <c r="H297" s="138" t="str">
        <f>IF(D297&gt;F297,"[ OK ]","[ NOT OK ]")</f>
        <v>[ OK ]</v>
      </c>
    </row>
    <row r="298" spans="1:9" ht="18.75" customHeight="1" x14ac:dyDescent="0.25">
      <c r="B298" s="5" t="s">
        <v>377</v>
      </c>
      <c r="D298" s="4">
        <f>Output!D115</f>
        <v>9.9089004145907129</v>
      </c>
      <c r="E298" s="35" t="str">
        <f>IF(D298&gt;F298,"&gt;","&lt;")</f>
        <v>&gt;</v>
      </c>
      <c r="F298" s="52">
        <v>2</v>
      </c>
      <c r="G298" s="137" t="s">
        <v>338</v>
      </c>
      <c r="H298" s="138" t="str">
        <f>IF(D298&gt;F298,"[ OK ]","[ NOT OK ]")</f>
        <v>[ OK ]</v>
      </c>
    </row>
    <row r="299" spans="1:9" ht="18.75" customHeight="1" x14ac:dyDescent="0.25">
      <c r="B299" s="5" t="s">
        <v>378</v>
      </c>
      <c r="D299" s="4">
        <f>Output!D116</f>
        <v>4.7637089670966564</v>
      </c>
      <c r="E299" s="35" t="str">
        <f>IF(D299&gt;F299,"&gt;","&lt;")</f>
        <v>&gt;</v>
      </c>
      <c r="F299" s="52">
        <v>2</v>
      </c>
      <c r="G299" s="137" t="s">
        <v>338</v>
      </c>
      <c r="H299" s="138" t="str">
        <f>IF(D299&gt;F299,"[ OK ]","[ NOT OK ]")</f>
        <v>[ OK ]</v>
      </c>
    </row>
    <row r="301" spans="1:9" ht="18.75" customHeight="1" x14ac:dyDescent="0.25">
      <c r="B301" s="1" t="s">
        <v>386</v>
      </c>
      <c r="G301" s="7"/>
      <c r="H301" s="35"/>
    </row>
    <row r="302" spans="1:9" ht="18.75" customHeight="1" x14ac:dyDescent="0.25">
      <c r="B302" s="1" t="s">
        <v>334</v>
      </c>
      <c r="D302" s="35" t="s">
        <v>387</v>
      </c>
      <c r="E302" s="35" t="s">
        <v>340</v>
      </c>
      <c r="F302" s="35">
        <v>1.5</v>
      </c>
      <c r="G302" s="8" t="s">
        <v>671</v>
      </c>
      <c r="H302" s="35"/>
    </row>
    <row r="303" spans="1:9" ht="18.75" customHeight="1" x14ac:dyDescent="0.25">
      <c r="D303" s="35" t="s">
        <v>387</v>
      </c>
      <c r="E303" s="35" t="s">
        <v>340</v>
      </c>
      <c r="F303" s="35">
        <v>1.1000000000000001</v>
      </c>
      <c r="G303" s="8" t="s">
        <v>672</v>
      </c>
      <c r="H303" s="35"/>
    </row>
    <row r="304" spans="1:9" ht="18.75" customHeight="1" x14ac:dyDescent="0.25">
      <c r="D304" s="35" t="s">
        <v>388</v>
      </c>
      <c r="E304" s="35" t="s">
        <v>11</v>
      </c>
      <c r="F304" s="8" t="s">
        <v>389</v>
      </c>
      <c r="G304" s="35"/>
      <c r="H304" s="35"/>
    </row>
    <row r="305" spans="2:8" ht="18.75" customHeight="1" x14ac:dyDescent="0.25">
      <c r="G305" s="7"/>
      <c r="H305" s="35"/>
    </row>
    <row r="306" spans="2:8" ht="18.75" customHeight="1" x14ac:dyDescent="0.25">
      <c r="B306" s="5" t="s">
        <v>376</v>
      </c>
      <c r="D306" s="4">
        <f>Output!D123</f>
        <v>2.5921171568352603</v>
      </c>
      <c r="E306" s="35" t="str">
        <f>IF(D306&gt;F306,"&gt;","&lt;")</f>
        <v>&gt;</v>
      </c>
      <c r="F306" s="52">
        <v>1.5</v>
      </c>
      <c r="G306" s="137" t="s">
        <v>338</v>
      </c>
      <c r="H306" s="138" t="str">
        <f>IF(D306&gt;F306,"[ OK ]","[ NOT OK ]")</f>
        <v>[ OK ]</v>
      </c>
    </row>
    <row r="307" spans="2:8" ht="18.75" customHeight="1" x14ac:dyDescent="0.25">
      <c r="B307" s="5" t="s">
        <v>377</v>
      </c>
      <c r="D307" s="4">
        <f>Output!D124</f>
        <v>1.158211749823344</v>
      </c>
      <c r="E307" s="35" t="str">
        <f>IF(D307&gt;F307,"&gt;","&lt;")</f>
        <v>&gt;</v>
      </c>
      <c r="F307" s="52">
        <v>1.1000000000000001</v>
      </c>
      <c r="G307" s="137" t="s">
        <v>338</v>
      </c>
      <c r="H307" s="138" t="str">
        <f>IF(D307&gt;F307,"[ OK ]","[ NOT OK ]")</f>
        <v>[ OK ]</v>
      </c>
    </row>
    <row r="308" spans="2:8" ht="18.75" customHeight="1" x14ac:dyDescent="0.25">
      <c r="B308" s="5" t="s">
        <v>378</v>
      </c>
      <c r="D308" s="4">
        <f>Output!D125</f>
        <v>1.6571599969574866</v>
      </c>
      <c r="E308" s="35" t="str">
        <f>IF(D308&gt;F308,"&gt;","&lt;")</f>
        <v>&gt;</v>
      </c>
      <c r="F308" s="52">
        <v>1.1000000000000001</v>
      </c>
      <c r="G308" s="137" t="s">
        <v>338</v>
      </c>
      <c r="H308" s="138" t="str">
        <f>IF(D308&gt;F308,"[ OK ]","[ NOT OK ]")</f>
        <v>[ OK ]</v>
      </c>
    </row>
    <row r="310" spans="2:8" ht="18.75" customHeight="1" x14ac:dyDescent="0.25">
      <c r="B310" s="1" t="s">
        <v>909</v>
      </c>
      <c r="G310" s="7"/>
      <c r="H310" s="35"/>
    </row>
    <row r="311" spans="2:8" ht="18.75" customHeight="1" x14ac:dyDescent="0.25">
      <c r="B311" s="1" t="s">
        <v>334</v>
      </c>
      <c r="D311" s="35" t="s">
        <v>394</v>
      </c>
      <c r="E311" s="35" t="s">
        <v>340</v>
      </c>
      <c r="F311" s="35">
        <v>2</v>
      </c>
      <c r="G311" s="7"/>
      <c r="H311" s="35"/>
    </row>
    <row r="312" spans="2:8" ht="18.75" customHeight="1" x14ac:dyDescent="0.25">
      <c r="D312" s="35" t="s">
        <v>395</v>
      </c>
      <c r="E312" s="35" t="s">
        <v>340</v>
      </c>
      <c r="F312" s="35">
        <v>2</v>
      </c>
      <c r="G312" s="35"/>
      <c r="H312" s="35"/>
    </row>
    <row r="313" spans="2:8" ht="18.75" customHeight="1" x14ac:dyDescent="0.25">
      <c r="G313" s="7"/>
      <c r="H313" s="35"/>
    </row>
    <row r="314" spans="2:8" ht="18.75" customHeight="1" x14ac:dyDescent="0.25">
      <c r="G314" s="7"/>
      <c r="H314" s="35"/>
    </row>
    <row r="315" spans="2:8" ht="18.75" customHeight="1" x14ac:dyDescent="0.25">
      <c r="G315" s="7"/>
      <c r="H315" s="35"/>
    </row>
    <row r="316" spans="2:8" ht="18.75" customHeight="1" x14ac:dyDescent="0.25">
      <c r="B316" s="5" t="s">
        <v>376</v>
      </c>
      <c r="D316" s="4">
        <f>Output!D131</f>
        <v>40.274500589323068</v>
      </c>
      <c r="E316" s="35" t="str">
        <f>IF(D316&gt;F316,"&gt;","&lt;")</f>
        <v>&gt;</v>
      </c>
      <c r="F316" s="52">
        <v>2</v>
      </c>
      <c r="G316" s="137" t="s">
        <v>338</v>
      </c>
      <c r="H316" s="138" t="str">
        <f>IF(D316&gt;F316,"[ OK ]","[ NOT OK ]")</f>
        <v>[ OK ]</v>
      </c>
    </row>
    <row r="317" spans="2:8" ht="18.75" customHeight="1" x14ac:dyDescent="0.25">
      <c r="B317" s="5" t="s">
        <v>377</v>
      </c>
      <c r="D317" s="4">
        <f>Output!D132</f>
        <v>6.3521994855948742</v>
      </c>
      <c r="E317" s="35" t="str">
        <f>IF(D317&gt;F317,"&gt;","&lt;")</f>
        <v>&gt;</v>
      </c>
      <c r="F317" s="52">
        <v>2</v>
      </c>
      <c r="G317" s="137" t="s">
        <v>338</v>
      </c>
      <c r="H317" s="138" t="str">
        <f>IF(D317&gt;F317,"[ OK ]","[ NOT OK ]")</f>
        <v>[ OK ]</v>
      </c>
    </row>
    <row r="318" spans="2:8" ht="18.75" customHeight="1" x14ac:dyDescent="0.25">
      <c r="B318" s="5" t="s">
        <v>378</v>
      </c>
      <c r="D318" s="4">
        <f>Output!D133</f>
        <v>21.370853742566887</v>
      </c>
      <c r="E318" s="35" t="str">
        <f>IF(D318&gt;F318,"&gt;","&lt;")</f>
        <v>&gt;</v>
      </c>
      <c r="F318" s="52">
        <v>2</v>
      </c>
      <c r="G318" s="137" t="s">
        <v>338</v>
      </c>
      <c r="H318" s="138" t="str">
        <f>IF(D318&gt;F318,"[ OK ]","[ NOT OK ]")</f>
        <v>[ OK ]</v>
      </c>
    </row>
    <row r="320" spans="2:8" ht="18.75" customHeight="1" x14ac:dyDescent="0.25">
      <c r="B320" s="1" t="s">
        <v>910</v>
      </c>
      <c r="G320" s="7"/>
      <c r="H320" s="35"/>
    </row>
    <row r="321" spans="1:9" ht="18.75" customHeight="1" x14ac:dyDescent="0.25">
      <c r="B321" s="1" t="s">
        <v>334</v>
      </c>
      <c r="D321" s="35" t="s">
        <v>387</v>
      </c>
      <c r="E321" s="35" t="s">
        <v>340</v>
      </c>
      <c r="F321" s="35">
        <v>1.5</v>
      </c>
      <c r="G321" s="8" t="s">
        <v>671</v>
      </c>
      <c r="H321" s="35"/>
    </row>
    <row r="322" spans="1:9" ht="18.75" customHeight="1" x14ac:dyDescent="0.25">
      <c r="D322" s="35" t="s">
        <v>387</v>
      </c>
      <c r="E322" s="35" t="s">
        <v>340</v>
      </c>
      <c r="F322" s="35">
        <v>1.1000000000000001</v>
      </c>
      <c r="G322" s="8" t="s">
        <v>672</v>
      </c>
      <c r="H322" s="35"/>
    </row>
    <row r="323" spans="1:9" ht="18.75" customHeight="1" x14ac:dyDescent="0.25">
      <c r="D323" s="35" t="s">
        <v>388</v>
      </c>
      <c r="E323" s="35" t="s">
        <v>11</v>
      </c>
      <c r="F323" s="8" t="s">
        <v>389</v>
      </c>
      <c r="G323" s="35"/>
      <c r="H323" s="35"/>
    </row>
    <row r="324" spans="1:9" ht="18.75" customHeight="1" x14ac:dyDescent="0.25">
      <c r="G324" s="7"/>
      <c r="H324" s="35"/>
    </row>
    <row r="325" spans="1:9" ht="18.75" customHeight="1" x14ac:dyDescent="0.25">
      <c r="B325" s="5" t="s">
        <v>376</v>
      </c>
      <c r="D325" s="4">
        <f>Output!D140</f>
        <v>64.205900606586837</v>
      </c>
      <c r="E325" s="35" t="str">
        <f>IF(D325&gt;F325,"&gt;","&lt;")</f>
        <v>&gt;</v>
      </c>
      <c r="F325" s="52">
        <v>1.5</v>
      </c>
      <c r="G325" s="137" t="s">
        <v>338</v>
      </c>
      <c r="H325" s="138" t="str">
        <f>IF(D325&gt;F325,"[ OK ]","[ NOT OK ]")</f>
        <v>[ OK ]</v>
      </c>
    </row>
    <row r="326" spans="1:9" ht="18.75" customHeight="1" x14ac:dyDescent="0.25">
      <c r="B326" s="5" t="s">
        <v>377</v>
      </c>
      <c r="D326" s="4">
        <f>Output!D141</f>
        <v>10.389884341742652</v>
      </c>
      <c r="E326" s="35" t="str">
        <f>IF(D326&gt;F326,"&gt;","&lt;")</f>
        <v>&gt;</v>
      </c>
      <c r="F326" s="52">
        <v>1.1000000000000001</v>
      </c>
      <c r="G326" s="137" t="s">
        <v>338</v>
      </c>
      <c r="H326" s="138" t="str">
        <f>IF(D326&gt;F326,"[ OK ]","[ NOT OK ]")</f>
        <v>[ OK ]</v>
      </c>
    </row>
    <row r="327" spans="1:9" ht="18.75" customHeight="1" x14ac:dyDescent="0.25">
      <c r="B327" s="5" t="s">
        <v>378</v>
      </c>
      <c r="D327" s="4">
        <f>Output!D142</f>
        <v>4.9287848313042364</v>
      </c>
      <c r="E327" s="35" t="str">
        <f>IF(D327&gt;F327,"&gt;","&lt;")</f>
        <v>&gt;</v>
      </c>
      <c r="F327" s="52">
        <v>1.1000000000000001</v>
      </c>
      <c r="G327" s="137" t="s">
        <v>338</v>
      </c>
      <c r="H327" s="138" t="str">
        <f>IF(D327&gt;F327,"[ OK ]","[ NOT OK ]")</f>
        <v>[ OK ]</v>
      </c>
    </row>
    <row r="329" spans="1:9" ht="18.75" customHeight="1" x14ac:dyDescent="0.25">
      <c r="A329" s="563" t="s">
        <v>925</v>
      </c>
      <c r="B329" s="565" t="s">
        <v>957</v>
      </c>
      <c r="C329" s="564"/>
      <c r="D329" s="564"/>
      <c r="E329" s="564"/>
      <c r="F329" s="564"/>
      <c r="G329" s="564"/>
      <c r="H329" s="564"/>
      <c r="I329" s="564"/>
    </row>
    <row r="330" spans="1:9" ht="18.75" customHeight="1" x14ac:dyDescent="0.25">
      <c r="A330" s="359" t="s">
        <v>95</v>
      </c>
      <c r="B330" s="360" t="s">
        <v>94</v>
      </c>
      <c r="C330" s="129"/>
      <c r="D330" s="129"/>
      <c r="E330" s="129"/>
      <c r="F330" s="129"/>
      <c r="G330" s="129"/>
      <c r="H330" s="129"/>
      <c r="I330" s="129"/>
    </row>
    <row r="331" spans="1:9" ht="18.75" customHeight="1" x14ac:dyDescent="0.25">
      <c r="A331" s="35"/>
    </row>
    <row r="332" spans="1:9" ht="18.75" customHeight="1" x14ac:dyDescent="0.25">
      <c r="A332" s="35"/>
    </row>
    <row r="333" spans="1:9" ht="18.75" customHeight="1" x14ac:dyDescent="0.25">
      <c r="A333" s="35"/>
    </row>
    <row r="334" spans="1:9" ht="18.75" customHeight="1" x14ac:dyDescent="0.25">
      <c r="A334" s="35"/>
    </row>
    <row r="335" spans="1:9" ht="18.75" customHeight="1" x14ac:dyDescent="0.25">
      <c r="A335" s="35"/>
    </row>
    <row r="336" spans="1:9" ht="18.75" customHeight="1" x14ac:dyDescent="0.25">
      <c r="A336" s="35"/>
    </row>
    <row r="337" spans="1:9" ht="18.75" customHeight="1" x14ac:dyDescent="0.25">
      <c r="A337" s="35"/>
    </row>
    <row r="338" spans="1:9" ht="18.75" customHeight="1" x14ac:dyDescent="0.25">
      <c r="A338" s="35"/>
    </row>
    <row r="339" spans="1:9" ht="18.75" customHeight="1" x14ac:dyDescent="0.25">
      <c r="A339" s="35"/>
    </row>
    <row r="340" spans="1:9" ht="18.75" customHeight="1" x14ac:dyDescent="0.25">
      <c r="A340" s="35"/>
    </row>
    <row r="341" spans="1:9" ht="18.75" customHeight="1" x14ac:dyDescent="0.25">
      <c r="A341" s="35"/>
    </row>
    <row r="342" spans="1:9" ht="18.75" customHeight="1" x14ac:dyDescent="0.25">
      <c r="A342" s="35"/>
    </row>
    <row r="343" spans="1:9" ht="18.75" customHeight="1" x14ac:dyDescent="0.25">
      <c r="A343" s="35"/>
      <c r="B343" s="1" t="s">
        <v>172</v>
      </c>
      <c r="G343" s="7" t="s">
        <v>625</v>
      </c>
      <c r="H343" s="36">
        <f>'Process (1)'!I15</f>
        <v>25</v>
      </c>
      <c r="I343" s="5" t="s">
        <v>54</v>
      </c>
    </row>
    <row r="344" spans="1:9" ht="18.75" customHeight="1" x14ac:dyDescent="0.25">
      <c r="A344" s="35"/>
      <c r="B344" s="1" t="s">
        <v>173</v>
      </c>
      <c r="G344" s="7" t="s">
        <v>109</v>
      </c>
      <c r="H344" s="36">
        <f>'Process (1)'!I16</f>
        <v>17.2</v>
      </c>
      <c r="I344" s="5" t="s">
        <v>54</v>
      </c>
    </row>
    <row r="345" spans="1:9" ht="18.75" customHeight="1" x14ac:dyDescent="0.25">
      <c r="A345" s="35"/>
      <c r="B345" s="1" t="s">
        <v>56</v>
      </c>
      <c r="G345" s="7" t="s">
        <v>958</v>
      </c>
      <c r="H345" s="36">
        <f>'Process (1)'!I17</f>
        <v>1</v>
      </c>
      <c r="I345" s="5" t="s">
        <v>0</v>
      </c>
    </row>
    <row r="346" spans="1:9" ht="18.75" customHeight="1" x14ac:dyDescent="0.25">
      <c r="A346" s="35"/>
      <c r="B346" s="1" t="s">
        <v>58</v>
      </c>
      <c r="G346" s="7" t="s">
        <v>2</v>
      </c>
      <c r="H346" s="36">
        <f>'Process (1)'!I18</f>
        <v>17.3</v>
      </c>
      <c r="I346" s="5" t="s">
        <v>0</v>
      </c>
    </row>
    <row r="348" spans="1:9" ht="18.75" customHeight="1" x14ac:dyDescent="0.25">
      <c r="B348" s="653" t="s">
        <v>59</v>
      </c>
      <c r="C348" s="653" t="s">
        <v>64</v>
      </c>
      <c r="D348" s="653"/>
      <c r="E348" s="653"/>
      <c r="F348" s="653"/>
      <c r="G348" s="379" t="s">
        <v>65</v>
      </c>
      <c r="H348" s="379" t="s">
        <v>67</v>
      </c>
      <c r="I348" s="379" t="s">
        <v>69</v>
      </c>
    </row>
    <row r="349" spans="1:9" ht="18.75" customHeight="1" x14ac:dyDescent="0.25">
      <c r="B349" s="653"/>
      <c r="C349" s="379" t="s">
        <v>60</v>
      </c>
      <c r="D349" s="379" t="s">
        <v>61</v>
      </c>
      <c r="E349" s="379" t="s">
        <v>62</v>
      </c>
      <c r="F349" s="379" t="s">
        <v>63</v>
      </c>
      <c r="G349" s="379" t="s">
        <v>66</v>
      </c>
      <c r="H349" s="379" t="s">
        <v>68</v>
      </c>
      <c r="I349" s="379" t="s">
        <v>70</v>
      </c>
    </row>
    <row r="350" spans="1:9" ht="18.75" customHeight="1" x14ac:dyDescent="0.25">
      <c r="B350" s="654" t="s">
        <v>89</v>
      </c>
      <c r="C350" s="654"/>
      <c r="D350" s="654"/>
      <c r="E350" s="654"/>
      <c r="F350" s="654"/>
      <c r="G350" s="654"/>
      <c r="H350" s="654"/>
      <c r="I350" s="654"/>
    </row>
    <row r="351" spans="1:9" ht="18.75" customHeight="1" x14ac:dyDescent="0.25">
      <c r="B351" s="275" t="s">
        <v>72</v>
      </c>
      <c r="C351" s="276">
        <f>'Process (1)'!Q5</f>
        <v>4</v>
      </c>
      <c r="D351" s="276">
        <f>'Process (1)'!R5</f>
        <v>0.9</v>
      </c>
      <c r="E351" s="275">
        <f>'Process (1)'!S5</f>
        <v>1</v>
      </c>
      <c r="F351" s="275">
        <f>'Process (1)'!T5</f>
        <v>-1</v>
      </c>
      <c r="G351" s="277">
        <f>'Process (1)'!U5</f>
        <v>90</v>
      </c>
      <c r="H351" s="277">
        <f>'Process (1)'!V5</f>
        <v>2.8999999999999995</v>
      </c>
      <c r="I351" s="277">
        <f>'Process (1)'!W5</f>
        <v>-260.99999999999994</v>
      </c>
    </row>
    <row r="352" spans="1:9" ht="18.75" customHeight="1" x14ac:dyDescent="0.25">
      <c r="B352" s="275" t="s">
        <v>71</v>
      </c>
      <c r="C352" s="276">
        <f>'Process (1)'!Q6</f>
        <v>0.35</v>
      </c>
      <c r="D352" s="276">
        <f>'Process (1)'!R6</f>
        <v>0.9</v>
      </c>
      <c r="E352" s="275">
        <f>'Process (1)'!S6</f>
        <v>1</v>
      </c>
      <c r="F352" s="275">
        <f>'Process (1)'!T6</f>
        <v>-1</v>
      </c>
      <c r="G352" s="277">
        <f>'Process (1)'!U6</f>
        <v>5.4495000000000005</v>
      </c>
      <c r="H352" s="277">
        <f>'Process (1)'!V6</f>
        <v>0.72499999999999964</v>
      </c>
      <c r="I352" s="277">
        <f>'Process (1)'!W6</f>
        <v>-3.9508874999999986</v>
      </c>
    </row>
    <row r="353" spans="2:9" ht="18.75" customHeight="1" x14ac:dyDescent="0.25">
      <c r="B353" s="275" t="s">
        <v>73</v>
      </c>
      <c r="C353" s="276">
        <f>'Process (1)'!Q7</f>
        <v>1.6</v>
      </c>
      <c r="D353" s="276">
        <f>'Process (1)'!R7</f>
        <v>0.55000000000000004</v>
      </c>
      <c r="E353" s="275">
        <f>'Process (1)'!S7</f>
        <v>1</v>
      </c>
      <c r="F353" s="275">
        <f>'Process (1)'!T7</f>
        <v>-1</v>
      </c>
      <c r="G353" s="277">
        <f>'Process (1)'!U7</f>
        <v>15.224000000000002</v>
      </c>
      <c r="H353" s="277">
        <f>'Process (1)'!V7</f>
        <v>1.3499999999999996</v>
      </c>
      <c r="I353" s="277">
        <f>'Process (1)'!W7</f>
        <v>-20.552399999999999</v>
      </c>
    </row>
    <row r="354" spans="2:9" ht="18.75" customHeight="1" x14ac:dyDescent="0.25">
      <c r="B354" s="275" t="s">
        <v>74</v>
      </c>
      <c r="C354" s="276">
        <f>'Process (1)'!Q8</f>
        <v>3.8</v>
      </c>
      <c r="D354" s="276">
        <f>'Process (1)'!R8</f>
        <v>2.63</v>
      </c>
      <c r="E354" s="275">
        <f>'Process (1)'!S8</f>
        <v>1</v>
      </c>
      <c r="F354" s="275">
        <f>'Process (1)'!T8</f>
        <v>-1</v>
      </c>
      <c r="G354" s="277">
        <f>'Process (1)'!U8</f>
        <v>249.85</v>
      </c>
      <c r="H354" s="277">
        <f>'Process (1)'!V8</f>
        <v>3</v>
      </c>
      <c r="I354" s="277">
        <f>'Process (1)'!W8</f>
        <v>-749.55</v>
      </c>
    </row>
    <row r="355" spans="2:9" ht="18.75" customHeight="1" x14ac:dyDescent="0.25">
      <c r="B355" s="275" t="s">
        <v>75</v>
      </c>
      <c r="C355" s="276">
        <f>'Process (1)'!Q9</f>
        <v>0.6</v>
      </c>
      <c r="D355" s="276">
        <f>'Process (1)'!R9</f>
        <v>1.0299999999999998</v>
      </c>
      <c r="E355" s="275">
        <f>'Process (1)'!S9</f>
        <v>1</v>
      </c>
      <c r="F355" s="275">
        <f>'Process (1)'!T9</f>
        <v>-1</v>
      </c>
      <c r="G355" s="277">
        <f>'Process (1)'!U9</f>
        <v>10.691399999999998</v>
      </c>
      <c r="H355" s="277">
        <f>'Process (1)'!V9</f>
        <v>0.79999999999999982</v>
      </c>
      <c r="I355" s="277">
        <f>'Process (1)'!W9</f>
        <v>-8.5531199999999963</v>
      </c>
    </row>
    <row r="356" spans="2:9" ht="18.75" customHeight="1" x14ac:dyDescent="0.25">
      <c r="B356" s="275" t="s">
        <v>76</v>
      </c>
      <c r="C356" s="276">
        <f>'Process (1)'!Q10</f>
        <v>0.6</v>
      </c>
      <c r="D356" s="276">
        <f>'Process (1)'!R10</f>
        <v>0.6</v>
      </c>
      <c r="E356" s="275">
        <f>'Process (1)'!S10</f>
        <v>0.5</v>
      </c>
      <c r="F356" s="275">
        <f>'Process (1)'!T10</f>
        <v>-1</v>
      </c>
      <c r="G356" s="277">
        <f>'Process (1)'!U10</f>
        <v>3.1139999999999999</v>
      </c>
      <c r="H356" s="277">
        <f>'Process (1)'!V10</f>
        <v>0.70000000000000018</v>
      </c>
      <c r="I356" s="277">
        <f>'Process (1)'!W10</f>
        <v>-2.1798000000000006</v>
      </c>
    </row>
    <row r="357" spans="2:9" ht="18.75" customHeight="1" x14ac:dyDescent="0.25">
      <c r="B357" s="275" t="s">
        <v>77</v>
      </c>
      <c r="C357" s="276">
        <f>'Process (1)'!Q11</f>
        <v>3.8</v>
      </c>
      <c r="D357" s="276">
        <f>'Process (1)'!R11</f>
        <v>0.6</v>
      </c>
      <c r="E357" s="275">
        <f>'Process (1)'!S11</f>
        <v>1</v>
      </c>
      <c r="F357" s="275">
        <f>'Process (1)'!T11</f>
        <v>-1</v>
      </c>
      <c r="G357" s="277">
        <f>'Process (1)'!U11</f>
        <v>56.999999999999993</v>
      </c>
      <c r="H357" s="277">
        <f>'Process (1)'!V11</f>
        <v>3</v>
      </c>
      <c r="I357" s="277">
        <f>'Process (1)'!W11</f>
        <v>-170.99999999999997</v>
      </c>
    </row>
    <row r="358" spans="2:9" ht="18.75" customHeight="1" x14ac:dyDescent="0.25">
      <c r="B358" s="275" t="s">
        <v>78</v>
      </c>
      <c r="C358" s="276">
        <f>'Process (1)'!Q12</f>
        <v>0.6</v>
      </c>
      <c r="D358" s="276">
        <f>'Process (1)'!R12</f>
        <v>0.6</v>
      </c>
      <c r="E358" s="275">
        <f>'Process (1)'!S12</f>
        <v>0.5</v>
      </c>
      <c r="F358" s="275">
        <f>'Process (1)'!T12</f>
        <v>-1</v>
      </c>
      <c r="G358" s="277">
        <f>'Process (1)'!U12</f>
        <v>4.5</v>
      </c>
      <c r="H358" s="277">
        <f>'Process (1)'!V12</f>
        <v>0.90000000000000036</v>
      </c>
      <c r="I358" s="277">
        <f>'Process (1)'!W12</f>
        <v>-4.0500000000000016</v>
      </c>
    </row>
    <row r="359" spans="2:9" ht="18.75" customHeight="1" x14ac:dyDescent="0.25">
      <c r="B359" s="275" t="s">
        <v>79</v>
      </c>
      <c r="C359" s="276">
        <f>'Process (1)'!Q13</f>
        <v>0.6</v>
      </c>
      <c r="D359" s="276">
        <f>'Process (1)'!R13</f>
        <v>0.8</v>
      </c>
      <c r="E359" s="275">
        <f>'Process (1)'!S13</f>
        <v>1</v>
      </c>
      <c r="F359" s="275">
        <f>'Process (1)'!T13</f>
        <v>-1</v>
      </c>
      <c r="G359" s="277">
        <f>'Process (1)'!U13</f>
        <v>8.3040000000000003</v>
      </c>
      <c r="H359" s="277">
        <f>'Process (1)'!V13</f>
        <v>0.80000000000000027</v>
      </c>
      <c r="I359" s="277">
        <f>'Process (1)'!W13</f>
        <v>-6.643200000000002</v>
      </c>
    </row>
    <row r="360" spans="2:9" ht="18.75" customHeight="1" x14ac:dyDescent="0.25">
      <c r="B360" s="275" t="s">
        <v>80</v>
      </c>
      <c r="C360" s="276">
        <f>'Process (1)'!Q14</f>
        <v>0.6</v>
      </c>
      <c r="D360" s="276">
        <f>'Process (1)'!R14</f>
        <v>0.6</v>
      </c>
      <c r="E360" s="275">
        <f>'Process (1)'!S14</f>
        <v>0.5</v>
      </c>
      <c r="F360" s="275">
        <f>'Process (1)'!T14</f>
        <v>-1</v>
      </c>
      <c r="G360" s="277">
        <f>'Process (1)'!U14</f>
        <v>3.1139999999999999</v>
      </c>
      <c r="H360" s="277">
        <f>'Process (1)'!V14</f>
        <v>0.70000000000000018</v>
      </c>
      <c r="I360" s="277">
        <f>'Process (1)'!W14</f>
        <v>-2.1798000000000006</v>
      </c>
    </row>
    <row r="361" spans="2:9" ht="18.75" customHeight="1" x14ac:dyDescent="0.25">
      <c r="B361" s="275" t="s">
        <v>81</v>
      </c>
      <c r="C361" s="276">
        <f>'Process (1)'!Q15</f>
        <v>1</v>
      </c>
      <c r="D361" s="276">
        <f>'Process (1)'!R15</f>
        <v>4.9800000000000004</v>
      </c>
      <c r="E361" s="275">
        <f>'Process (1)'!S15</f>
        <v>1</v>
      </c>
      <c r="F361" s="275">
        <f>'Process (1)'!T15</f>
        <v>-1</v>
      </c>
      <c r="G361" s="277">
        <f>'Process (1)'!U15</f>
        <v>86.154000000000011</v>
      </c>
      <c r="H361" s="277">
        <f>'Process (1)'!V15</f>
        <v>0</v>
      </c>
      <c r="I361" s="277">
        <f>'Process (1)'!W15</f>
        <v>0</v>
      </c>
    </row>
    <row r="362" spans="2:9" ht="18.75" customHeight="1" x14ac:dyDescent="0.25">
      <c r="B362" s="275" t="s">
        <v>82</v>
      </c>
      <c r="C362" s="276">
        <f>'Process (1)'!Q16</f>
        <v>4.3999999999999995</v>
      </c>
      <c r="D362" s="276">
        <f>'Process (1)'!R16</f>
        <v>2.1</v>
      </c>
      <c r="E362" s="275">
        <f>'Process (1)'!S16</f>
        <v>1</v>
      </c>
      <c r="F362" s="275">
        <f>'Process (1)'!T16</f>
        <v>-1</v>
      </c>
      <c r="G362" s="277">
        <f>'Process (1)'!U16</f>
        <v>230.99999999999997</v>
      </c>
      <c r="H362" s="277">
        <f>'Process (1)'!V16</f>
        <v>2.6999999999999993</v>
      </c>
      <c r="I362" s="277">
        <f>'Process (1)'!W16</f>
        <v>-623.6999999999997</v>
      </c>
    </row>
    <row r="363" spans="2:9" ht="18.75" customHeight="1" x14ac:dyDescent="0.25">
      <c r="B363" s="275" t="s">
        <v>83</v>
      </c>
      <c r="C363" s="276">
        <f>'Process (1)'!Q17</f>
        <v>1.3999999999999995</v>
      </c>
      <c r="D363" s="276">
        <f>'Process (1)'!R17</f>
        <v>0.5</v>
      </c>
      <c r="E363" s="275">
        <f>'Process (1)'!S17</f>
        <v>0.5</v>
      </c>
      <c r="F363" s="275">
        <f>'Process (1)'!T17</f>
        <v>-1</v>
      </c>
      <c r="G363" s="277">
        <f>'Process (1)'!U17</f>
        <v>8.7499999999999964</v>
      </c>
      <c r="H363" s="277">
        <f>'Process (1)'!V17</f>
        <v>3.9666666666666668</v>
      </c>
      <c r="I363" s="277">
        <f>'Process (1)'!W17</f>
        <v>-34.708333333333321</v>
      </c>
    </row>
    <row r="364" spans="2:9" ht="18.75" customHeight="1" x14ac:dyDescent="0.25">
      <c r="B364" s="275" t="s">
        <v>84</v>
      </c>
      <c r="C364" s="276">
        <f>'Process (1)'!Q18</f>
        <v>3</v>
      </c>
      <c r="D364" s="276">
        <f>'Process (1)'!R18</f>
        <v>0.5</v>
      </c>
      <c r="E364" s="275">
        <f>'Process (1)'!S18</f>
        <v>0.5</v>
      </c>
      <c r="F364" s="275">
        <f>'Process (1)'!T18</f>
        <v>-1</v>
      </c>
      <c r="G364" s="277">
        <f>'Process (1)'!U18</f>
        <v>18.75</v>
      </c>
      <c r="H364" s="277">
        <f>'Process (1)'!V18</f>
        <v>2.5</v>
      </c>
      <c r="I364" s="277">
        <f>'Process (1)'!W18</f>
        <v>-46.875</v>
      </c>
    </row>
    <row r="365" spans="2:9" ht="18.75" customHeight="1" x14ac:dyDescent="0.25">
      <c r="B365" s="41" t="s">
        <v>85</v>
      </c>
      <c r="C365" s="36">
        <f>'Process (1)'!Q19</f>
        <v>3</v>
      </c>
      <c r="D365" s="36">
        <f>'Process (1)'!R19</f>
        <v>0.5</v>
      </c>
      <c r="E365" s="41">
        <f>'Process (1)'!S19</f>
        <v>0.5</v>
      </c>
      <c r="F365" s="41">
        <f>'Process (1)'!T19</f>
        <v>-1</v>
      </c>
      <c r="G365" s="42">
        <f>'Process (1)'!U19</f>
        <v>12.975000000000001</v>
      </c>
      <c r="H365" s="42">
        <f>'Process (1)'!V19</f>
        <v>1.5</v>
      </c>
      <c r="I365" s="42">
        <f>'Process (1)'!W19</f>
        <v>-19.462500000000002</v>
      </c>
    </row>
    <row r="366" spans="2:9" ht="18.75" customHeight="1" x14ac:dyDescent="0.25">
      <c r="B366" s="41" t="s">
        <v>86</v>
      </c>
      <c r="C366" s="36">
        <f>'Process (1)'!Q20</f>
        <v>3</v>
      </c>
      <c r="D366" s="36">
        <f>'Process (1)'!R20</f>
        <v>0.5</v>
      </c>
      <c r="E366" s="41">
        <f>'Process (1)'!S20</f>
        <v>0.5</v>
      </c>
      <c r="F366" s="41">
        <f>'Process (1)'!T20</f>
        <v>1</v>
      </c>
      <c r="G366" s="42">
        <f>'Process (1)'!U20</f>
        <v>12.975000000000001</v>
      </c>
      <c r="H366" s="42">
        <f>'Process (1)'!V20</f>
        <v>1.5</v>
      </c>
      <c r="I366" s="42">
        <f>'Process (1)'!W20</f>
        <v>19.462500000000002</v>
      </c>
    </row>
    <row r="367" spans="2:9" ht="18.75" customHeight="1" x14ac:dyDescent="0.25">
      <c r="B367" s="41" t="s">
        <v>87</v>
      </c>
      <c r="C367" s="36">
        <f>'Process (1)'!Q21</f>
        <v>3</v>
      </c>
      <c r="D367" s="36">
        <f>'Process (1)'!R21</f>
        <v>0.75</v>
      </c>
      <c r="E367" s="41">
        <f>'Process (1)'!S21</f>
        <v>1</v>
      </c>
      <c r="F367" s="41">
        <f>'Process (1)'!T21</f>
        <v>-1</v>
      </c>
      <c r="G367" s="42">
        <f>'Process (1)'!U21</f>
        <v>38.925000000000004</v>
      </c>
      <c r="H367" s="42">
        <f>'Process (1)'!V21</f>
        <v>2</v>
      </c>
      <c r="I367" s="42">
        <f>'Process (1)'!W21</f>
        <v>-77.850000000000009</v>
      </c>
    </row>
    <row r="368" spans="2:9" ht="18.75" customHeight="1" x14ac:dyDescent="0.25">
      <c r="B368" s="41" t="s">
        <v>88</v>
      </c>
      <c r="C368" s="36">
        <f>'Process (1)'!Q22</f>
        <v>3</v>
      </c>
      <c r="D368" s="36">
        <f>'Process (1)'!R22</f>
        <v>0.75</v>
      </c>
      <c r="E368" s="41">
        <f>'Process (1)'!S22</f>
        <v>1</v>
      </c>
      <c r="F368" s="41">
        <f>'Process (1)'!T22</f>
        <v>1</v>
      </c>
      <c r="G368" s="42">
        <f>'Process (1)'!U22</f>
        <v>38.925000000000004</v>
      </c>
      <c r="H368" s="42">
        <f>'Process (1)'!V22</f>
        <v>2</v>
      </c>
      <c r="I368" s="42">
        <f>'Process (1)'!W22</f>
        <v>77.850000000000009</v>
      </c>
    </row>
    <row r="369" spans="1:9" ht="18.75" customHeight="1" x14ac:dyDescent="0.25">
      <c r="B369" s="654" t="s">
        <v>90</v>
      </c>
      <c r="C369" s="654"/>
      <c r="D369" s="654"/>
      <c r="E369" s="654"/>
      <c r="F369" s="654"/>
      <c r="G369" s="654"/>
      <c r="H369" s="654"/>
      <c r="I369" s="654"/>
    </row>
    <row r="370" spans="1:9" ht="18.75" customHeight="1" x14ac:dyDescent="0.25">
      <c r="B370" s="41">
        <v>1</v>
      </c>
      <c r="C370" s="36">
        <f>'Process (1)'!Q24</f>
        <v>2.6000000000000005</v>
      </c>
      <c r="D370" s="36">
        <f>'Process (1)'!R24</f>
        <v>0.9</v>
      </c>
      <c r="E370" s="41">
        <f>'Process (1)'!S24</f>
        <v>1</v>
      </c>
      <c r="F370" s="41">
        <f>'Process (1)'!T24</f>
        <v>-1</v>
      </c>
      <c r="G370" s="42">
        <f>'Process (1)'!U24</f>
        <v>656.04240000000027</v>
      </c>
      <c r="H370" s="42">
        <f>'Process (1)'!V24</f>
        <v>2.2000000000000002</v>
      </c>
      <c r="I370" s="42">
        <f>'Process (1)'!W24</f>
        <v>-1443.2932800000008</v>
      </c>
    </row>
    <row r="371" spans="1:9" ht="18.75" customHeight="1" x14ac:dyDescent="0.25">
      <c r="B371" s="41">
        <v>2</v>
      </c>
      <c r="C371" s="36">
        <f>'Process (1)'!Q25</f>
        <v>2.4000000000000004</v>
      </c>
      <c r="D371" s="36">
        <f>'Process (1)'!R25</f>
        <v>2.63</v>
      </c>
      <c r="E371" s="41">
        <f>'Process (1)'!S25</f>
        <v>1</v>
      </c>
      <c r="F371" s="41">
        <f>'Process (1)'!T25</f>
        <v>-1</v>
      </c>
      <c r="G371" s="42">
        <f>'Process (1)'!U25</f>
        <v>1769.6323200000002</v>
      </c>
      <c r="H371" s="42">
        <f>'Process (1)'!V25</f>
        <v>2.3000000000000007</v>
      </c>
      <c r="I371" s="42">
        <f>'Process (1)'!W25</f>
        <v>-4070.1543360000014</v>
      </c>
    </row>
    <row r="372" spans="1:9" ht="18.75" customHeight="1" x14ac:dyDescent="0.25">
      <c r="B372" s="41">
        <v>3</v>
      </c>
      <c r="C372" s="36">
        <f>'Process (1)'!Q26</f>
        <v>2.4000000000000004</v>
      </c>
      <c r="D372" s="36">
        <f>'Process (1)'!R26</f>
        <v>0.6</v>
      </c>
      <c r="E372" s="41">
        <f>'Process (1)'!S26</f>
        <v>1</v>
      </c>
      <c r="F372" s="41">
        <f>'Process (1)'!T26</f>
        <v>-1</v>
      </c>
      <c r="G372" s="42">
        <f>'Process (1)'!U26</f>
        <v>403.71840000000003</v>
      </c>
      <c r="H372" s="42">
        <f>'Process (1)'!V26</f>
        <v>2.3000000000000007</v>
      </c>
      <c r="I372" s="42">
        <f>'Process (1)'!W26</f>
        <v>-928.55232000000035</v>
      </c>
    </row>
    <row r="373" spans="1:9" ht="18.75" customHeight="1" x14ac:dyDescent="0.25">
      <c r="B373" s="41">
        <v>4</v>
      </c>
      <c r="C373" s="36">
        <f>'Process (1)'!Q27</f>
        <v>0.6</v>
      </c>
      <c r="D373" s="36">
        <f>'Process (1)'!R27</f>
        <v>0.6</v>
      </c>
      <c r="E373" s="36">
        <f>'Process (1)'!S27</f>
        <v>0.5</v>
      </c>
      <c r="F373" s="41">
        <f>'Process (1)'!T27</f>
        <v>-1</v>
      </c>
      <c r="G373" s="42">
        <f>'Process (1)'!U27</f>
        <v>50.464799999999997</v>
      </c>
      <c r="H373" s="42">
        <f>'Process (1)'!V27</f>
        <v>0.90000000000000036</v>
      </c>
      <c r="I373" s="42">
        <f>'Process (1)'!W27</f>
        <v>-45.418320000000016</v>
      </c>
    </row>
    <row r="374" spans="1:9" ht="18.75" customHeight="1" x14ac:dyDescent="0.25">
      <c r="B374" s="41">
        <v>5</v>
      </c>
      <c r="C374" s="36">
        <f>'Process (1)'!Q28</f>
        <v>3</v>
      </c>
      <c r="D374" s="36">
        <f>'Process (1)'!R28</f>
        <v>2.1</v>
      </c>
      <c r="E374" s="41">
        <f>'Process (1)'!S28</f>
        <v>1</v>
      </c>
      <c r="F374" s="41">
        <f>'Process (1)'!T28</f>
        <v>-1</v>
      </c>
      <c r="G374" s="42">
        <f>'Process (1)'!U28</f>
        <v>1766.2680000000003</v>
      </c>
      <c r="H374" s="42">
        <f>'Process (1)'!V28</f>
        <v>2</v>
      </c>
      <c r="I374" s="42">
        <f>'Process (1)'!W28</f>
        <v>-3532.5360000000005</v>
      </c>
    </row>
    <row r="375" spans="1:9" ht="18.75" customHeight="1" x14ac:dyDescent="0.25">
      <c r="B375" s="41">
        <v>6</v>
      </c>
      <c r="C375" s="36">
        <f>'Process (1)'!Q29</f>
        <v>3</v>
      </c>
      <c r="D375" s="36">
        <f>'Process (1)'!R29</f>
        <v>0.5</v>
      </c>
      <c r="E375" s="36">
        <f>'Process (1)'!S29</f>
        <v>0.5</v>
      </c>
      <c r="F375" s="41">
        <f>'Process (1)'!T29</f>
        <v>-1</v>
      </c>
      <c r="G375" s="42">
        <f>'Process (1)'!U29</f>
        <v>210.26999999999998</v>
      </c>
      <c r="H375" s="42">
        <f>'Process (1)'!V29</f>
        <v>2.5</v>
      </c>
      <c r="I375" s="42">
        <f>'Process (1)'!W29</f>
        <v>-525.67499999999995</v>
      </c>
    </row>
    <row r="376" spans="1:9" ht="18.75" customHeight="1" x14ac:dyDescent="0.25">
      <c r="B376" s="582" t="s">
        <v>91</v>
      </c>
      <c r="C376" s="582"/>
      <c r="D376" s="582"/>
      <c r="E376" s="582"/>
      <c r="F376" s="43" t="s">
        <v>179</v>
      </c>
      <c r="G376" s="53">
        <f>SUM(G370:G375,G351:G368)</f>
        <v>5752.0968200000016</v>
      </c>
      <c r="H376" s="43" t="s">
        <v>180</v>
      </c>
      <c r="I376" s="53">
        <f>SUM(I370:I375,I351:I368)</f>
        <v>-12480.571796833334</v>
      </c>
    </row>
    <row r="378" spans="1:9" ht="18.75" customHeight="1" x14ac:dyDescent="0.25">
      <c r="A378" s="359" t="s">
        <v>96</v>
      </c>
      <c r="B378" s="360" t="s">
        <v>143</v>
      </c>
      <c r="C378" s="129"/>
      <c r="D378" s="129"/>
      <c r="E378" s="129"/>
      <c r="F378" s="129"/>
      <c r="G378" s="129"/>
      <c r="H378" s="129"/>
      <c r="I378" s="129"/>
    </row>
    <row r="379" spans="1:9" ht="18.75" customHeight="1" x14ac:dyDescent="0.25">
      <c r="A379" s="35"/>
    </row>
    <row r="380" spans="1:9" ht="18.75" customHeight="1" x14ac:dyDescent="0.25">
      <c r="A380" s="35"/>
    </row>
    <row r="381" spans="1:9" ht="18.75" customHeight="1" x14ac:dyDescent="0.25">
      <c r="A381" s="35"/>
    </row>
    <row r="382" spans="1:9" ht="18.75" customHeight="1" x14ac:dyDescent="0.25">
      <c r="A382" s="35"/>
    </row>
    <row r="383" spans="1:9" ht="18.75" customHeight="1" x14ac:dyDescent="0.25">
      <c r="A383" s="35"/>
    </row>
    <row r="384" spans="1:9" ht="18.75" customHeight="1" x14ac:dyDescent="0.25">
      <c r="A384" s="35"/>
    </row>
    <row r="385" spans="1:9" ht="18.75" customHeight="1" x14ac:dyDescent="0.25">
      <c r="A385" s="35"/>
    </row>
    <row r="386" spans="1:9" ht="18.75" customHeight="1" x14ac:dyDescent="0.25">
      <c r="A386" s="35"/>
    </row>
    <row r="387" spans="1:9" ht="18.75" customHeight="1" x14ac:dyDescent="0.25">
      <c r="A387" s="35"/>
    </row>
    <row r="388" spans="1:9" ht="18.75" customHeight="1" x14ac:dyDescent="0.25">
      <c r="A388" s="35"/>
    </row>
    <row r="389" spans="1:9" ht="18.75" customHeight="1" x14ac:dyDescent="0.25">
      <c r="A389" s="35"/>
    </row>
    <row r="390" spans="1:9" ht="18.75" customHeight="1" x14ac:dyDescent="0.25">
      <c r="A390" s="35"/>
    </row>
    <row r="391" spans="1:9" ht="18.75" customHeight="1" x14ac:dyDescent="0.25">
      <c r="A391" s="35"/>
      <c r="B391" s="9" t="s">
        <v>116</v>
      </c>
      <c r="G391" s="7"/>
      <c r="H391" s="7"/>
      <c r="I391" s="35"/>
    </row>
    <row r="392" spans="1:9" ht="18.75" customHeight="1" x14ac:dyDescent="0.25">
      <c r="A392" s="35"/>
      <c r="B392" s="8" t="s">
        <v>97</v>
      </c>
      <c r="G392" s="7" t="s">
        <v>109</v>
      </c>
      <c r="H392" s="36">
        <f>'Process (1)'!I41</f>
        <v>17.2</v>
      </c>
      <c r="I392" s="5" t="s">
        <v>54</v>
      </c>
    </row>
    <row r="393" spans="1:9" ht="18.75" customHeight="1" x14ac:dyDescent="0.25">
      <c r="A393" s="35"/>
      <c r="B393" s="8" t="s">
        <v>98</v>
      </c>
      <c r="G393" s="49" t="s">
        <v>99</v>
      </c>
      <c r="H393" s="36">
        <f>'Process (1)'!I42</f>
        <v>36.020000000000003</v>
      </c>
      <c r="I393" s="15" t="s">
        <v>100</v>
      </c>
    </row>
    <row r="394" spans="1:9" ht="18.75" customHeight="1" x14ac:dyDescent="0.25">
      <c r="A394" s="35"/>
      <c r="B394" s="8" t="s">
        <v>101</v>
      </c>
      <c r="G394" s="7" t="s">
        <v>102</v>
      </c>
      <c r="H394" s="36">
        <f>'Process (1)'!I43</f>
        <v>2.4220000000000002</v>
      </c>
      <c r="I394" s="5" t="s">
        <v>103</v>
      </c>
    </row>
    <row r="395" spans="1:9" ht="18.75" customHeight="1" x14ac:dyDescent="0.25">
      <c r="A395" s="35"/>
      <c r="B395" s="8" t="s">
        <v>104</v>
      </c>
      <c r="G395" s="7" t="s">
        <v>105</v>
      </c>
      <c r="H395" s="41">
        <f>'Process (1)'!I44</f>
        <v>0.7</v>
      </c>
      <c r="I395" s="5"/>
    </row>
    <row r="396" spans="1:9" ht="18.75" customHeight="1" x14ac:dyDescent="0.25">
      <c r="A396" s="35"/>
      <c r="B396" s="8" t="s">
        <v>106</v>
      </c>
      <c r="G396" s="49" t="s">
        <v>107</v>
      </c>
      <c r="H396" s="42">
        <f>'Process (1)'!I45</f>
        <v>26.973963868803303</v>
      </c>
      <c r="I396" s="15" t="s">
        <v>100</v>
      </c>
    </row>
    <row r="397" spans="1:9" ht="18.75" customHeight="1" x14ac:dyDescent="0.25">
      <c r="A397" s="35"/>
      <c r="B397" s="8" t="s">
        <v>108</v>
      </c>
      <c r="G397" s="51" t="s">
        <v>131</v>
      </c>
      <c r="H397" s="42">
        <f>'Process (1)'!I46</f>
        <v>0.37590799472818659</v>
      </c>
      <c r="I397" s="15"/>
    </row>
    <row r="398" spans="1:9" ht="18.75" customHeight="1" x14ac:dyDescent="0.25">
      <c r="A398" s="35"/>
    </row>
    <row r="399" spans="1:9" ht="18.75" customHeight="1" x14ac:dyDescent="0.25">
      <c r="A399" s="35"/>
      <c r="B399" s="9" t="s">
        <v>125</v>
      </c>
      <c r="G399" s="7"/>
      <c r="H399" s="35"/>
      <c r="I399" s="5"/>
    </row>
    <row r="400" spans="1:9" ht="18.75" customHeight="1" x14ac:dyDescent="0.25">
      <c r="A400" s="35"/>
      <c r="B400" s="8" t="s">
        <v>129</v>
      </c>
      <c r="G400" s="7" t="s">
        <v>11</v>
      </c>
      <c r="H400" s="36">
        <f>'Process (1)'!I49</f>
        <v>7.48</v>
      </c>
      <c r="I400" s="5" t="s">
        <v>0</v>
      </c>
    </row>
    <row r="401" spans="1:9" ht="18.75" customHeight="1" x14ac:dyDescent="0.25">
      <c r="A401" s="35"/>
      <c r="B401" s="8" t="s">
        <v>126</v>
      </c>
      <c r="G401" s="7" t="s">
        <v>127</v>
      </c>
      <c r="H401" s="36">
        <f>'Process (1)'!I50</f>
        <v>10.319999999999999</v>
      </c>
      <c r="I401" s="5" t="s">
        <v>128</v>
      </c>
    </row>
    <row r="402" spans="1:9" ht="18.75" customHeight="1" x14ac:dyDescent="0.25">
      <c r="A402" s="35"/>
      <c r="B402" s="8" t="s">
        <v>117</v>
      </c>
      <c r="G402" s="51" t="s">
        <v>130</v>
      </c>
      <c r="H402" s="42">
        <f>'Process (1)'!I51</f>
        <v>3.8793705055948848</v>
      </c>
      <c r="I402" s="5" t="s">
        <v>118</v>
      </c>
    </row>
    <row r="403" spans="1:9" ht="18.75" customHeight="1" x14ac:dyDescent="0.25">
      <c r="A403" s="35"/>
      <c r="B403" s="8" t="s">
        <v>119</v>
      </c>
      <c r="G403" s="51" t="s">
        <v>132</v>
      </c>
      <c r="H403" s="42">
        <f>'Process (1)'!I52</f>
        <v>29.01769138184974</v>
      </c>
      <c r="I403" s="5" t="s">
        <v>120</v>
      </c>
    </row>
    <row r="404" spans="1:9" ht="18.75" customHeight="1" x14ac:dyDescent="0.25">
      <c r="A404" s="35"/>
      <c r="B404" s="8" t="s">
        <v>121</v>
      </c>
      <c r="G404" s="51" t="s">
        <v>133</v>
      </c>
      <c r="H404" s="42">
        <f>'Process (1)'!I53</f>
        <v>3.74</v>
      </c>
      <c r="I404" s="5" t="s">
        <v>0</v>
      </c>
    </row>
    <row r="405" spans="1:9" ht="18.75" customHeight="1" x14ac:dyDescent="0.25">
      <c r="A405" s="35"/>
      <c r="B405" s="8" t="s">
        <v>122</v>
      </c>
      <c r="G405" s="49" t="s">
        <v>123</v>
      </c>
      <c r="H405" s="42">
        <f>'Process (1)'!I54</f>
        <v>108.52616576811803</v>
      </c>
      <c r="I405" s="5" t="s">
        <v>124</v>
      </c>
    </row>
    <row r="406" spans="1:9" ht="18.75" customHeight="1" x14ac:dyDescent="0.25">
      <c r="A406" s="35"/>
    </row>
    <row r="407" spans="1:9" ht="18.75" customHeight="1" x14ac:dyDescent="0.25">
      <c r="A407" s="35"/>
      <c r="B407" s="9" t="s">
        <v>134</v>
      </c>
      <c r="G407" s="7"/>
      <c r="H407" s="35"/>
      <c r="I407" s="5"/>
    </row>
    <row r="408" spans="1:9" ht="18.75" customHeight="1" x14ac:dyDescent="0.25">
      <c r="A408" s="35"/>
      <c r="B408" s="8" t="s">
        <v>129</v>
      </c>
      <c r="G408" s="7" t="s">
        <v>11</v>
      </c>
      <c r="H408" s="36">
        <f>'Process (1)'!I57</f>
        <v>7.48</v>
      </c>
      <c r="I408" s="5" t="s">
        <v>0</v>
      </c>
    </row>
    <row r="409" spans="1:9" ht="18.75" customHeight="1" x14ac:dyDescent="0.25">
      <c r="A409" s="35"/>
      <c r="B409" s="8" t="s">
        <v>135</v>
      </c>
      <c r="G409" s="51" t="s">
        <v>139</v>
      </c>
      <c r="H409" s="42">
        <f>'Process (1)'!I58</f>
        <v>48.362818969749576</v>
      </c>
      <c r="I409" s="5" t="s">
        <v>118</v>
      </c>
    </row>
    <row r="410" spans="1:9" ht="18.75" customHeight="1" x14ac:dyDescent="0.25">
      <c r="A410" s="35"/>
      <c r="B410" s="8" t="s">
        <v>136</v>
      </c>
      <c r="G410" s="51" t="s">
        <v>140</v>
      </c>
      <c r="H410" s="42">
        <f>'Process (1)'!I59</f>
        <v>180.87694294686344</v>
      </c>
      <c r="I410" s="5" t="s">
        <v>120</v>
      </c>
    </row>
    <row r="411" spans="1:9" ht="18.75" customHeight="1" x14ac:dyDescent="0.25">
      <c r="A411" s="35"/>
      <c r="B411" s="8" t="s">
        <v>137</v>
      </c>
      <c r="G411" s="51" t="s">
        <v>141</v>
      </c>
      <c r="H411" s="42">
        <f>'Process (1)'!I60</f>
        <v>2.4933333333333332</v>
      </c>
      <c r="I411" s="5" t="s">
        <v>0</v>
      </c>
    </row>
    <row r="412" spans="1:9" ht="18.75" customHeight="1" x14ac:dyDescent="0.25">
      <c r="A412" s="35"/>
      <c r="B412" s="8" t="s">
        <v>138</v>
      </c>
      <c r="G412" s="51" t="s">
        <v>142</v>
      </c>
      <c r="H412" s="42">
        <f>'Process (1)'!I61</f>
        <v>450.98651108084613</v>
      </c>
      <c r="I412" s="5" t="s">
        <v>124</v>
      </c>
    </row>
    <row r="413" spans="1:9" ht="18.75" customHeight="1" x14ac:dyDescent="0.25">
      <c r="A413" s="35"/>
    </row>
    <row r="414" spans="1:9" ht="18.75" customHeight="1" x14ac:dyDescent="0.25">
      <c r="A414" s="35"/>
    </row>
    <row r="415" spans="1:9" ht="18.75" customHeight="1" x14ac:dyDescent="0.25">
      <c r="A415" s="35"/>
      <c r="B415" s="9" t="s">
        <v>144</v>
      </c>
    </row>
    <row r="416" spans="1:9" ht="18.75" customHeight="1" x14ac:dyDescent="0.25">
      <c r="A416" s="35"/>
      <c r="B416" s="1" t="s">
        <v>169</v>
      </c>
      <c r="G416" s="7" t="s">
        <v>146</v>
      </c>
      <c r="H416" s="42">
        <f>'Process (1)'!I64</f>
        <v>3421.2825395580248</v>
      </c>
      <c r="I416" s="5" t="s">
        <v>115</v>
      </c>
    </row>
    <row r="417" spans="1:9" ht="18.75" customHeight="1" x14ac:dyDescent="0.25">
      <c r="A417" s="35"/>
      <c r="B417" s="1" t="s">
        <v>170</v>
      </c>
      <c r="G417" s="7" t="s">
        <v>147</v>
      </c>
      <c r="H417" s="42">
        <f>'Process (1)'!I65</f>
        <v>9120.0566326381158</v>
      </c>
      <c r="I417" s="5" t="s">
        <v>145</v>
      </c>
    </row>
    <row r="418" spans="1:9" ht="18.75" customHeight="1" x14ac:dyDescent="0.25">
      <c r="A418" s="35"/>
    </row>
    <row r="419" spans="1:9" ht="18.75" customHeight="1" x14ac:dyDescent="0.25">
      <c r="A419" s="35"/>
    </row>
    <row r="420" spans="1:9" ht="18.75" customHeight="1" x14ac:dyDescent="0.25">
      <c r="A420" s="359" t="s">
        <v>148</v>
      </c>
      <c r="B420" s="360" t="s">
        <v>149</v>
      </c>
      <c r="C420" s="129"/>
      <c r="D420" s="129"/>
      <c r="E420" s="129"/>
      <c r="F420" s="129"/>
      <c r="G420" s="129"/>
      <c r="H420" s="129"/>
      <c r="I420" s="129"/>
    </row>
    <row r="421" spans="1:9" ht="18.75" customHeight="1" x14ac:dyDescent="0.25">
      <c r="A421" s="35"/>
    </row>
    <row r="422" spans="1:9" ht="18.75" customHeight="1" x14ac:dyDescent="0.25">
      <c r="A422" s="35"/>
    </row>
    <row r="423" spans="1:9" ht="18.75" customHeight="1" x14ac:dyDescent="0.25">
      <c r="A423" s="35"/>
    </row>
    <row r="424" spans="1:9" ht="18.75" customHeight="1" x14ac:dyDescent="0.25">
      <c r="A424" s="35"/>
    </row>
    <row r="425" spans="1:9" ht="18.75" customHeight="1" x14ac:dyDescent="0.25">
      <c r="A425" s="35"/>
    </row>
    <row r="426" spans="1:9" ht="18.75" customHeight="1" x14ac:dyDescent="0.25">
      <c r="A426" s="35"/>
    </row>
    <row r="427" spans="1:9" ht="18.75" customHeight="1" x14ac:dyDescent="0.25">
      <c r="A427" s="35"/>
    </row>
    <row r="428" spans="1:9" ht="18.75" customHeight="1" x14ac:dyDescent="0.25">
      <c r="A428" s="35"/>
    </row>
    <row r="429" spans="1:9" ht="18.75" customHeight="1" x14ac:dyDescent="0.25">
      <c r="A429" s="35"/>
    </row>
    <row r="430" spans="1:9" ht="18.75" customHeight="1" x14ac:dyDescent="0.25">
      <c r="A430" s="35"/>
    </row>
    <row r="431" spans="1:9" ht="18.75" customHeight="1" x14ac:dyDescent="0.25">
      <c r="A431" s="35"/>
    </row>
    <row r="432" spans="1:9" ht="18.75" customHeight="1" x14ac:dyDescent="0.25">
      <c r="A432" s="35"/>
    </row>
    <row r="433" spans="1:9" ht="18.75" customHeight="1" x14ac:dyDescent="0.25">
      <c r="A433" s="35"/>
    </row>
    <row r="434" spans="1:9" ht="18.75" customHeight="1" x14ac:dyDescent="0.25">
      <c r="A434" s="35"/>
      <c r="B434" s="8" t="s">
        <v>150</v>
      </c>
      <c r="G434" s="7" t="s">
        <v>151</v>
      </c>
      <c r="H434" s="52">
        <f>'Process (1)'!I83</f>
        <v>0.3</v>
      </c>
      <c r="I434" s="5" t="s">
        <v>152</v>
      </c>
    </row>
    <row r="435" spans="1:9" ht="18.75" customHeight="1" x14ac:dyDescent="0.25">
      <c r="A435" s="35"/>
      <c r="B435" s="8" t="s">
        <v>153</v>
      </c>
      <c r="G435" s="7" t="s">
        <v>154</v>
      </c>
      <c r="H435" s="52">
        <f>'Process (1)'!I84</f>
        <v>1.2</v>
      </c>
      <c r="I435" s="5"/>
    </row>
    <row r="436" spans="1:9" ht="18.75" customHeight="1" x14ac:dyDescent="0.25">
      <c r="A436" s="35"/>
      <c r="B436" s="8" t="s">
        <v>155</v>
      </c>
      <c r="G436" s="7" t="s">
        <v>156</v>
      </c>
      <c r="H436" s="52">
        <f>'Process (1)'!I85</f>
        <v>0.36</v>
      </c>
      <c r="I436" s="5" t="s">
        <v>152</v>
      </c>
    </row>
    <row r="437" spans="1:9" ht="18.75" customHeight="1" x14ac:dyDescent="0.25">
      <c r="A437" s="35"/>
      <c r="B437" s="8" t="s">
        <v>157</v>
      </c>
      <c r="G437" s="7" t="s">
        <v>158</v>
      </c>
      <c r="H437" s="52">
        <f>'Process (1)'!I86</f>
        <v>0.18</v>
      </c>
      <c r="I437" s="5" t="s">
        <v>152</v>
      </c>
    </row>
    <row r="438" spans="1:9" ht="18.75" customHeight="1" x14ac:dyDescent="0.25">
      <c r="A438" s="35"/>
      <c r="B438" s="8"/>
      <c r="G438" s="49" t="s">
        <v>159</v>
      </c>
      <c r="H438" s="4">
        <f>'Process (1)'!I87</f>
        <v>10.203973721731684</v>
      </c>
      <c r="I438" s="15" t="s">
        <v>100</v>
      </c>
    </row>
    <row r="439" spans="1:9" ht="18.75" customHeight="1" x14ac:dyDescent="0.25">
      <c r="A439" s="35"/>
      <c r="B439" s="8" t="s">
        <v>160</v>
      </c>
      <c r="G439" s="7"/>
      <c r="H439" s="35"/>
      <c r="I439" s="5"/>
    </row>
    <row r="440" spans="1:9" ht="18.75" customHeight="1" x14ac:dyDescent="0.25">
      <c r="A440" s="35"/>
      <c r="B440" s="8"/>
      <c r="G440" s="7" t="s">
        <v>161</v>
      </c>
      <c r="H440" s="4">
        <f>'Process (1)'!I89</f>
        <v>0.50821855546797046</v>
      </c>
      <c r="I440" s="5"/>
    </row>
    <row r="441" spans="1:9" ht="18.75" customHeight="1" x14ac:dyDescent="0.25">
      <c r="A441" s="35"/>
      <c r="B441" s="8" t="s">
        <v>162</v>
      </c>
      <c r="G441" s="50" t="s">
        <v>163</v>
      </c>
      <c r="H441" s="4">
        <f>'Process (1)'!I90</f>
        <v>0.13231056073978387</v>
      </c>
      <c r="I441" s="5"/>
    </row>
    <row r="442" spans="1:9" ht="18.75" customHeight="1" x14ac:dyDescent="0.25">
      <c r="A442" s="35"/>
      <c r="B442" s="8" t="s">
        <v>164</v>
      </c>
      <c r="G442" s="7" t="s">
        <v>165</v>
      </c>
      <c r="H442" s="4">
        <f>'Process (1)'!I91</f>
        <v>17.022547502537634</v>
      </c>
      <c r="I442" s="5" t="s">
        <v>168</v>
      </c>
    </row>
    <row r="443" spans="1:9" ht="18.75" customHeight="1" x14ac:dyDescent="0.25">
      <c r="A443" s="35"/>
      <c r="B443" s="1" t="s">
        <v>169</v>
      </c>
      <c r="G443" s="7" t="s">
        <v>171</v>
      </c>
      <c r="H443" s="42">
        <f>'Process (1)'!I92</f>
        <v>1037.7285408496994</v>
      </c>
      <c r="I443" s="5" t="s">
        <v>115</v>
      </c>
    </row>
    <row r="444" spans="1:9" ht="18.75" customHeight="1" x14ac:dyDescent="0.25">
      <c r="A444" s="35"/>
      <c r="B444" s="1" t="s">
        <v>170</v>
      </c>
      <c r="G444" s="7" t="s">
        <v>174</v>
      </c>
      <c r="H444" s="42">
        <f>'Process (1)'!I93</f>
        <v>5174.806323703835</v>
      </c>
      <c r="I444" s="5" t="s">
        <v>145</v>
      </c>
    </row>
    <row r="446" spans="1:9" ht="18.75" customHeight="1" x14ac:dyDescent="0.25">
      <c r="A446" s="359" t="s">
        <v>175</v>
      </c>
      <c r="B446" s="360" t="s">
        <v>176</v>
      </c>
      <c r="C446" s="129"/>
      <c r="D446" s="129"/>
      <c r="E446" s="129"/>
      <c r="F446" s="129"/>
      <c r="G446" s="129"/>
      <c r="H446" s="129"/>
      <c r="I446" s="129"/>
    </row>
    <row r="447" spans="1:9" ht="19.5" customHeight="1" x14ac:dyDescent="0.25">
      <c r="A447" s="514"/>
      <c r="B447" s="9" t="s">
        <v>1098</v>
      </c>
    </row>
    <row r="448" spans="1:9" ht="19.5" customHeight="1" x14ac:dyDescent="0.25">
      <c r="A448" s="514"/>
      <c r="B448" s="8" t="s">
        <v>1024</v>
      </c>
      <c r="G448" s="7" t="s">
        <v>1026</v>
      </c>
      <c r="H448" s="6">
        <f>'Process (1)'!I116</f>
        <v>30</v>
      </c>
      <c r="I448" s="5" t="s">
        <v>7</v>
      </c>
    </row>
    <row r="449" spans="1:22" ht="19.5" customHeight="1" x14ac:dyDescent="0.25">
      <c r="A449" s="514"/>
      <c r="B449" s="1" t="s">
        <v>1025</v>
      </c>
      <c r="G449" s="7" t="s">
        <v>1027</v>
      </c>
      <c r="H449" s="6">
        <f>'Process (1)'!I117</f>
        <v>25742.960202742808</v>
      </c>
      <c r="I449" s="5" t="s">
        <v>7</v>
      </c>
    </row>
    <row r="450" spans="1:22" ht="19.5" customHeight="1" x14ac:dyDescent="0.25">
      <c r="A450" s="514"/>
      <c r="B450" s="1" t="s">
        <v>1036</v>
      </c>
      <c r="G450" s="7" t="s">
        <v>1037</v>
      </c>
      <c r="H450" s="112">
        <f>'Process (1)'!I118</f>
        <v>3730.0000000000009</v>
      </c>
      <c r="I450" s="5" t="s">
        <v>49</v>
      </c>
    </row>
    <row r="451" spans="1:22" ht="19.5" customHeight="1" x14ac:dyDescent="0.25">
      <c r="A451" s="514"/>
      <c r="B451" s="1" t="s">
        <v>58</v>
      </c>
      <c r="G451" s="7" t="s">
        <v>2</v>
      </c>
      <c r="H451" s="6">
        <f>'Process (1)'!I119</f>
        <v>17.3</v>
      </c>
      <c r="I451" s="5" t="s">
        <v>0</v>
      </c>
      <c r="O451" s="445"/>
      <c r="P451" s="445"/>
      <c r="Q451" s="445"/>
      <c r="R451" s="445"/>
      <c r="S451" s="473"/>
      <c r="T451" s="474"/>
      <c r="U451" s="473"/>
      <c r="V451" s="474"/>
    </row>
    <row r="452" spans="1:22" ht="19.5" customHeight="1" x14ac:dyDescent="0.25">
      <c r="A452" s="514"/>
      <c r="B452" s="1" t="s">
        <v>1029</v>
      </c>
      <c r="G452" s="7" t="s">
        <v>1038</v>
      </c>
      <c r="H452" s="517">
        <f>'Process (1)'!I120</f>
        <v>1441666666666.6667</v>
      </c>
      <c r="I452" s="5" t="s">
        <v>1030</v>
      </c>
      <c r="O452" s="272"/>
      <c r="P452" s="404"/>
      <c r="Q452" s="404"/>
      <c r="R452" s="272"/>
      <c r="S452" s="272"/>
      <c r="T452" s="283"/>
      <c r="U452" s="283"/>
      <c r="V452" s="283"/>
    </row>
    <row r="453" spans="1:22" ht="19.5" customHeight="1" x14ac:dyDescent="0.25">
      <c r="A453" s="514"/>
      <c r="B453" s="1" t="s">
        <v>1032</v>
      </c>
      <c r="G453" s="7" t="s">
        <v>1039</v>
      </c>
      <c r="H453" s="538">
        <f>'Process (1)'!I121</f>
        <v>1009166666666.6666</v>
      </c>
      <c r="I453" s="5" t="s">
        <v>1031</v>
      </c>
      <c r="O453" s="272"/>
      <c r="P453" s="404"/>
      <c r="Q453" s="404"/>
      <c r="R453" s="272"/>
      <c r="S453" s="272"/>
      <c r="T453" s="283"/>
      <c r="U453" s="283"/>
      <c r="V453" s="283"/>
    </row>
    <row r="454" spans="1:22" ht="19.5" customHeight="1" x14ac:dyDescent="0.25">
      <c r="A454" s="514"/>
      <c r="B454" s="1" t="s">
        <v>1033</v>
      </c>
      <c r="G454" s="7" t="s">
        <v>368</v>
      </c>
      <c r="H454" s="541">
        <f>'Process (1)'!I122</f>
        <v>1</v>
      </c>
      <c r="I454" s="5"/>
      <c r="O454" s="272"/>
      <c r="P454" s="404"/>
      <c r="Q454" s="404"/>
      <c r="R454" s="272"/>
      <c r="S454" s="272"/>
      <c r="T454" s="283"/>
      <c r="U454" s="283"/>
      <c r="V454" s="283"/>
    </row>
    <row r="455" spans="1:22" ht="19.5" customHeight="1" x14ac:dyDescent="0.25">
      <c r="A455" s="514"/>
      <c r="B455" s="1" t="s">
        <v>1034</v>
      </c>
      <c r="O455" s="272"/>
      <c r="P455" s="404"/>
      <c r="Q455" s="404"/>
      <c r="R455" s="272"/>
      <c r="S455" s="272"/>
      <c r="T455" s="283"/>
      <c r="U455" s="283"/>
      <c r="V455" s="283"/>
    </row>
    <row r="456" spans="1:22" ht="19.5" customHeight="1" x14ac:dyDescent="0.25">
      <c r="A456" s="514"/>
      <c r="G456" s="7" t="s">
        <v>1035</v>
      </c>
      <c r="H456" s="538">
        <f>'Process (1)'!I124</f>
        <v>6.9098755271721592E-7</v>
      </c>
      <c r="I456" s="5" t="s">
        <v>1040</v>
      </c>
      <c r="O456" s="272"/>
      <c r="P456" s="404"/>
      <c r="Q456" s="404"/>
      <c r="R456" s="272"/>
      <c r="S456" s="272"/>
      <c r="T456" s="283"/>
      <c r="U456" s="283"/>
      <c r="V456" s="283"/>
    </row>
    <row r="457" spans="1:22" ht="19.5" customHeight="1" x14ac:dyDescent="0.25">
      <c r="A457" s="514"/>
      <c r="B457" s="1" t="s">
        <v>1041</v>
      </c>
      <c r="G457" s="7" t="s">
        <v>1042</v>
      </c>
      <c r="H457" s="539">
        <f>'Process (1)'!I125</f>
        <v>1447204.0720091613</v>
      </c>
      <c r="I457" s="5" t="s">
        <v>120</v>
      </c>
      <c r="O457" s="272"/>
      <c r="P457" s="404"/>
      <c r="Q457" s="404"/>
      <c r="R457" s="272"/>
      <c r="S457" s="272"/>
      <c r="T457" s="283"/>
      <c r="U457" s="283"/>
      <c r="V457" s="283"/>
    </row>
    <row r="458" spans="1:22" ht="19.5" customHeight="1" x14ac:dyDescent="0.25">
      <c r="A458" s="514"/>
      <c r="B458" s="1" t="s">
        <v>1028</v>
      </c>
      <c r="G458" s="7" t="s">
        <v>1099</v>
      </c>
      <c r="H458" s="6">
        <f>'Process (1)'!I126</f>
        <v>1</v>
      </c>
      <c r="I458" s="5" t="s">
        <v>120</v>
      </c>
      <c r="O458" s="272"/>
      <c r="P458" s="404"/>
      <c r="Q458" s="404"/>
      <c r="R458" s="272"/>
      <c r="S458" s="272"/>
      <c r="T458" s="283"/>
      <c r="U458" s="283"/>
      <c r="V458" s="283"/>
    </row>
    <row r="459" spans="1:22" ht="19.5" customHeight="1" x14ac:dyDescent="0.25">
      <c r="A459" s="514"/>
      <c r="B459" s="1" t="s">
        <v>1043</v>
      </c>
      <c r="G459" s="7" t="s">
        <v>1100</v>
      </c>
      <c r="H459" s="4">
        <f>'Process (1)'!I127</f>
        <v>1.1954084662007838E-2</v>
      </c>
      <c r="I459" s="5" t="s">
        <v>49</v>
      </c>
      <c r="O459" s="272"/>
      <c r="P459" s="404"/>
      <c r="Q459" s="404"/>
      <c r="R459" s="272"/>
      <c r="S459" s="272"/>
      <c r="T459" s="283"/>
      <c r="U459" s="283"/>
      <c r="V459" s="283"/>
    </row>
    <row r="460" spans="1:22" ht="19.5" customHeight="1" x14ac:dyDescent="0.25">
      <c r="A460" s="514"/>
      <c r="B460" s="1" t="s">
        <v>1044</v>
      </c>
      <c r="G460" s="7" t="s">
        <v>1101</v>
      </c>
      <c r="H460" s="4">
        <f>'Process (1)'!I128</f>
        <v>271.72450867052021</v>
      </c>
      <c r="I460" s="5" t="s">
        <v>120</v>
      </c>
      <c r="O460" s="272"/>
      <c r="P460" s="404"/>
      <c r="Q460" s="404"/>
      <c r="R460" s="272"/>
      <c r="S460" s="272"/>
      <c r="T460" s="283"/>
      <c r="U460" s="283"/>
      <c r="V460" s="283"/>
    </row>
    <row r="461" spans="1:22" ht="19.5" customHeight="1" x14ac:dyDescent="0.25">
      <c r="A461" s="514"/>
      <c r="I461" s="5"/>
      <c r="O461" s="272"/>
      <c r="P461" s="404"/>
      <c r="Q461" s="404"/>
      <c r="R461" s="272"/>
      <c r="S461" s="272"/>
      <c r="T461" s="283"/>
      <c r="U461" s="283"/>
      <c r="V461" s="283"/>
    </row>
    <row r="462" spans="1:22" ht="19.5" customHeight="1" x14ac:dyDescent="0.25">
      <c r="A462" s="514"/>
      <c r="B462" s="1" t="s">
        <v>1045</v>
      </c>
      <c r="G462" s="520" t="s">
        <v>1102</v>
      </c>
      <c r="H462" s="540">
        <f>'Process (1)'!I130</f>
        <v>2.0680566465273558E-4</v>
      </c>
      <c r="I462" s="5" t="s">
        <v>1046</v>
      </c>
      <c r="O462" s="272"/>
      <c r="P462" s="404"/>
      <c r="Q462" s="404"/>
      <c r="R462" s="272"/>
      <c r="S462" s="272"/>
      <c r="T462" s="283"/>
      <c r="U462" s="283"/>
      <c r="V462" s="283"/>
    </row>
    <row r="463" spans="1:22" ht="19.5" customHeight="1" x14ac:dyDescent="0.25">
      <c r="A463" s="514"/>
      <c r="B463" s="1" t="s">
        <v>1047</v>
      </c>
      <c r="G463" s="520" t="s">
        <v>1103</v>
      </c>
      <c r="H463" s="540">
        <f>'Process (1)'!I131</f>
        <v>5.6194167618044945E-2</v>
      </c>
      <c r="I463" s="5" t="s">
        <v>145</v>
      </c>
      <c r="O463" s="272"/>
      <c r="P463" s="404"/>
      <c r="Q463" s="404"/>
      <c r="R463" s="272"/>
      <c r="S463" s="272"/>
      <c r="T463" s="283"/>
      <c r="U463" s="283"/>
      <c r="V463" s="283"/>
    </row>
    <row r="464" spans="1:22" ht="19.5" customHeight="1" x14ac:dyDescent="0.25">
      <c r="A464" s="514"/>
      <c r="B464" s="1" t="s">
        <v>1048</v>
      </c>
      <c r="G464" s="520" t="s">
        <v>1104</v>
      </c>
      <c r="H464" s="542">
        <f>'Process (1)'!I132</f>
        <v>6.7174983721716856E-7</v>
      </c>
      <c r="I464" s="5" t="s">
        <v>1049</v>
      </c>
      <c r="O464" s="272"/>
      <c r="P464" s="404"/>
      <c r="Q464" s="404"/>
      <c r="R464" s="272"/>
      <c r="S464" s="272"/>
      <c r="T464" s="283"/>
      <c r="U464" s="283"/>
      <c r="V464" s="283"/>
    </row>
    <row r="465" spans="1:22" ht="19.5" customHeight="1" x14ac:dyDescent="0.25">
      <c r="A465" s="514"/>
      <c r="O465" s="272"/>
      <c r="P465" s="404"/>
      <c r="Q465" s="404"/>
      <c r="R465" s="272"/>
      <c r="S465" s="272"/>
      <c r="T465" s="283"/>
      <c r="U465" s="283"/>
      <c r="V465" s="283"/>
    </row>
    <row r="466" spans="1:22" ht="19.5" customHeight="1" x14ac:dyDescent="0.25">
      <c r="A466" s="514"/>
      <c r="B466" s="1" t="s">
        <v>1050</v>
      </c>
      <c r="O466" s="272"/>
      <c r="P466" s="404"/>
      <c r="Q466" s="404"/>
      <c r="R466" s="272"/>
      <c r="S466" s="272"/>
      <c r="T466" s="283"/>
      <c r="U466" s="283"/>
      <c r="V466" s="283"/>
    </row>
    <row r="467" spans="1:22" ht="19.5" customHeight="1" x14ac:dyDescent="0.25">
      <c r="A467" s="514"/>
      <c r="G467" s="7" t="s">
        <v>1051</v>
      </c>
      <c r="H467" s="4">
        <f>'Process (1)'!I135</f>
        <v>0.11433203521147195</v>
      </c>
      <c r="I467" s="1" t="s">
        <v>1052</v>
      </c>
      <c r="O467" s="272"/>
      <c r="P467" s="404"/>
      <c r="Q467" s="404"/>
      <c r="R467" s="272"/>
      <c r="S467" s="272"/>
      <c r="T467" s="283"/>
      <c r="U467" s="283"/>
      <c r="V467" s="283"/>
    </row>
    <row r="468" spans="1:22" ht="19.5" customHeight="1" x14ac:dyDescent="0.25">
      <c r="A468" s="514"/>
      <c r="B468" s="1" t="s">
        <v>1106</v>
      </c>
      <c r="G468" s="7" t="s">
        <v>1122</v>
      </c>
      <c r="H468" s="4">
        <f>'Process (1)'!I136</f>
        <v>0.79199999999999993</v>
      </c>
      <c r="I468" s="1" t="s">
        <v>152</v>
      </c>
      <c r="O468" s="272"/>
      <c r="P468" s="404"/>
      <c r="Q468" s="404"/>
      <c r="R468" s="272"/>
      <c r="S468" s="272"/>
      <c r="T468" s="283"/>
      <c r="U468" s="283"/>
      <c r="V468" s="283"/>
    </row>
    <row r="469" spans="1:22" ht="19.5" customHeight="1" x14ac:dyDescent="0.25">
      <c r="A469" s="514"/>
      <c r="B469" s="1" t="s">
        <v>1107</v>
      </c>
      <c r="G469" s="7" t="s">
        <v>1123</v>
      </c>
      <c r="H469" s="4">
        <f>'Process (1)'!I137</f>
        <v>215.20581086705198</v>
      </c>
      <c r="I469" s="1" t="s">
        <v>120</v>
      </c>
      <c r="O469" s="272"/>
      <c r="P469" s="404"/>
      <c r="Q469" s="404"/>
      <c r="R469" s="272"/>
      <c r="S469" s="272"/>
      <c r="T469" s="283"/>
      <c r="U469" s="283"/>
      <c r="V469" s="283"/>
    </row>
    <row r="470" spans="1:22" ht="19.5" customHeight="1" x14ac:dyDescent="0.25">
      <c r="A470" s="514"/>
      <c r="B470" s="1" t="s">
        <v>1108</v>
      </c>
      <c r="G470" s="7" t="s">
        <v>181</v>
      </c>
      <c r="H470" s="4">
        <f>'Process (1)'!I138</f>
        <v>1.5</v>
      </c>
      <c r="O470" s="272"/>
      <c r="P470" s="404"/>
      <c r="Q470" s="404"/>
      <c r="R470" s="272"/>
      <c r="S470" s="272"/>
      <c r="T470" s="283"/>
      <c r="U470" s="283"/>
      <c r="V470" s="283"/>
    </row>
    <row r="471" spans="1:22" ht="19.5" customHeight="1" x14ac:dyDescent="0.25">
      <c r="A471" s="514"/>
      <c r="B471" s="1" t="s">
        <v>1109</v>
      </c>
      <c r="G471" s="7" t="s">
        <v>1124</v>
      </c>
      <c r="H471" s="4">
        <f>'Process (1)'!I139</f>
        <v>2482.0403519999995</v>
      </c>
      <c r="I471" s="1" t="s">
        <v>115</v>
      </c>
      <c r="O471" s="272"/>
      <c r="P471" s="404"/>
      <c r="Q471" s="404"/>
      <c r="R471" s="272"/>
      <c r="S471" s="272"/>
      <c r="T471" s="283"/>
      <c r="U471" s="283"/>
      <c r="V471" s="283"/>
    </row>
    <row r="472" spans="1:22" ht="19.5" customHeight="1" x14ac:dyDescent="0.25">
      <c r="A472" s="514"/>
      <c r="G472" s="7"/>
      <c r="H472" s="519"/>
      <c r="O472" s="272"/>
      <c r="P472" s="404"/>
      <c r="Q472" s="404"/>
      <c r="R472" s="272"/>
      <c r="S472" s="272"/>
      <c r="T472" s="283"/>
      <c r="U472" s="283"/>
      <c r="V472" s="283"/>
    </row>
    <row r="473" spans="1:22" ht="19.5" customHeight="1" x14ac:dyDescent="0.25">
      <c r="A473" s="514"/>
      <c r="B473" s="9" t="s">
        <v>1110</v>
      </c>
      <c r="G473" s="7"/>
      <c r="H473" s="519"/>
      <c r="O473" s="272"/>
      <c r="P473" s="404"/>
      <c r="Q473" s="404"/>
      <c r="R473" s="272"/>
      <c r="S473" s="272"/>
      <c r="T473" s="283"/>
      <c r="U473" s="283"/>
      <c r="V473" s="283"/>
    </row>
    <row r="474" spans="1:22" ht="19.5" customHeight="1" x14ac:dyDescent="0.25">
      <c r="A474" s="514"/>
      <c r="B474" s="1" t="s">
        <v>1029</v>
      </c>
      <c r="G474" s="7" t="s">
        <v>1111</v>
      </c>
      <c r="H474" s="517">
        <f>'Process (1)'!I142</f>
        <v>431476416666666.69</v>
      </c>
      <c r="I474" s="5" t="s">
        <v>1030</v>
      </c>
      <c r="O474" s="272"/>
      <c r="P474" s="404"/>
      <c r="Q474" s="404"/>
      <c r="R474" s="272"/>
      <c r="S474" s="272"/>
      <c r="T474" s="283"/>
      <c r="U474" s="283"/>
      <c r="V474" s="283"/>
    </row>
    <row r="475" spans="1:22" ht="19.5" customHeight="1" x14ac:dyDescent="0.25">
      <c r="A475" s="514"/>
      <c r="B475" s="1" t="s">
        <v>1032</v>
      </c>
      <c r="G475" s="7" t="s">
        <v>1039</v>
      </c>
      <c r="H475" s="538">
        <f>'Process (1)'!I143</f>
        <v>302033491666666.69</v>
      </c>
      <c r="I475" s="5" t="s">
        <v>1031</v>
      </c>
      <c r="O475" s="272"/>
      <c r="P475" s="404"/>
      <c r="Q475" s="404"/>
      <c r="R475" s="272"/>
      <c r="S475" s="272"/>
      <c r="T475" s="283"/>
      <c r="U475" s="283"/>
      <c r="V475" s="283"/>
    </row>
    <row r="476" spans="1:22" ht="19.5" customHeight="1" x14ac:dyDescent="0.25">
      <c r="A476" s="514"/>
      <c r="B476" s="1" t="s">
        <v>1033</v>
      </c>
      <c r="G476" s="7" t="s">
        <v>368</v>
      </c>
      <c r="H476" s="541">
        <f>'Process (1)'!I144</f>
        <v>1</v>
      </c>
      <c r="I476" s="5"/>
      <c r="O476" s="272"/>
      <c r="P476" s="404"/>
      <c r="Q476" s="404"/>
      <c r="R476" s="272"/>
      <c r="S476" s="272"/>
      <c r="T476" s="283"/>
      <c r="U476" s="283"/>
      <c r="V476" s="283"/>
    </row>
    <row r="477" spans="1:22" ht="19.5" customHeight="1" x14ac:dyDescent="0.25">
      <c r="A477" s="514"/>
      <c r="B477" s="1" t="s">
        <v>1112</v>
      </c>
      <c r="O477" s="272"/>
      <c r="P477" s="404"/>
      <c r="Q477" s="404"/>
      <c r="R477" s="272"/>
      <c r="S477" s="272"/>
      <c r="T477" s="283"/>
      <c r="U477" s="283"/>
      <c r="V477" s="283"/>
    </row>
    <row r="478" spans="1:22" ht="19.5" customHeight="1" x14ac:dyDescent="0.25">
      <c r="A478" s="514"/>
      <c r="G478" s="7" t="s">
        <v>1113</v>
      </c>
      <c r="H478" s="538">
        <f>'Process (1)'!I146</f>
        <v>2.7350927427814667E-8</v>
      </c>
      <c r="I478" s="5" t="s">
        <v>1040</v>
      </c>
      <c r="O478" s="272"/>
      <c r="P478" s="404"/>
      <c r="Q478" s="404"/>
      <c r="R478" s="272"/>
      <c r="S478" s="272"/>
      <c r="T478" s="283"/>
      <c r="U478" s="283"/>
      <c r="V478" s="283"/>
    </row>
    <row r="479" spans="1:22" ht="19.5" customHeight="1" x14ac:dyDescent="0.25">
      <c r="A479" s="514"/>
      <c r="B479" s="1" t="s">
        <v>1115</v>
      </c>
      <c r="G479" s="7" t="s">
        <v>1114</v>
      </c>
      <c r="H479" s="539">
        <f>'Process (1)'!I147</f>
        <v>36561831.500567138</v>
      </c>
      <c r="I479" s="5" t="s">
        <v>120</v>
      </c>
      <c r="O479" s="272"/>
      <c r="P479" s="404"/>
      <c r="Q479" s="404"/>
      <c r="R479" s="272"/>
      <c r="S479" s="272"/>
      <c r="T479" s="283"/>
      <c r="U479" s="283"/>
      <c r="V479" s="283"/>
    </row>
    <row r="480" spans="1:22" ht="19.5" customHeight="1" x14ac:dyDescent="0.25">
      <c r="A480" s="514"/>
      <c r="B480" s="1" t="s">
        <v>1028</v>
      </c>
      <c r="G480" s="7" t="s">
        <v>1099</v>
      </c>
      <c r="H480" s="6">
        <f>'Process (1)'!I148</f>
        <v>1</v>
      </c>
      <c r="I480" s="5" t="s">
        <v>120</v>
      </c>
      <c r="O480" s="272"/>
      <c r="P480" s="404"/>
      <c r="Q480" s="404"/>
      <c r="R480" s="272"/>
      <c r="S480" s="272"/>
      <c r="T480" s="283"/>
      <c r="U480" s="283"/>
      <c r="V480" s="283"/>
    </row>
    <row r="481" spans="1:23" ht="19.5" customHeight="1" x14ac:dyDescent="0.25">
      <c r="A481" s="514"/>
      <c r="B481" s="1" t="s">
        <v>1116</v>
      </c>
      <c r="G481" s="7" t="s">
        <v>1117</v>
      </c>
      <c r="H481" s="517">
        <f>'Process (1)'!I149</f>
        <v>2.7350927427814668E-5</v>
      </c>
      <c r="I481" s="5" t="s">
        <v>49</v>
      </c>
      <c r="O481" s="272"/>
      <c r="P481" s="404"/>
      <c r="Q481" s="404"/>
      <c r="R481" s="272"/>
      <c r="S481" s="272"/>
      <c r="T481" s="283"/>
      <c r="U481" s="283"/>
      <c r="V481" s="283"/>
    </row>
    <row r="482" spans="1:23" ht="19.5" customHeight="1" x14ac:dyDescent="0.25">
      <c r="A482" s="514"/>
      <c r="B482" s="1" t="s">
        <v>1118</v>
      </c>
      <c r="G482" s="7" t="s">
        <v>1119</v>
      </c>
      <c r="H482" s="4">
        <f>'Process (1)'!I150</f>
        <v>4700.8339999999998</v>
      </c>
      <c r="I482" s="5" t="s">
        <v>120</v>
      </c>
      <c r="O482" s="272"/>
      <c r="P482" s="404"/>
      <c r="Q482" s="404"/>
      <c r="R482" s="272"/>
      <c r="S482" s="272"/>
      <c r="T482" s="283"/>
      <c r="U482" s="283"/>
      <c r="V482" s="283"/>
    </row>
    <row r="483" spans="1:23" ht="19.5" customHeight="1" x14ac:dyDescent="0.25">
      <c r="A483" s="514"/>
      <c r="I483" s="5"/>
      <c r="O483" s="272"/>
      <c r="P483" s="404"/>
      <c r="Q483" s="404"/>
      <c r="R483" s="272"/>
      <c r="S483" s="272"/>
      <c r="T483" s="283"/>
      <c r="U483" s="283"/>
      <c r="V483" s="283"/>
    </row>
    <row r="484" spans="1:23" ht="19.5" customHeight="1" x14ac:dyDescent="0.25">
      <c r="A484" s="514"/>
      <c r="B484" s="1" t="s">
        <v>1045</v>
      </c>
      <c r="G484" s="520" t="s">
        <v>1120</v>
      </c>
      <c r="H484" s="517">
        <f>'Process (1)'!I152</f>
        <v>2.7350927427814667E-8</v>
      </c>
      <c r="I484" s="5" t="s">
        <v>1046</v>
      </c>
      <c r="O484" s="272"/>
      <c r="P484" s="404"/>
      <c r="Q484" s="404"/>
      <c r="R484" s="272"/>
      <c r="S484" s="272"/>
      <c r="T484" s="283"/>
      <c r="U484" s="283"/>
      <c r="V484" s="283"/>
    </row>
    <row r="485" spans="1:23" ht="19.5" customHeight="1" x14ac:dyDescent="0.25">
      <c r="A485" s="514"/>
      <c r="B485" s="1" t="s">
        <v>1047</v>
      </c>
      <c r="G485" s="520" t="s">
        <v>1103</v>
      </c>
      <c r="H485" s="517">
        <f>'Process (1)'!I153</f>
        <v>1.2857216958420372E-4</v>
      </c>
      <c r="I485" s="5" t="s">
        <v>145</v>
      </c>
      <c r="O485" s="272"/>
      <c r="P485" s="404"/>
      <c r="Q485" s="404"/>
      <c r="R485" s="272"/>
      <c r="S485" s="272"/>
      <c r="T485" s="283"/>
      <c r="U485" s="283"/>
      <c r="V485" s="283"/>
    </row>
    <row r="486" spans="1:23" ht="19.5" customHeight="1" x14ac:dyDescent="0.25">
      <c r="A486" s="514"/>
      <c r="B486" s="1" t="s">
        <v>1048</v>
      </c>
      <c r="G486" s="520" t="s">
        <v>1104</v>
      </c>
      <c r="H486" s="517">
        <f>'Process (1)'!I154</f>
        <v>3.5165680795342361E-12</v>
      </c>
      <c r="I486" s="5" t="s">
        <v>1049</v>
      </c>
      <c r="O486" s="272"/>
      <c r="P486" s="404"/>
      <c r="Q486" s="404"/>
      <c r="R486" s="272"/>
      <c r="S486" s="272"/>
      <c r="T486" s="283"/>
      <c r="U486" s="283"/>
      <c r="V486" s="283"/>
    </row>
    <row r="487" spans="1:23" ht="19.5" customHeight="1" x14ac:dyDescent="0.25">
      <c r="A487" s="514"/>
      <c r="O487" s="272"/>
      <c r="P487" s="404"/>
      <c r="Q487" s="404"/>
      <c r="R487" s="272"/>
      <c r="S487" s="272"/>
      <c r="T487" s="283"/>
      <c r="U487" s="283"/>
      <c r="V487" s="283"/>
    </row>
    <row r="488" spans="1:23" ht="19.5" customHeight="1" x14ac:dyDescent="0.25">
      <c r="A488" s="514"/>
      <c r="B488" s="1" t="s">
        <v>1050</v>
      </c>
      <c r="O488" s="272"/>
      <c r="P488" s="404"/>
      <c r="Q488" s="404"/>
      <c r="R488" s="272"/>
      <c r="S488" s="272"/>
      <c r="T488" s="283"/>
      <c r="U488" s="283"/>
      <c r="V488" s="283"/>
    </row>
    <row r="489" spans="1:23" ht="19.5" customHeight="1" x14ac:dyDescent="0.25">
      <c r="A489" s="514"/>
      <c r="G489" s="7" t="s">
        <v>1051</v>
      </c>
      <c r="H489" s="4">
        <f>'Process (1)'!I157</f>
        <v>2.2746723623207066E-2</v>
      </c>
      <c r="I489" s="1" t="s">
        <v>1052</v>
      </c>
      <c r="O489" s="272"/>
      <c r="P489" s="404"/>
      <c r="Q489" s="404"/>
      <c r="R489" s="272"/>
      <c r="S489" s="272"/>
      <c r="T489" s="283"/>
      <c r="U489" s="283"/>
      <c r="V489" s="283"/>
    </row>
    <row r="490" spans="1:23" ht="19.5" customHeight="1" x14ac:dyDescent="0.25">
      <c r="A490" s="514"/>
      <c r="B490" s="1" t="s">
        <v>1106</v>
      </c>
      <c r="G490" s="7" t="s">
        <v>1122</v>
      </c>
      <c r="H490" s="4">
        <f>'Process (1)'!I158</f>
        <v>0.47973315395905469</v>
      </c>
      <c r="I490" s="1" t="s">
        <v>152</v>
      </c>
      <c r="O490" s="272"/>
      <c r="P490" s="404"/>
      <c r="Q490" s="404"/>
      <c r="R490" s="272"/>
      <c r="S490" s="272"/>
      <c r="T490" s="283"/>
      <c r="U490" s="283"/>
      <c r="V490" s="283"/>
    </row>
    <row r="491" spans="1:23" ht="19.5" customHeight="1" x14ac:dyDescent="0.25">
      <c r="A491" s="514"/>
      <c r="B491" s="1" t="s">
        <v>1107</v>
      </c>
      <c r="G491" s="7" t="s">
        <v>1125</v>
      </c>
      <c r="H491" s="4">
        <f>'Process (1)'!I159</f>
        <v>2255.1459210579587</v>
      </c>
      <c r="I491" s="1" t="s">
        <v>120</v>
      </c>
      <c r="O491" s="272"/>
      <c r="P491" s="404"/>
      <c r="Q491" s="404"/>
      <c r="R491" s="272"/>
      <c r="S491" s="272"/>
      <c r="T491" s="283"/>
      <c r="U491" s="283"/>
      <c r="V491" s="283"/>
    </row>
    <row r="492" spans="1:23" ht="19.5" customHeight="1" x14ac:dyDescent="0.25">
      <c r="A492" s="514"/>
      <c r="B492" s="1" t="s">
        <v>1108</v>
      </c>
      <c r="G492" s="7" t="s">
        <v>181</v>
      </c>
      <c r="H492" s="4">
        <f>'Process (1)'!I160</f>
        <v>1.5</v>
      </c>
      <c r="O492" s="272"/>
      <c r="P492" s="404"/>
      <c r="Q492" s="404"/>
      <c r="R492" s="272"/>
      <c r="S492" s="272"/>
      <c r="T492" s="283"/>
      <c r="U492" s="283"/>
      <c r="V492" s="283"/>
    </row>
    <row r="493" spans="1:23" ht="19.5" customHeight="1" x14ac:dyDescent="0.25">
      <c r="A493" s="514"/>
      <c r="B493" s="1" t="s">
        <v>1109</v>
      </c>
      <c r="G493" s="7" t="s">
        <v>1126</v>
      </c>
      <c r="H493" s="4">
        <f>'Process (1)'!I161</f>
        <v>1503.4306140386391</v>
      </c>
      <c r="I493" s="1" t="s">
        <v>115</v>
      </c>
      <c r="O493" s="272"/>
      <c r="P493" s="404"/>
      <c r="Q493" s="404"/>
      <c r="R493" s="272"/>
      <c r="S493" s="272"/>
      <c r="T493" s="283"/>
      <c r="U493" s="283"/>
      <c r="V493" s="283"/>
    </row>
    <row r="494" spans="1:23" ht="19.5" customHeight="1" x14ac:dyDescent="0.25">
      <c r="A494" s="514"/>
      <c r="B494" s="9"/>
      <c r="H494" s="7"/>
      <c r="I494" s="519"/>
      <c r="P494" s="272"/>
      <c r="Q494" s="404"/>
      <c r="R494" s="404"/>
      <c r="S494" s="272"/>
      <c r="T494" s="272"/>
      <c r="U494" s="283"/>
      <c r="V494" s="283"/>
      <c r="W494" s="283"/>
    </row>
    <row r="495" spans="1:23" ht="19.5" customHeight="1" x14ac:dyDescent="0.25">
      <c r="A495" s="514"/>
      <c r="H495" s="7"/>
      <c r="I495" s="519"/>
      <c r="P495" s="272"/>
      <c r="Q495" s="404"/>
      <c r="R495" s="404"/>
      <c r="S495" s="272"/>
      <c r="T495" s="272"/>
      <c r="U495" s="283"/>
      <c r="V495" s="283"/>
      <c r="W495" s="283"/>
    </row>
    <row r="496" spans="1:23" ht="19.5" customHeight="1" x14ac:dyDescent="0.25">
      <c r="A496" s="514"/>
      <c r="B496" s="9"/>
      <c r="H496" s="7"/>
      <c r="I496" s="519"/>
      <c r="P496" s="272"/>
      <c r="Q496" s="404"/>
      <c r="R496" s="404"/>
      <c r="S496" s="272"/>
      <c r="T496" s="272"/>
      <c r="U496" s="283"/>
      <c r="V496" s="283"/>
      <c r="W496" s="283"/>
    </row>
    <row r="497" spans="1:23" ht="19.5" customHeight="1" x14ac:dyDescent="0.25">
      <c r="A497" s="514"/>
      <c r="B497" s="9"/>
      <c r="H497" s="7"/>
      <c r="I497" s="519"/>
      <c r="P497" s="272"/>
      <c r="Q497" s="404"/>
      <c r="R497" s="404"/>
      <c r="S497" s="272"/>
      <c r="T497" s="272"/>
      <c r="U497" s="283"/>
      <c r="V497" s="283"/>
      <c r="W497" s="283"/>
    </row>
    <row r="498" spans="1:23" ht="19.5" customHeight="1" x14ac:dyDescent="0.25">
      <c r="A498" s="514"/>
      <c r="B498" s="9"/>
      <c r="H498" s="7"/>
      <c r="I498" s="519"/>
      <c r="P498" s="272"/>
      <c r="Q498" s="404"/>
      <c r="R498" s="404"/>
      <c r="S498" s="272"/>
      <c r="T498" s="272"/>
      <c r="U498" s="283"/>
      <c r="V498" s="283"/>
      <c r="W498" s="283"/>
    </row>
    <row r="499" spans="1:23" ht="19.5" customHeight="1" x14ac:dyDescent="0.25">
      <c r="A499" s="514"/>
      <c r="H499" s="7"/>
      <c r="I499" s="519"/>
      <c r="P499" s="272"/>
      <c r="Q499" s="404"/>
      <c r="R499" s="404"/>
      <c r="S499" s="272"/>
      <c r="T499" s="272"/>
      <c r="U499" s="283"/>
      <c r="V499" s="283"/>
      <c r="W499" s="283"/>
    </row>
    <row r="500" spans="1:23" ht="19.5" customHeight="1" x14ac:dyDescent="0.25">
      <c r="A500" s="514"/>
      <c r="H500" s="7"/>
      <c r="I500" s="519"/>
      <c r="P500" s="272"/>
      <c r="Q500" s="404"/>
      <c r="R500" s="404"/>
      <c r="S500" s="272"/>
      <c r="T500" s="272"/>
      <c r="U500" s="283"/>
      <c r="V500" s="283"/>
      <c r="W500" s="283"/>
    </row>
    <row r="501" spans="1:23" ht="19.5" customHeight="1" x14ac:dyDescent="0.25">
      <c r="A501" s="514"/>
      <c r="H501" s="7"/>
      <c r="I501" s="519"/>
      <c r="P501" s="272"/>
      <c r="Q501" s="404"/>
      <c r="R501" s="404"/>
      <c r="S501" s="272"/>
      <c r="T501" s="272"/>
      <c r="U501" s="283"/>
      <c r="V501" s="283"/>
      <c r="W501" s="283"/>
    </row>
    <row r="502" spans="1:23" ht="19.5" customHeight="1" x14ac:dyDescent="0.25">
      <c r="A502" s="514"/>
      <c r="H502" s="7"/>
      <c r="I502" s="519"/>
      <c r="P502" s="272"/>
      <c r="Q502" s="404"/>
      <c r="R502" s="404"/>
      <c r="S502" s="272"/>
      <c r="T502" s="272"/>
      <c r="U502" s="283"/>
      <c r="V502" s="283"/>
      <c r="W502" s="283"/>
    </row>
    <row r="503" spans="1:23" ht="19.5" customHeight="1" x14ac:dyDescent="0.25">
      <c r="A503" s="514"/>
      <c r="H503" s="7"/>
      <c r="I503" s="519"/>
      <c r="P503" s="272"/>
      <c r="Q503" s="404"/>
      <c r="R503" s="404"/>
      <c r="S503" s="272"/>
      <c r="T503" s="272"/>
      <c r="U503" s="283"/>
      <c r="V503" s="283"/>
      <c r="W503" s="283"/>
    </row>
    <row r="504" spans="1:23" ht="19.5" customHeight="1" x14ac:dyDescent="0.25">
      <c r="A504" s="514"/>
      <c r="H504" s="7"/>
      <c r="I504" s="519"/>
      <c r="P504" s="272"/>
      <c r="Q504" s="404"/>
      <c r="R504" s="404"/>
      <c r="S504" s="272"/>
      <c r="T504" s="272"/>
      <c r="U504" s="283"/>
      <c r="V504" s="283"/>
      <c r="W504" s="283"/>
    </row>
    <row r="505" spans="1:23" ht="19.5" customHeight="1" x14ac:dyDescent="0.25">
      <c r="A505" s="514"/>
      <c r="P505" s="272"/>
      <c r="Q505" s="404"/>
      <c r="R505" s="404"/>
      <c r="S505" s="272"/>
      <c r="T505" s="272"/>
      <c r="U505" s="283"/>
      <c r="V505" s="283"/>
      <c r="W505" s="283"/>
    </row>
    <row r="506" spans="1:23" ht="19.5" customHeight="1" x14ac:dyDescent="0.25">
      <c r="A506" s="514"/>
      <c r="P506" s="272"/>
      <c r="Q506" s="404"/>
      <c r="R506" s="404"/>
      <c r="S506" s="272"/>
      <c r="T506" s="272"/>
      <c r="U506" s="283"/>
      <c r="V506" s="283"/>
      <c r="W506" s="283"/>
    </row>
    <row r="507" spans="1:23" ht="19.5" customHeight="1" x14ac:dyDescent="0.25">
      <c r="A507" s="514"/>
      <c r="P507" s="272"/>
      <c r="Q507" s="404"/>
      <c r="R507" s="404"/>
      <c r="S507" s="272"/>
      <c r="T507" s="272"/>
      <c r="U507" s="283"/>
      <c r="V507" s="283"/>
      <c r="W507" s="283"/>
    </row>
    <row r="508" spans="1:23" ht="19.5" customHeight="1" x14ac:dyDescent="0.25">
      <c r="A508" s="514"/>
      <c r="P508" s="272"/>
      <c r="Q508" s="404"/>
      <c r="R508" s="404"/>
      <c r="S508" s="272"/>
      <c r="T508" s="272"/>
      <c r="U508" s="283"/>
      <c r="V508" s="283"/>
      <c r="W508" s="283"/>
    </row>
    <row r="509" spans="1:23" ht="19.5" customHeight="1" x14ac:dyDescent="0.25">
      <c r="A509" s="514"/>
      <c r="P509" s="272"/>
      <c r="Q509" s="404"/>
      <c r="R509" s="404"/>
      <c r="S509" s="272"/>
      <c r="T509" s="272"/>
      <c r="U509" s="283"/>
      <c r="V509" s="283"/>
      <c r="W509" s="283"/>
    </row>
    <row r="510" spans="1:23" ht="19.5" customHeight="1" x14ac:dyDescent="0.25">
      <c r="A510" s="514"/>
      <c r="P510" s="272"/>
      <c r="Q510" s="404"/>
      <c r="R510" s="404"/>
      <c r="S510" s="272"/>
      <c r="T510" s="272"/>
      <c r="U510" s="283"/>
      <c r="V510" s="283"/>
      <c r="W510" s="283"/>
    </row>
    <row r="511" spans="1:23" ht="19.5" customHeight="1" x14ac:dyDescent="0.25">
      <c r="A511" s="514"/>
      <c r="P511" s="272"/>
      <c r="Q511" s="404"/>
      <c r="R511" s="404"/>
      <c r="S511" s="272"/>
      <c r="T511" s="272"/>
      <c r="U511" s="283"/>
      <c r="V511" s="283"/>
      <c r="W511" s="283"/>
    </row>
    <row r="512" spans="1:23" ht="19.5" customHeight="1" x14ac:dyDescent="0.25">
      <c r="A512" s="514"/>
      <c r="B512" s="9" t="s">
        <v>1127</v>
      </c>
      <c r="P512" s="272"/>
      <c r="Q512" s="404"/>
      <c r="R512" s="404"/>
      <c r="S512" s="272"/>
      <c r="T512" s="272"/>
      <c r="U512" s="283"/>
      <c r="V512" s="283"/>
      <c r="W512" s="283"/>
    </row>
    <row r="513" spans="1:23" ht="19.5" customHeight="1" x14ac:dyDescent="0.25">
      <c r="A513" s="514"/>
      <c r="P513" s="272"/>
      <c r="Q513" s="404"/>
      <c r="R513" s="404"/>
      <c r="S513" s="272"/>
      <c r="T513" s="272"/>
      <c r="U513" s="283"/>
      <c r="V513" s="283"/>
      <c r="W513" s="283"/>
    </row>
    <row r="514" spans="1:23" ht="18.75" customHeight="1" x14ac:dyDescent="0.25">
      <c r="A514" s="35"/>
    </row>
    <row r="515" spans="1:23" ht="18.75" customHeight="1" x14ac:dyDescent="0.25">
      <c r="A515" s="35"/>
    </row>
    <row r="516" spans="1:23" ht="18.75" customHeight="1" x14ac:dyDescent="0.25">
      <c r="A516" s="35"/>
    </row>
    <row r="517" spans="1:23" ht="18.75" customHeight="1" x14ac:dyDescent="0.25">
      <c r="A517" s="35"/>
    </row>
    <row r="518" spans="1:23" ht="18.75" customHeight="1" x14ac:dyDescent="0.25">
      <c r="A518" s="35"/>
    </row>
    <row r="519" spans="1:23" ht="18.75" customHeight="1" x14ac:dyDescent="0.25">
      <c r="A519" s="35"/>
    </row>
    <row r="520" spans="1:23" ht="18.75" customHeight="1" x14ac:dyDescent="0.25">
      <c r="A520" s="35"/>
    </row>
    <row r="521" spans="1:23" ht="18.75" customHeight="1" x14ac:dyDescent="0.25">
      <c r="A521" s="35"/>
    </row>
    <row r="522" spans="1:23" ht="18.75" customHeight="1" x14ac:dyDescent="0.25">
      <c r="A522" s="35"/>
    </row>
    <row r="523" spans="1:23" ht="18.75" customHeight="1" x14ac:dyDescent="0.25">
      <c r="A523" s="35"/>
    </row>
    <row r="524" spans="1:23" ht="18.75" customHeight="1" x14ac:dyDescent="0.25">
      <c r="A524" s="35"/>
    </row>
    <row r="525" spans="1:23" ht="18.75" customHeight="1" x14ac:dyDescent="0.25">
      <c r="A525" s="35"/>
    </row>
    <row r="526" spans="1:23" ht="18.75" customHeight="1" x14ac:dyDescent="0.25">
      <c r="A526" s="35"/>
    </row>
    <row r="527" spans="1:23" ht="18.75" customHeight="1" x14ac:dyDescent="0.25">
      <c r="A527" s="35"/>
    </row>
    <row r="528" spans="1:23" ht="18.75" customHeight="1" x14ac:dyDescent="0.25">
      <c r="A528" s="35"/>
    </row>
    <row r="529" spans="1:9" ht="18.75" customHeight="1" x14ac:dyDescent="0.25">
      <c r="A529" s="35"/>
    </row>
    <row r="530" spans="1:9" ht="18.75" customHeight="1" x14ac:dyDescent="0.25">
      <c r="A530" s="35"/>
      <c r="B530" s="1" t="s">
        <v>177</v>
      </c>
      <c r="G530" s="7" t="s">
        <v>156</v>
      </c>
      <c r="H530" s="41">
        <f>'Process (1)'!I180</f>
        <v>0.36</v>
      </c>
      <c r="I530" s="5" t="s">
        <v>152</v>
      </c>
    </row>
    <row r="531" spans="1:9" ht="18.75" customHeight="1" x14ac:dyDescent="0.25">
      <c r="A531" s="35"/>
      <c r="B531" s="1" t="s">
        <v>182</v>
      </c>
      <c r="G531" s="7" t="s">
        <v>181</v>
      </c>
      <c r="H531" s="41">
        <f>'Process (1)'!I181</f>
        <v>1.5</v>
      </c>
      <c r="I531" s="5"/>
    </row>
    <row r="533" spans="1:9" ht="18.75" customHeight="1" x14ac:dyDescent="0.25">
      <c r="B533" s="580" t="s">
        <v>59</v>
      </c>
      <c r="C533" s="580" t="s">
        <v>64</v>
      </c>
      <c r="D533" s="580"/>
      <c r="E533" s="580"/>
      <c r="F533" s="580"/>
      <c r="G533" s="380" t="s">
        <v>178</v>
      </c>
      <c r="H533" s="295" t="s">
        <v>67</v>
      </c>
      <c r="I533" s="295" t="s">
        <v>69</v>
      </c>
    </row>
    <row r="534" spans="1:9" ht="18.75" customHeight="1" x14ac:dyDescent="0.25">
      <c r="B534" s="580"/>
      <c r="C534" s="295" t="s">
        <v>60</v>
      </c>
      <c r="D534" s="295" t="s">
        <v>61</v>
      </c>
      <c r="E534" s="295" t="s">
        <v>62</v>
      </c>
      <c r="F534" s="295" t="s">
        <v>63</v>
      </c>
      <c r="G534" s="295" t="s">
        <v>66</v>
      </c>
      <c r="H534" s="295" t="s">
        <v>68</v>
      </c>
      <c r="I534" s="295" t="s">
        <v>70</v>
      </c>
    </row>
    <row r="535" spans="1:9" ht="18.75" customHeight="1" x14ac:dyDescent="0.25">
      <c r="B535" s="581" t="s">
        <v>89</v>
      </c>
      <c r="C535" s="581"/>
      <c r="D535" s="581"/>
      <c r="E535" s="581"/>
      <c r="F535" s="581"/>
      <c r="G535" s="581"/>
      <c r="H535" s="581"/>
      <c r="I535" s="581"/>
    </row>
    <row r="536" spans="1:9" ht="18.75" customHeight="1" x14ac:dyDescent="0.25">
      <c r="B536" s="275" t="s">
        <v>72</v>
      </c>
      <c r="C536" s="276">
        <f>'Process (1)'!Q162</f>
        <v>4</v>
      </c>
      <c r="D536" s="276">
        <f>'Process (1)'!R162</f>
        <v>0.9</v>
      </c>
      <c r="E536" s="275">
        <f>'Process (1)'!S162</f>
        <v>1</v>
      </c>
      <c r="F536" s="275">
        <f>'Process (1)'!T162</f>
        <v>1</v>
      </c>
      <c r="G536" s="277">
        <f>'Process (1)'!U162</f>
        <v>16.2</v>
      </c>
      <c r="H536" s="277">
        <f>'Process (1)'!V162</f>
        <v>5.98</v>
      </c>
      <c r="I536" s="277">
        <f>'Process (1)'!W162</f>
        <v>96.876000000000005</v>
      </c>
    </row>
    <row r="537" spans="1:9" ht="18.75" customHeight="1" x14ac:dyDescent="0.25">
      <c r="B537" s="275" t="s">
        <v>71</v>
      </c>
      <c r="C537" s="276">
        <f>'Process (1)'!Q163</f>
        <v>0.35</v>
      </c>
      <c r="D537" s="276">
        <f>'Process (1)'!R163</f>
        <v>0.9</v>
      </c>
      <c r="E537" s="275">
        <f>'Process (1)'!S163</f>
        <v>1</v>
      </c>
      <c r="F537" s="275">
        <f>'Process (1)'!T163</f>
        <v>1</v>
      </c>
      <c r="G537" s="277">
        <f>'Process (1)'!U163</f>
        <v>1.4175</v>
      </c>
      <c r="H537" s="277">
        <f>'Process (1)'!V163</f>
        <v>5.98</v>
      </c>
      <c r="I537" s="277">
        <f>'Process (1)'!W163</f>
        <v>8.4766500000000011</v>
      </c>
    </row>
    <row r="538" spans="1:9" ht="18.75" customHeight="1" x14ac:dyDescent="0.25">
      <c r="B538" s="275" t="s">
        <v>73</v>
      </c>
      <c r="C538" s="276">
        <f>'Process (1)'!Q164</f>
        <v>1.6</v>
      </c>
      <c r="D538" s="276">
        <f>'Process (1)'!R164</f>
        <v>0.55000000000000004</v>
      </c>
      <c r="E538" s="275">
        <f>'Process (1)'!S164</f>
        <v>1</v>
      </c>
      <c r="F538" s="275">
        <f>'Process (1)'!T164</f>
        <v>1</v>
      </c>
      <c r="G538" s="277">
        <f>'Process (1)'!U164</f>
        <v>3.9600000000000004</v>
      </c>
      <c r="H538" s="277">
        <f>'Process (1)'!V164</f>
        <v>5.2550000000000008</v>
      </c>
      <c r="I538" s="277">
        <f>'Process (1)'!W164</f>
        <v>20.809800000000006</v>
      </c>
    </row>
    <row r="539" spans="1:9" ht="18.75" customHeight="1" x14ac:dyDescent="0.25">
      <c r="B539" s="275" t="s">
        <v>74</v>
      </c>
      <c r="C539" s="276">
        <f>'Process (1)'!Q165</f>
        <v>3.8</v>
      </c>
      <c r="D539" s="276">
        <f>'Process (1)'!R165</f>
        <v>2.63</v>
      </c>
      <c r="E539" s="275">
        <f>'Process (1)'!S165</f>
        <v>1</v>
      </c>
      <c r="F539" s="275">
        <f>'Process (1)'!T165</f>
        <v>1</v>
      </c>
      <c r="G539" s="277">
        <f>'Process (1)'!U165</f>
        <v>44.972999999999999</v>
      </c>
      <c r="H539" s="277">
        <f>'Process (1)'!V165</f>
        <v>5.2650000000000006</v>
      </c>
      <c r="I539" s="277">
        <f>'Process (1)'!W165</f>
        <v>236.78284500000001</v>
      </c>
    </row>
    <row r="540" spans="1:9" ht="18.75" customHeight="1" x14ac:dyDescent="0.25">
      <c r="B540" s="275" t="s">
        <v>75</v>
      </c>
      <c r="C540" s="276">
        <f>'Process (1)'!Q166</f>
        <v>0.6</v>
      </c>
      <c r="D540" s="276">
        <f>'Process (1)'!R166</f>
        <v>1.0299999999999998</v>
      </c>
      <c r="E540" s="275">
        <f>'Process (1)'!S166</f>
        <v>1</v>
      </c>
      <c r="F540" s="275">
        <f>'Process (1)'!T166</f>
        <v>1</v>
      </c>
      <c r="G540" s="277">
        <f>'Process (1)'!U166</f>
        <v>2.7809999999999993</v>
      </c>
      <c r="H540" s="277">
        <f>'Process (1)'!V166</f>
        <v>4.4649999999999999</v>
      </c>
      <c r="I540" s="277">
        <f>'Process (1)'!W166</f>
        <v>12.417164999999997</v>
      </c>
    </row>
    <row r="541" spans="1:9" ht="18.75" customHeight="1" x14ac:dyDescent="0.25">
      <c r="B541" s="275" t="s">
        <v>76</v>
      </c>
      <c r="C541" s="276">
        <f>'Process (1)'!Q167</f>
        <v>0.6</v>
      </c>
      <c r="D541" s="276">
        <f>'Process (1)'!R167</f>
        <v>0.6</v>
      </c>
      <c r="E541" s="275">
        <f>'Process (1)'!S167</f>
        <v>0.5</v>
      </c>
      <c r="F541" s="275">
        <f>'Process (1)'!T167</f>
        <v>1</v>
      </c>
      <c r="G541" s="277">
        <f>'Process (1)'!U167</f>
        <v>0.80999999999999994</v>
      </c>
      <c r="H541" s="277">
        <f>'Process (1)'!V167</f>
        <v>3.75</v>
      </c>
      <c r="I541" s="277">
        <f>'Process (1)'!W167</f>
        <v>3.0374999999999996</v>
      </c>
    </row>
    <row r="542" spans="1:9" ht="18.75" customHeight="1" x14ac:dyDescent="0.25">
      <c r="B542" s="275" t="s">
        <v>77</v>
      </c>
      <c r="C542" s="276">
        <f>'Process (1)'!Q168</f>
        <v>3.8</v>
      </c>
      <c r="D542" s="276">
        <f>'Process (1)'!R168</f>
        <v>0.6</v>
      </c>
      <c r="E542" s="275">
        <f>'Process (1)'!S168</f>
        <v>1</v>
      </c>
      <c r="F542" s="275">
        <f>'Process (1)'!T168</f>
        <v>1</v>
      </c>
      <c r="G542" s="277">
        <f>'Process (1)'!U168</f>
        <v>10.259999999999998</v>
      </c>
      <c r="H542" s="277">
        <f>'Process (1)'!V168</f>
        <v>3.65</v>
      </c>
      <c r="I542" s="277">
        <f>'Process (1)'!W168</f>
        <v>37.448999999999991</v>
      </c>
    </row>
    <row r="543" spans="1:9" ht="18.75" customHeight="1" x14ac:dyDescent="0.25">
      <c r="B543" s="275" t="s">
        <v>78</v>
      </c>
      <c r="C543" s="276">
        <f>'Process (1)'!Q169</f>
        <v>0.6</v>
      </c>
      <c r="D543" s="276">
        <f>'Process (1)'!R169</f>
        <v>0.6</v>
      </c>
      <c r="E543" s="275">
        <f>'Process (1)'!S169</f>
        <v>0.5</v>
      </c>
      <c r="F543" s="275">
        <f>'Process (1)'!T169</f>
        <v>1</v>
      </c>
      <c r="G543" s="277">
        <f>'Process (1)'!U169</f>
        <v>0.80999999999999994</v>
      </c>
      <c r="H543" s="277">
        <f>'Process (1)'!V169</f>
        <v>3.5500000000000003</v>
      </c>
      <c r="I543" s="277">
        <f>'Process (1)'!W169</f>
        <v>2.8755000000000002</v>
      </c>
    </row>
    <row r="544" spans="1:9" ht="18.75" customHeight="1" x14ac:dyDescent="0.25">
      <c r="B544" s="275" t="s">
        <v>79</v>
      </c>
      <c r="C544" s="276">
        <f>'Process (1)'!Q170</f>
        <v>0.6</v>
      </c>
      <c r="D544" s="276">
        <f>'Process (1)'!R170</f>
        <v>0.8</v>
      </c>
      <c r="E544" s="275">
        <f>'Process (1)'!S170</f>
        <v>1</v>
      </c>
      <c r="F544" s="275">
        <f>'Process (1)'!T170</f>
        <v>1</v>
      </c>
      <c r="G544" s="277">
        <f>'Process (1)'!U170</f>
        <v>2.16</v>
      </c>
      <c r="H544" s="277">
        <f>'Process (1)'!V170</f>
        <v>4.4300000000000006</v>
      </c>
      <c r="I544" s="277">
        <f>'Process (1)'!W170</f>
        <v>9.5688000000000013</v>
      </c>
    </row>
    <row r="545" spans="1:9" ht="18.75" customHeight="1" x14ac:dyDescent="0.25">
      <c r="B545" s="275" t="s">
        <v>80</v>
      </c>
      <c r="C545" s="276">
        <f>'Process (1)'!Q171</f>
        <v>0.6</v>
      </c>
      <c r="D545" s="276">
        <f>'Process (1)'!R171</f>
        <v>0.6</v>
      </c>
      <c r="E545" s="275">
        <f>'Process (1)'!S171</f>
        <v>0.5</v>
      </c>
      <c r="F545" s="275">
        <f>'Process (1)'!T171</f>
        <v>1</v>
      </c>
      <c r="G545" s="277">
        <f>'Process (1)'!U171</f>
        <v>0.80999999999999994</v>
      </c>
      <c r="H545" s="277">
        <f>'Process (1)'!V171</f>
        <v>3.4300000000000006</v>
      </c>
      <c r="I545" s="277">
        <f>'Process (1)'!W171</f>
        <v>2.7783000000000002</v>
      </c>
    </row>
    <row r="546" spans="1:9" ht="18.75" customHeight="1" x14ac:dyDescent="0.25">
      <c r="B546" s="275" t="s">
        <v>81</v>
      </c>
      <c r="C546" s="276">
        <f>'Process (1)'!Q172</f>
        <v>1</v>
      </c>
      <c r="D546" s="276">
        <f>'Process (1)'!R172</f>
        <v>4.9800000000000004</v>
      </c>
      <c r="E546" s="275">
        <f>'Process (1)'!S172</f>
        <v>1</v>
      </c>
      <c r="F546" s="275">
        <f>'Process (1)'!T172</f>
        <v>1</v>
      </c>
      <c r="G546" s="277">
        <f>'Process (1)'!U172</f>
        <v>22.410000000000004</v>
      </c>
      <c r="H546" s="277">
        <f>'Process (1)'!V172</f>
        <v>2.4900000000000002</v>
      </c>
      <c r="I546" s="277">
        <f>'Process (1)'!W172</f>
        <v>55.800900000000013</v>
      </c>
    </row>
    <row r="547" spans="1:9" ht="18.75" customHeight="1" x14ac:dyDescent="0.25">
      <c r="B547" s="275" t="s">
        <v>82</v>
      </c>
      <c r="C547" s="276">
        <f>'Process (1)'!Q173</f>
        <v>4.3999999999999995</v>
      </c>
      <c r="D547" s="276">
        <f>'Process (1)'!R173</f>
        <v>2.1</v>
      </c>
      <c r="E547" s="275">
        <f>'Process (1)'!S173</f>
        <v>1</v>
      </c>
      <c r="F547" s="275">
        <f>'Process (1)'!T173</f>
        <v>1</v>
      </c>
      <c r="G547" s="277">
        <f>'Process (1)'!U173</f>
        <v>41.58</v>
      </c>
      <c r="H547" s="277">
        <f>'Process (1)'!V173</f>
        <v>2.2999999999999998</v>
      </c>
      <c r="I547" s="277">
        <f>'Process (1)'!W173</f>
        <v>95.633999999999986</v>
      </c>
    </row>
    <row r="548" spans="1:9" ht="18.75" customHeight="1" x14ac:dyDescent="0.25">
      <c r="B548" s="275" t="s">
        <v>83</v>
      </c>
      <c r="C548" s="276">
        <f>'Process (1)'!Q174</f>
        <v>1.3999999999999995</v>
      </c>
      <c r="D548" s="276">
        <f>'Process (1)'!R174</f>
        <v>0.5</v>
      </c>
      <c r="E548" s="275">
        <f>'Process (1)'!S174</f>
        <v>0.5</v>
      </c>
      <c r="F548" s="275">
        <f>'Process (1)'!T174</f>
        <v>1</v>
      </c>
      <c r="G548" s="277">
        <f>'Process (1)'!U174</f>
        <v>1.5749999999999993</v>
      </c>
      <c r="H548" s="277">
        <f>'Process (1)'!V174</f>
        <v>1.0833333333333333</v>
      </c>
      <c r="I548" s="277">
        <f>'Process (1)'!W174</f>
        <v>1.7062499999999992</v>
      </c>
    </row>
    <row r="549" spans="1:9" ht="18.75" customHeight="1" x14ac:dyDescent="0.25">
      <c r="B549" s="275" t="s">
        <v>84</v>
      </c>
      <c r="C549" s="276">
        <f>'Process (1)'!Q175</f>
        <v>3</v>
      </c>
      <c r="D549" s="276">
        <f>'Process (1)'!R175</f>
        <v>0.5</v>
      </c>
      <c r="E549" s="275">
        <f>'Process (1)'!S175</f>
        <v>0.5</v>
      </c>
      <c r="F549" s="275">
        <f>'Process (1)'!T175</f>
        <v>1</v>
      </c>
      <c r="G549" s="277">
        <f>'Process (1)'!U175</f>
        <v>3.375</v>
      </c>
      <c r="H549" s="277">
        <f>'Process (1)'!V175</f>
        <v>1.0833333333333333</v>
      </c>
      <c r="I549" s="277">
        <f>'Process (1)'!W175</f>
        <v>3.6562499999999996</v>
      </c>
    </row>
    <row r="550" spans="1:9" ht="18.75" customHeight="1" x14ac:dyDescent="0.25">
      <c r="B550" s="275" t="s">
        <v>85</v>
      </c>
      <c r="C550" s="276">
        <f>'Process (1)'!Q176</f>
        <v>3</v>
      </c>
      <c r="D550" s="276">
        <f>'Process (1)'!R176</f>
        <v>0.5</v>
      </c>
      <c r="E550" s="275">
        <f>'Process (1)'!S176</f>
        <v>0.5</v>
      </c>
      <c r="F550" s="275">
        <f>'Process (1)'!T176</f>
        <v>1</v>
      </c>
      <c r="G550" s="277">
        <f>'Process (1)'!U176</f>
        <v>3.375</v>
      </c>
      <c r="H550" s="277">
        <f>'Process (1)'!V176</f>
        <v>0.91666666666666663</v>
      </c>
      <c r="I550" s="277">
        <f>'Process (1)'!W176</f>
        <v>3.09375</v>
      </c>
    </row>
    <row r="551" spans="1:9" ht="18.75" customHeight="1" x14ac:dyDescent="0.25">
      <c r="B551" s="275" t="s">
        <v>86</v>
      </c>
      <c r="C551" s="276">
        <f>'Process (1)'!Q177</f>
        <v>3</v>
      </c>
      <c r="D551" s="276">
        <f>'Process (1)'!R177</f>
        <v>0.5</v>
      </c>
      <c r="E551" s="275">
        <f>'Process (1)'!S177</f>
        <v>0.5</v>
      </c>
      <c r="F551" s="275">
        <f>'Process (1)'!T177</f>
        <v>1</v>
      </c>
      <c r="G551" s="277">
        <f>'Process (1)'!U177</f>
        <v>3.375</v>
      </c>
      <c r="H551" s="277">
        <f>'Process (1)'!V177</f>
        <v>0.91666666666666663</v>
      </c>
      <c r="I551" s="277">
        <f>'Process (1)'!W177</f>
        <v>3.09375</v>
      </c>
    </row>
    <row r="552" spans="1:9" ht="18.75" customHeight="1" x14ac:dyDescent="0.25">
      <c r="B552" s="275" t="s">
        <v>87</v>
      </c>
      <c r="C552" s="276">
        <f>'Process (1)'!Q178</f>
        <v>3</v>
      </c>
      <c r="D552" s="276">
        <f>'Process (1)'!R178</f>
        <v>0.75</v>
      </c>
      <c r="E552" s="275">
        <f>'Process (1)'!S178</f>
        <v>1</v>
      </c>
      <c r="F552" s="275">
        <f>'Process (1)'!T178</f>
        <v>1</v>
      </c>
      <c r="G552" s="277">
        <f>'Process (1)'!U178</f>
        <v>10.125</v>
      </c>
      <c r="H552" s="277">
        <f>'Process (1)'!V178</f>
        <v>0.375</v>
      </c>
      <c r="I552" s="277">
        <f>'Process (1)'!W178</f>
        <v>3.796875</v>
      </c>
    </row>
    <row r="553" spans="1:9" ht="18.75" customHeight="1" x14ac:dyDescent="0.25">
      <c r="B553" s="275" t="s">
        <v>88</v>
      </c>
      <c r="C553" s="276">
        <f>'Process (1)'!Q179</f>
        <v>3</v>
      </c>
      <c r="D553" s="276">
        <f>'Process (1)'!R179</f>
        <v>0.75</v>
      </c>
      <c r="E553" s="275">
        <f>'Process (1)'!S179</f>
        <v>1</v>
      </c>
      <c r="F553" s="275">
        <f>'Process (1)'!T179</f>
        <v>1</v>
      </c>
      <c r="G553" s="277">
        <f>'Process (1)'!U179</f>
        <v>10.125</v>
      </c>
      <c r="H553" s="277">
        <f>'Process (1)'!V179</f>
        <v>0.375</v>
      </c>
      <c r="I553" s="277">
        <f>'Process (1)'!W179</f>
        <v>3.796875</v>
      </c>
    </row>
    <row r="554" spans="1:9" ht="18.75" customHeight="1" x14ac:dyDescent="0.25">
      <c r="B554" s="582" t="s">
        <v>91</v>
      </c>
      <c r="C554" s="582"/>
      <c r="D554" s="582"/>
      <c r="E554" s="582"/>
      <c r="F554" s="43" t="s">
        <v>179</v>
      </c>
      <c r="G554" s="53">
        <f>SUM(G536:G553)</f>
        <v>180.12149999999997</v>
      </c>
      <c r="H554" s="43" t="s">
        <v>180</v>
      </c>
      <c r="I554" s="53">
        <f>SUM(I536:I553)</f>
        <v>601.65021000000002</v>
      </c>
    </row>
    <row r="556" spans="1:9" ht="18.75" customHeight="1" x14ac:dyDescent="0.25">
      <c r="A556" s="359" t="s">
        <v>198</v>
      </c>
      <c r="B556" s="360" t="s">
        <v>199</v>
      </c>
      <c r="C556" s="129"/>
      <c r="D556" s="129"/>
      <c r="E556" s="129"/>
      <c r="F556" s="129"/>
      <c r="G556" s="129"/>
      <c r="H556" s="129"/>
      <c r="I556" s="129"/>
    </row>
    <row r="557" spans="1:9" ht="18.75" customHeight="1" x14ac:dyDescent="0.25">
      <c r="A557" s="35"/>
    </row>
    <row r="558" spans="1:9" ht="18.75" customHeight="1" x14ac:dyDescent="0.25">
      <c r="A558" s="35"/>
    </row>
    <row r="559" spans="1:9" ht="18.75" customHeight="1" x14ac:dyDescent="0.25">
      <c r="A559" s="35"/>
    </row>
    <row r="560" spans="1:9" ht="18.75" customHeight="1" x14ac:dyDescent="0.25">
      <c r="A560" s="35"/>
    </row>
    <row r="561" spans="1:9" ht="18.75" customHeight="1" x14ac:dyDescent="0.25">
      <c r="A561" s="35"/>
    </row>
    <row r="562" spans="1:9" ht="18.75" customHeight="1" x14ac:dyDescent="0.25">
      <c r="A562" s="35"/>
    </row>
    <row r="563" spans="1:9" ht="18.75" customHeight="1" x14ac:dyDescent="0.25">
      <c r="A563" s="35"/>
    </row>
    <row r="564" spans="1:9" ht="18.75" customHeight="1" x14ac:dyDescent="0.25">
      <c r="A564" s="35"/>
    </row>
    <row r="565" spans="1:9" ht="18.75" customHeight="1" x14ac:dyDescent="0.25">
      <c r="A565" s="35"/>
    </row>
    <row r="566" spans="1:9" ht="18.75" customHeight="1" x14ac:dyDescent="0.25">
      <c r="A566" s="35"/>
    </row>
    <row r="567" spans="1:9" ht="18.75" customHeight="1" x14ac:dyDescent="0.25">
      <c r="A567" s="35"/>
    </row>
    <row r="568" spans="1:9" ht="18.75" customHeight="1" x14ac:dyDescent="0.25">
      <c r="A568" s="35"/>
      <c r="B568" s="1" t="s">
        <v>200</v>
      </c>
      <c r="G568" s="7" t="s">
        <v>351</v>
      </c>
      <c r="H568" s="36">
        <f>'Process (1)'!I196</f>
        <v>4.9800000000000004</v>
      </c>
      <c r="I568" s="5" t="s">
        <v>0</v>
      </c>
    </row>
    <row r="569" spans="1:9" ht="18.75" customHeight="1" x14ac:dyDescent="0.25">
      <c r="A569" s="35"/>
      <c r="B569" s="1" t="s">
        <v>201</v>
      </c>
      <c r="G569" s="7" t="s">
        <v>202</v>
      </c>
      <c r="H569" s="36">
        <f>'Process (1)'!I197</f>
        <v>0</v>
      </c>
      <c r="I569" s="5" t="s">
        <v>0</v>
      </c>
    </row>
    <row r="570" spans="1:9" ht="18.75" customHeight="1" x14ac:dyDescent="0.25">
      <c r="A570" s="35"/>
      <c r="B570" s="2" t="s">
        <v>206</v>
      </c>
      <c r="C570" s="2"/>
      <c r="D570" s="2"/>
      <c r="E570" s="2"/>
      <c r="F570" s="2"/>
      <c r="G570" s="3"/>
      <c r="H570" s="60"/>
      <c r="I570" s="10"/>
    </row>
    <row r="571" spans="1:9" ht="18.75" customHeight="1" x14ac:dyDescent="0.25">
      <c r="A571" s="35"/>
      <c r="B571" s="2"/>
      <c r="C571" s="2"/>
      <c r="D571" s="2"/>
      <c r="E571" s="2"/>
      <c r="F571" s="2"/>
      <c r="G571" s="3" t="s">
        <v>207</v>
      </c>
      <c r="H571" s="58">
        <f>'Process (1)'!I199</f>
        <v>5257.1539999999995</v>
      </c>
      <c r="I571" s="10" t="s">
        <v>115</v>
      </c>
    </row>
    <row r="573" spans="1:9" ht="18.75" customHeight="1" x14ac:dyDescent="0.25">
      <c r="B573" s="578" t="s">
        <v>59</v>
      </c>
      <c r="C573" s="578" t="s">
        <v>184</v>
      </c>
      <c r="D573" s="578"/>
      <c r="E573" s="578"/>
      <c r="F573" s="578"/>
      <c r="G573" s="578"/>
      <c r="H573" s="578"/>
      <c r="I573" s="578"/>
    </row>
    <row r="574" spans="1:9" ht="18.75" customHeight="1" x14ac:dyDescent="0.25">
      <c r="B574" s="578"/>
      <c r="C574" s="578"/>
      <c r="D574" s="578"/>
      <c r="E574" s="294" t="s">
        <v>223</v>
      </c>
      <c r="F574" s="294" t="s">
        <v>186</v>
      </c>
      <c r="G574" s="294" t="s">
        <v>187</v>
      </c>
      <c r="H574" s="294" t="s">
        <v>209</v>
      </c>
      <c r="I574" s="294" t="s">
        <v>210</v>
      </c>
    </row>
    <row r="575" spans="1:9" ht="18.75" customHeight="1" x14ac:dyDescent="0.25">
      <c r="B575" s="56"/>
      <c r="C575" s="579" t="s">
        <v>203</v>
      </c>
      <c r="D575" s="579"/>
      <c r="E575" s="579"/>
      <c r="F575" s="579"/>
      <c r="G575" s="579"/>
      <c r="H575" s="579"/>
      <c r="I575" s="579"/>
    </row>
    <row r="576" spans="1:9" ht="18.75" customHeight="1" x14ac:dyDescent="0.25">
      <c r="B576" s="56">
        <v>1</v>
      </c>
      <c r="C576" s="651" t="s">
        <v>188</v>
      </c>
      <c r="D576" s="651"/>
      <c r="E576" s="59">
        <f>'Process (1)'!N187</f>
        <v>3479.0340000000001</v>
      </c>
      <c r="F576" s="124"/>
      <c r="G576" s="124"/>
      <c r="H576" s="125"/>
      <c r="I576" s="59">
        <f>'Process (1)'!R187</f>
        <v>0</v>
      </c>
    </row>
    <row r="577" spans="2:9" ht="18.75" customHeight="1" x14ac:dyDescent="0.25">
      <c r="B577" s="56">
        <v>2</v>
      </c>
      <c r="C577" s="650" t="s">
        <v>189</v>
      </c>
      <c r="D577" s="650"/>
      <c r="E577" s="59">
        <f>'Process (1)'!N188</f>
        <v>1221.8</v>
      </c>
      <c r="F577" s="124"/>
      <c r="G577" s="124"/>
      <c r="H577" s="125"/>
      <c r="I577" s="59">
        <f>'Process (1)'!R188</f>
        <v>0</v>
      </c>
    </row>
    <row r="578" spans="2:9" ht="18.75" customHeight="1" x14ac:dyDescent="0.25">
      <c r="B578" s="56">
        <v>3</v>
      </c>
      <c r="C578" s="651" t="s">
        <v>190</v>
      </c>
      <c r="D578" s="651"/>
      <c r="E578" s="59">
        <f>'Process (1)'!N189</f>
        <v>1534.4</v>
      </c>
      <c r="F578" s="124"/>
      <c r="G578" s="124"/>
      <c r="H578" s="125"/>
      <c r="I578" s="59">
        <f>'Process (1)'!R189</f>
        <v>0</v>
      </c>
    </row>
    <row r="579" spans="2:9" ht="18.75" customHeight="1" x14ac:dyDescent="0.25">
      <c r="B579" s="56">
        <v>4</v>
      </c>
      <c r="C579" s="651" t="s">
        <v>191</v>
      </c>
      <c r="D579" s="651"/>
      <c r="E579" s="59">
        <f>'Process (1)'!N190</f>
        <v>650</v>
      </c>
      <c r="F579" s="124"/>
      <c r="G579" s="124"/>
      <c r="H579" s="125"/>
      <c r="I579" s="59">
        <f>'Process (1)'!R190</f>
        <v>0</v>
      </c>
    </row>
    <row r="580" spans="2:9" ht="18.75" customHeight="1" x14ac:dyDescent="0.25">
      <c r="B580" s="56">
        <v>5</v>
      </c>
      <c r="C580" s="651" t="s">
        <v>192</v>
      </c>
      <c r="D580" s="651"/>
      <c r="E580" s="124"/>
      <c r="F580" s="59">
        <f>'Process (1)'!O191</f>
        <v>144.01499999999999</v>
      </c>
      <c r="G580" s="124"/>
      <c r="H580" s="125"/>
      <c r="I580" s="59">
        <f>'Process (1)'!R191</f>
        <v>717.19470000000001</v>
      </c>
    </row>
    <row r="581" spans="2:9" ht="18.75" customHeight="1" x14ac:dyDescent="0.25">
      <c r="B581" s="56">
        <v>6</v>
      </c>
      <c r="C581" s="651" t="s">
        <v>193</v>
      </c>
      <c r="D581" s="651"/>
      <c r="E581" s="59">
        <f>'Process (1)'!N192</f>
        <v>320</v>
      </c>
      <c r="F581" s="124"/>
      <c r="G581" s="124"/>
      <c r="H581" s="125"/>
      <c r="I581" s="59">
        <f>'Process (1)'!R192</f>
        <v>0</v>
      </c>
    </row>
    <row r="582" spans="2:9" ht="18.75" customHeight="1" x14ac:dyDescent="0.25">
      <c r="B582" s="56">
        <v>7</v>
      </c>
      <c r="C582" s="650" t="s">
        <v>194</v>
      </c>
      <c r="D582" s="650"/>
      <c r="E582" s="124"/>
      <c r="F582" s="124"/>
      <c r="G582" s="59">
        <f>'Process (1)'!P193</f>
        <v>29.2</v>
      </c>
      <c r="H582" s="59">
        <f>'Process (1)'!Q193</f>
        <v>145.416</v>
      </c>
      <c r="I582" s="126"/>
    </row>
    <row r="583" spans="2:9" ht="18.75" customHeight="1" x14ac:dyDescent="0.25">
      <c r="B583" s="56">
        <v>8</v>
      </c>
      <c r="C583" s="650" t="s">
        <v>195</v>
      </c>
      <c r="D583" s="650"/>
      <c r="E583" s="124"/>
      <c r="F583" s="124"/>
      <c r="G583" s="59">
        <f>'Process (1)'!P194</f>
        <v>382.46</v>
      </c>
      <c r="H583" s="59">
        <f>'Process (1)'!Q194</f>
        <v>1904.6508000000001</v>
      </c>
      <c r="I583" s="126"/>
    </row>
    <row r="584" spans="2:9" ht="18.75" customHeight="1" x14ac:dyDescent="0.25">
      <c r="B584" s="56">
        <v>9</v>
      </c>
      <c r="C584" s="651" t="s">
        <v>204</v>
      </c>
      <c r="D584" s="651"/>
      <c r="E584" s="124"/>
      <c r="F584" s="59">
        <f>'Process (1)'!O195</f>
        <v>2482.0403519999995</v>
      </c>
      <c r="G584" s="59">
        <f>'Process (1)'!P195</f>
        <v>744.61210559999984</v>
      </c>
      <c r="H584" s="59">
        <f>'Process (1)'!Q195</f>
        <v>3708.1682858879994</v>
      </c>
      <c r="I584" s="59">
        <f>'Process (1)'!R195</f>
        <v>12360.560952959999</v>
      </c>
    </row>
    <row r="585" spans="2:9" ht="18.75" customHeight="1" x14ac:dyDescent="0.25">
      <c r="B585" s="56">
        <v>10</v>
      </c>
      <c r="C585" s="651" t="s">
        <v>205</v>
      </c>
      <c r="D585" s="651"/>
      <c r="E585" s="124"/>
      <c r="F585" s="59">
        <f>'Process (1)'!O196</f>
        <v>451.02918421159171</v>
      </c>
      <c r="G585" s="59">
        <f>'Process (1)'!P196</f>
        <v>1503.4306140386391</v>
      </c>
      <c r="H585" s="59">
        <f>'Process (1)'!Q196</f>
        <v>7487.0844579124232</v>
      </c>
      <c r="I585" s="59">
        <f>'Process (1)'!R196</f>
        <v>2246.1253373737268</v>
      </c>
    </row>
    <row r="586" spans="2:9" ht="18.75" customHeight="1" x14ac:dyDescent="0.25">
      <c r="B586" s="56"/>
      <c r="C586" s="579" t="s">
        <v>208</v>
      </c>
      <c r="D586" s="579"/>
      <c r="E586" s="579"/>
      <c r="F586" s="579"/>
      <c r="G586" s="579"/>
      <c r="H586" s="579"/>
      <c r="I586" s="579"/>
    </row>
    <row r="587" spans="2:9" ht="18.75" customHeight="1" x14ac:dyDescent="0.25">
      <c r="B587" s="56">
        <v>11</v>
      </c>
      <c r="C587" s="651" t="s">
        <v>188</v>
      </c>
      <c r="D587" s="651"/>
      <c r="E587" s="59">
        <f>'Process (1)'!N198</f>
        <v>5752.0968200000016</v>
      </c>
      <c r="F587" s="124"/>
      <c r="G587" s="124"/>
      <c r="H587" s="125"/>
      <c r="I587" s="59">
        <f>'Process (1)'!R198</f>
        <v>-12480.571796833334</v>
      </c>
    </row>
    <row r="588" spans="2:9" ht="18.75" customHeight="1" x14ac:dyDescent="0.25">
      <c r="B588" s="56">
        <v>12</v>
      </c>
      <c r="C588" s="651" t="s">
        <v>211</v>
      </c>
      <c r="D588" s="651"/>
      <c r="E588" s="124"/>
      <c r="F588" s="59">
        <f>'Process (1)'!O199</f>
        <v>3421.2825395580248</v>
      </c>
      <c r="G588" s="124"/>
      <c r="H588" s="125"/>
      <c r="I588" s="59">
        <f>'Process (1)'!R199</f>
        <v>9120.0566326381158</v>
      </c>
    </row>
    <row r="589" spans="2:9" ht="18.75" customHeight="1" x14ac:dyDescent="0.25">
      <c r="B589" s="56">
        <v>13</v>
      </c>
      <c r="C589" s="651" t="s">
        <v>212</v>
      </c>
      <c r="D589" s="651"/>
      <c r="E589" s="124"/>
      <c r="F589" s="59">
        <f>'Process (1)'!O200</f>
        <v>1037.7285408496994</v>
      </c>
      <c r="G589" s="124"/>
      <c r="H589" s="125"/>
      <c r="I589" s="59">
        <f>'Process (1)'!R200</f>
        <v>5174.806323703835</v>
      </c>
    </row>
    <row r="590" spans="2:9" ht="18.75" customHeight="1" x14ac:dyDescent="0.25">
      <c r="B590" s="56">
        <v>14</v>
      </c>
      <c r="C590" s="651" t="s">
        <v>204</v>
      </c>
      <c r="D590" s="651"/>
      <c r="E590" s="124"/>
      <c r="F590" s="59">
        <f>'Process (1)'!O201</f>
        <v>180.12149999999997</v>
      </c>
      <c r="G590" s="59">
        <f>'Process (1)'!P201</f>
        <v>54.036449999999988</v>
      </c>
      <c r="H590" s="59">
        <f>'Process (1)'!Q201</f>
        <v>180.49506299999999</v>
      </c>
      <c r="I590" s="59">
        <f>'Process (1)'!R201</f>
        <v>601.65021000000002</v>
      </c>
    </row>
    <row r="591" spans="2:9" ht="18.75" customHeight="1" x14ac:dyDescent="0.25">
      <c r="B591" s="56">
        <v>15</v>
      </c>
      <c r="C591" s="651" t="s">
        <v>205</v>
      </c>
      <c r="D591" s="651"/>
      <c r="E591" s="124"/>
      <c r="F591" s="59">
        <f>'Process (1)'!O202</f>
        <v>54.036449999999988</v>
      </c>
      <c r="G591" s="59">
        <f>'Process (1)'!P202</f>
        <v>180.12149999999997</v>
      </c>
      <c r="H591" s="59">
        <f>'Process (1)'!Q202</f>
        <v>601.65021000000002</v>
      </c>
      <c r="I591" s="59">
        <f>'Process (1)'!R202</f>
        <v>180.49506299999999</v>
      </c>
    </row>
    <row r="593" spans="1:9" ht="18.75" customHeight="1" x14ac:dyDescent="0.25">
      <c r="A593" s="359" t="s">
        <v>222</v>
      </c>
      <c r="B593" s="360" t="s">
        <v>213</v>
      </c>
      <c r="C593" s="129"/>
      <c r="D593" s="129"/>
      <c r="E593" s="129"/>
      <c r="F593" s="129"/>
      <c r="G593" s="129"/>
      <c r="H593" s="129"/>
      <c r="I593" s="129"/>
    </row>
    <row r="594" spans="1:9" ht="18.75" customHeight="1" x14ac:dyDescent="0.25">
      <c r="A594" s="1"/>
      <c r="B594" s="578" t="s">
        <v>59</v>
      </c>
      <c r="C594" s="578" t="s">
        <v>184</v>
      </c>
      <c r="D594" s="578"/>
      <c r="E594" s="578"/>
      <c r="F594" s="578"/>
      <c r="G594" s="578"/>
      <c r="H594" s="578"/>
      <c r="I594" s="578"/>
    </row>
    <row r="595" spans="1:9" ht="18.75" customHeight="1" x14ac:dyDescent="0.25">
      <c r="A595" s="1"/>
      <c r="B595" s="578"/>
      <c r="C595" s="578"/>
      <c r="D595" s="578"/>
      <c r="E595" s="294" t="s">
        <v>223</v>
      </c>
      <c r="F595" s="294" t="s">
        <v>186</v>
      </c>
      <c r="G595" s="294" t="s">
        <v>187</v>
      </c>
      <c r="H595" s="294" t="s">
        <v>209</v>
      </c>
      <c r="I595" s="294" t="s">
        <v>210</v>
      </c>
    </row>
    <row r="596" spans="1:9" ht="18.75" customHeight="1" x14ac:dyDescent="0.25">
      <c r="A596" s="1"/>
      <c r="B596" s="56">
        <v>1</v>
      </c>
      <c r="C596" s="652" t="s">
        <v>214</v>
      </c>
      <c r="D596" s="652"/>
      <c r="E596" s="59">
        <f>'Process (1)'!N208</f>
        <v>12307.330820000003</v>
      </c>
      <c r="F596" s="59">
        <f>'Process (1)'!O208</f>
        <v>3565.2975395580247</v>
      </c>
      <c r="G596" s="59">
        <f>'Process (1)'!P208</f>
        <v>143.93799999999999</v>
      </c>
      <c r="H596" s="59">
        <f>'Process (1)'!Q208</f>
        <v>716.81124</v>
      </c>
      <c r="I596" s="59">
        <f>'Process (1)'!R208</f>
        <v>-2643.3204641952179</v>
      </c>
    </row>
    <row r="597" spans="1:9" ht="18.75" customHeight="1" x14ac:dyDescent="0.25">
      <c r="A597" s="1"/>
      <c r="B597" s="56">
        <v>2</v>
      </c>
      <c r="C597" s="652" t="s">
        <v>215</v>
      </c>
      <c r="D597" s="652"/>
      <c r="E597" s="59">
        <f>'Process (1)'!N209</f>
        <v>11009.250820000001</v>
      </c>
      <c r="F597" s="59">
        <f>'Process (1)'!O209</f>
        <v>7164.3774324077231</v>
      </c>
      <c r="G597" s="59">
        <f>'Process (1)'!P209</f>
        <v>798.64855559999978</v>
      </c>
      <c r="H597" s="59">
        <f>'Process (1)'!Q209</f>
        <v>3888.6633488879993</v>
      </c>
      <c r="I597" s="59">
        <f>'Process (1)'!R209</f>
        <v>14991.660732468616</v>
      </c>
    </row>
    <row r="598" spans="1:9" ht="18.75" customHeight="1" x14ac:dyDescent="0.25">
      <c r="A598" s="1"/>
      <c r="B598" s="56">
        <v>3</v>
      </c>
      <c r="C598" s="652" t="s">
        <v>216</v>
      </c>
      <c r="D598" s="652"/>
      <c r="E598" s="59">
        <f>'Process (1)'!N210</f>
        <v>11009.250820000001</v>
      </c>
      <c r="F598" s="59">
        <f>'Process (1)'!O210</f>
        <v>5007.2812146193155</v>
      </c>
      <c r="G598" s="59">
        <f>'Process (1)'!P210</f>
        <v>1683.552114038639</v>
      </c>
      <c r="H598" s="59">
        <f>'Process (1)'!Q210</f>
        <v>8088.734667912423</v>
      </c>
      <c r="I598" s="59">
        <f>'Process (1)'!R210</f>
        <v>4456.0699698823446</v>
      </c>
    </row>
    <row r="599" spans="1:9" ht="18.75" customHeight="1" x14ac:dyDescent="0.25">
      <c r="A599" s="1"/>
      <c r="B599" s="56">
        <v>4</v>
      </c>
      <c r="C599" s="652" t="s">
        <v>217</v>
      </c>
      <c r="D599" s="652"/>
      <c r="E599" s="59">
        <f>'Process (1)'!N211</f>
        <v>17781.990066000002</v>
      </c>
      <c r="F599" s="59">
        <f>'Process (1)'!O211</f>
        <v>4535.8301744475311</v>
      </c>
      <c r="G599" s="59">
        <f>'Process (1)'!P211</f>
        <v>0</v>
      </c>
      <c r="H599" s="59">
        <f>'Process (1)'!Q211</f>
        <v>0</v>
      </c>
      <c r="I599" s="59">
        <f>'Process (1)'!R211</f>
        <v>-3533.7220850856902</v>
      </c>
    </row>
    <row r="600" spans="1:9" ht="18.75" customHeight="1" x14ac:dyDescent="0.25">
      <c r="A600" s="1"/>
      <c r="B600" s="56">
        <v>5</v>
      </c>
      <c r="C600" s="652" t="s">
        <v>218</v>
      </c>
      <c r="D600" s="652"/>
      <c r="E600" s="59">
        <f>'Process (1)'!N212</f>
        <v>17040.230066000004</v>
      </c>
      <c r="F600" s="59">
        <f>'Process (1)'!O212</f>
        <v>4478.2241744475314</v>
      </c>
      <c r="G600" s="59">
        <f>'Process (1)'!P212</f>
        <v>0</v>
      </c>
      <c r="H600" s="59">
        <f>'Process (1)'!Q212</f>
        <v>0</v>
      </c>
      <c r="I600" s="59">
        <f>'Process (1)'!R212</f>
        <v>-3820.5999650856902</v>
      </c>
    </row>
    <row r="601" spans="1:9" ht="18.75" customHeight="1" x14ac:dyDescent="0.25">
      <c r="A601" s="1"/>
      <c r="B601" s="56">
        <v>6</v>
      </c>
      <c r="C601" s="652" t="s">
        <v>219</v>
      </c>
      <c r="D601" s="652"/>
      <c r="E601" s="59">
        <f>'Process (1)'!N213</f>
        <v>14444.070066000002</v>
      </c>
      <c r="F601" s="59">
        <f>'Process (1)'!O213</f>
        <v>4276.6031744475313</v>
      </c>
      <c r="G601" s="59">
        <f>'Process (1)'!P213</f>
        <v>535.44399999999996</v>
      </c>
      <c r="H601" s="59">
        <f>'Process (1)'!Q213</f>
        <v>2666.5111200000001</v>
      </c>
      <c r="I601" s="59">
        <f>'Process (1)'!R213</f>
        <v>-4824.6725450856902</v>
      </c>
    </row>
    <row r="602" spans="1:9" ht="18.75" customHeight="1" x14ac:dyDescent="0.25">
      <c r="A602" s="1"/>
      <c r="B602" s="56">
        <v>7</v>
      </c>
      <c r="C602" s="652" t="s">
        <v>220</v>
      </c>
      <c r="D602" s="652"/>
      <c r="E602" s="59">
        <f>'Process (1)'!N214</f>
        <v>14444.070066000002</v>
      </c>
      <c r="F602" s="59">
        <f>'Process (1)'!O214</f>
        <v>4276.6031744475313</v>
      </c>
      <c r="G602" s="59">
        <f>'Process (1)'!P214</f>
        <v>0</v>
      </c>
      <c r="H602" s="59">
        <f>'Process (1)'!Q214</f>
        <v>0</v>
      </c>
      <c r="I602" s="59">
        <f>'Process (1)'!R214</f>
        <v>-4824.6725450856902</v>
      </c>
    </row>
    <row r="603" spans="1:9" ht="18.75" customHeight="1" x14ac:dyDescent="0.25">
      <c r="A603" s="1"/>
      <c r="B603" s="56">
        <v>8</v>
      </c>
      <c r="C603" s="652" t="s">
        <v>221</v>
      </c>
      <c r="D603" s="652"/>
      <c r="E603" s="59">
        <f>'Process (1)'!N215</f>
        <v>14444.070066000002</v>
      </c>
      <c r="F603" s="59">
        <f>'Process (1)'!O215</f>
        <v>4276.6031744475313</v>
      </c>
      <c r="G603" s="59">
        <f>'Process (1)'!P215</f>
        <v>182.184</v>
      </c>
      <c r="H603" s="59">
        <f>'Process (1)'!Q215</f>
        <v>907.27632000000017</v>
      </c>
      <c r="I603" s="59">
        <f>'Process (1)'!R215</f>
        <v>-4824.6725450856902</v>
      </c>
    </row>
    <row r="606" spans="1:9" ht="18.75" customHeight="1" x14ac:dyDescent="0.25">
      <c r="A606" s="563" t="s">
        <v>926</v>
      </c>
      <c r="B606" s="565" t="s">
        <v>959</v>
      </c>
      <c r="C606" s="564"/>
      <c r="D606" s="564"/>
      <c r="E606" s="564"/>
      <c r="F606" s="564"/>
      <c r="G606" s="564"/>
      <c r="H606" s="564"/>
      <c r="I606" s="564"/>
    </row>
    <row r="607" spans="1:9" ht="18.75" customHeight="1" x14ac:dyDescent="0.25">
      <c r="A607" s="368" t="s">
        <v>509</v>
      </c>
      <c r="B607" s="199" t="s">
        <v>252</v>
      </c>
      <c r="C607" s="200"/>
      <c r="D607" s="200"/>
      <c r="E607" s="200"/>
      <c r="F607" s="200"/>
      <c r="G607" s="200"/>
      <c r="H607" s="200"/>
      <c r="I607" s="374"/>
    </row>
    <row r="608" spans="1:9" ht="18.75" customHeight="1" x14ac:dyDescent="0.25">
      <c r="A608" s="25"/>
      <c r="B608" s="2" t="s">
        <v>238</v>
      </c>
      <c r="C608" s="2"/>
      <c r="D608" s="2"/>
      <c r="E608" s="2"/>
      <c r="F608" s="2"/>
      <c r="G608" s="3" t="s">
        <v>239</v>
      </c>
      <c r="H608" s="66">
        <f>'Process (2)'!I2</f>
        <v>1.6</v>
      </c>
      <c r="I608" s="10" t="s">
        <v>0</v>
      </c>
    </row>
    <row r="609" spans="1:10" ht="18.75" customHeight="1" x14ac:dyDescent="0.25">
      <c r="A609" s="25"/>
      <c r="B609" s="2" t="s">
        <v>253</v>
      </c>
      <c r="C609" s="2"/>
      <c r="D609" s="2"/>
      <c r="E609" s="2"/>
      <c r="F609" s="2"/>
      <c r="G609" s="3" t="s">
        <v>254</v>
      </c>
      <c r="H609" s="66">
        <f>'Process (2)'!I3</f>
        <v>1.25</v>
      </c>
      <c r="I609" s="10" t="s">
        <v>0</v>
      </c>
    </row>
    <row r="610" spans="1:10" ht="18.75" customHeight="1" x14ac:dyDescent="0.25">
      <c r="A610" s="25"/>
      <c r="B610" s="2" t="s">
        <v>255</v>
      </c>
      <c r="C610" s="2"/>
      <c r="D610" s="2"/>
      <c r="E610" s="2"/>
      <c r="F610" s="2"/>
      <c r="G610" s="3" t="s">
        <v>226</v>
      </c>
      <c r="H610" s="66">
        <f>'Process (2)'!I4</f>
        <v>0</v>
      </c>
      <c r="I610" s="10" t="s">
        <v>0</v>
      </c>
    </row>
    <row r="611" spans="1:10" ht="18.75" customHeight="1" x14ac:dyDescent="0.25">
      <c r="A611" s="25"/>
      <c r="B611" s="2" t="s">
        <v>172</v>
      </c>
      <c r="C611" s="2"/>
      <c r="D611" s="2"/>
      <c r="E611" s="2"/>
      <c r="F611" s="2"/>
      <c r="G611" s="3" t="s">
        <v>256</v>
      </c>
      <c r="H611" s="66">
        <f>'Process (2)'!I5</f>
        <v>25</v>
      </c>
      <c r="I611" s="10" t="s">
        <v>43</v>
      </c>
    </row>
    <row r="612" spans="1:10" ht="18.75" customHeight="1" x14ac:dyDescent="0.25">
      <c r="A612" s="25"/>
      <c r="B612" s="2" t="s">
        <v>257</v>
      </c>
      <c r="C612" s="2"/>
      <c r="D612" s="2"/>
      <c r="E612" s="2"/>
      <c r="F612" s="2"/>
      <c r="G612" s="3" t="s">
        <v>42</v>
      </c>
      <c r="H612" s="66">
        <f>'Process (2)'!I6</f>
        <v>17.2</v>
      </c>
      <c r="I612" s="10" t="s">
        <v>43</v>
      </c>
    </row>
    <row r="613" spans="1:10" ht="18.75" customHeight="1" x14ac:dyDescent="0.25">
      <c r="A613" s="25"/>
      <c r="B613" s="2" t="s">
        <v>258</v>
      </c>
      <c r="C613" s="2"/>
      <c r="D613" s="2"/>
      <c r="E613" s="2"/>
      <c r="F613" s="2"/>
      <c r="G613" s="3" t="s">
        <v>45</v>
      </c>
      <c r="H613" s="66">
        <f>'Process (2)'!I7</f>
        <v>9.81</v>
      </c>
      <c r="I613" s="10" t="s">
        <v>43</v>
      </c>
    </row>
    <row r="614" spans="1:10" ht="18.75" customHeight="1" x14ac:dyDescent="0.25">
      <c r="A614" s="25"/>
      <c r="B614" s="2"/>
      <c r="C614" s="2"/>
      <c r="D614" s="2"/>
      <c r="E614" s="2"/>
      <c r="F614" s="2"/>
      <c r="G614" s="3"/>
      <c r="H614" s="62"/>
      <c r="I614" s="10"/>
    </row>
    <row r="615" spans="1:10" ht="18.75" customHeight="1" x14ac:dyDescent="0.25">
      <c r="A615" s="368" t="s">
        <v>841</v>
      </c>
      <c r="B615" s="199" t="s">
        <v>229</v>
      </c>
      <c r="C615" s="200"/>
      <c r="D615" s="200"/>
      <c r="E615" s="200"/>
      <c r="F615" s="200"/>
      <c r="G615" s="372"/>
      <c r="H615" s="373"/>
      <c r="I615" s="374"/>
    </row>
    <row r="616" spans="1:10" ht="18.75" customHeight="1" x14ac:dyDescent="0.25">
      <c r="A616" s="25"/>
      <c r="B616" s="2" t="s">
        <v>230</v>
      </c>
      <c r="C616" s="2"/>
      <c r="D616" s="2"/>
      <c r="E616" s="2"/>
      <c r="F616" s="2"/>
      <c r="G616" s="3" t="s">
        <v>48</v>
      </c>
      <c r="H616" s="66">
        <f>'Process (2)'!I10</f>
        <v>0.8</v>
      </c>
      <c r="I616" s="10" t="s">
        <v>0</v>
      </c>
    </row>
    <row r="617" spans="1:10" ht="18.75" customHeight="1" x14ac:dyDescent="0.25">
      <c r="A617" s="25"/>
      <c r="B617" s="2" t="s">
        <v>234</v>
      </c>
      <c r="C617" s="2"/>
      <c r="D617" s="2"/>
      <c r="E617" s="2"/>
      <c r="F617" s="2"/>
      <c r="G617" s="3" t="s">
        <v>232</v>
      </c>
      <c r="H617" s="67">
        <f>'Process (2)'!I11</f>
        <v>11</v>
      </c>
      <c r="I617" s="64" t="s">
        <v>233</v>
      </c>
    </row>
    <row r="618" spans="1:10" ht="18.75" customHeight="1" x14ac:dyDescent="0.25">
      <c r="A618" s="25"/>
      <c r="B618" s="2"/>
      <c r="C618" s="2"/>
      <c r="D618" s="2"/>
      <c r="E618" s="2"/>
      <c r="F618" s="2"/>
      <c r="G618" s="3"/>
      <c r="H618" s="68"/>
      <c r="I618" s="10"/>
    </row>
    <row r="619" spans="1:10" ht="18.75" customHeight="1" x14ac:dyDescent="0.25">
      <c r="A619" s="25"/>
      <c r="B619" s="2"/>
      <c r="C619" s="2"/>
      <c r="D619" s="2"/>
      <c r="E619" s="2"/>
      <c r="F619" s="2"/>
      <c r="G619" s="3"/>
      <c r="H619" s="68"/>
      <c r="I619" s="10"/>
    </row>
    <row r="620" spans="1:10" ht="18.75" customHeight="1" x14ac:dyDescent="0.25">
      <c r="A620" s="25"/>
      <c r="B620" s="2"/>
      <c r="C620" s="2"/>
      <c r="D620" s="2"/>
      <c r="E620" s="2"/>
      <c r="F620" s="2"/>
      <c r="G620" s="3"/>
      <c r="H620" s="68"/>
      <c r="I620" s="10"/>
    </row>
    <row r="621" spans="1:10" ht="18.75" customHeight="1" x14ac:dyDescent="0.25">
      <c r="A621" s="25"/>
      <c r="B621" s="2"/>
      <c r="C621" s="2"/>
      <c r="D621" s="2"/>
      <c r="E621" s="2"/>
      <c r="F621" s="2"/>
      <c r="G621" s="3"/>
      <c r="H621" s="68"/>
      <c r="I621" s="10"/>
    </row>
    <row r="622" spans="1:10" ht="18.75" customHeight="1" x14ac:dyDescent="0.25">
      <c r="A622" s="25"/>
      <c r="B622" s="2"/>
      <c r="C622" s="2"/>
      <c r="D622" s="2"/>
      <c r="E622" s="2"/>
      <c r="F622" s="2"/>
      <c r="G622" s="3"/>
      <c r="H622" s="68"/>
      <c r="I622" s="10"/>
    </row>
    <row r="623" spans="1:10" ht="18.75" customHeight="1" x14ac:dyDescent="0.25">
      <c r="A623" s="368" t="s">
        <v>842</v>
      </c>
      <c r="B623" s="199" t="s">
        <v>259</v>
      </c>
      <c r="C623" s="200"/>
      <c r="D623" s="200"/>
      <c r="E623" s="200"/>
      <c r="F623" s="200"/>
      <c r="G623" s="200"/>
      <c r="H623" s="200"/>
      <c r="I623" s="200"/>
      <c r="J623" s="10"/>
    </row>
    <row r="624" spans="1:10" ht="18.75" customHeight="1" x14ac:dyDescent="0.25">
      <c r="A624" s="25"/>
      <c r="B624" s="61"/>
      <c r="C624" s="2"/>
      <c r="D624" s="2"/>
      <c r="E624" s="2"/>
      <c r="F624" s="2"/>
      <c r="G624" s="2"/>
      <c r="H624" s="2"/>
      <c r="I624" s="2"/>
      <c r="J624" s="10"/>
    </row>
    <row r="625" spans="1:10" ht="18.75" customHeight="1" x14ac:dyDescent="0.25">
      <c r="A625" s="25"/>
      <c r="B625" s="61"/>
      <c r="C625" s="2"/>
      <c r="D625" s="2"/>
      <c r="E625" s="2"/>
      <c r="F625" s="2"/>
      <c r="G625" s="2"/>
      <c r="H625" s="2"/>
      <c r="I625" s="2"/>
      <c r="J625" s="10"/>
    </row>
    <row r="626" spans="1:10" ht="18.75" customHeight="1" x14ac:dyDescent="0.25">
      <c r="A626" s="25"/>
      <c r="B626" s="61"/>
      <c r="C626" s="2"/>
      <c r="D626" s="2"/>
      <c r="E626" s="2"/>
      <c r="F626" s="2"/>
      <c r="G626" s="2"/>
      <c r="H626" s="2"/>
      <c r="I626" s="2"/>
      <c r="J626" s="10"/>
    </row>
    <row r="627" spans="1:10" ht="18.75" customHeight="1" x14ac:dyDescent="0.25">
      <c r="A627" s="25"/>
      <c r="B627" s="61"/>
      <c r="C627" s="2"/>
      <c r="D627" s="2"/>
      <c r="E627" s="2"/>
      <c r="F627" s="2"/>
      <c r="G627" s="2"/>
      <c r="H627" s="2"/>
      <c r="I627" s="2"/>
      <c r="J627" s="10"/>
    </row>
    <row r="628" spans="1:10" ht="18.75" customHeight="1" x14ac:dyDescent="0.25">
      <c r="A628" s="25"/>
      <c r="B628" s="61"/>
      <c r="C628" s="2"/>
      <c r="D628" s="2"/>
      <c r="E628" s="2"/>
      <c r="F628" s="2"/>
      <c r="G628" s="2"/>
      <c r="H628" s="2"/>
      <c r="I628" s="2"/>
      <c r="J628" s="10"/>
    </row>
    <row r="629" spans="1:10" ht="18.75" customHeight="1" x14ac:dyDescent="0.25">
      <c r="A629" s="25"/>
      <c r="B629" s="61"/>
      <c r="C629" s="2"/>
      <c r="D629" s="2"/>
      <c r="E629" s="2"/>
      <c r="F629" s="2"/>
      <c r="G629" s="2"/>
      <c r="H629" s="2"/>
      <c r="I629" s="2"/>
      <c r="J629" s="10"/>
    </row>
    <row r="630" spans="1:10" ht="18.75" customHeight="1" x14ac:dyDescent="0.25">
      <c r="A630" s="25"/>
      <c r="B630" s="61"/>
      <c r="C630" s="2"/>
      <c r="D630" s="2"/>
      <c r="E630" s="2"/>
      <c r="F630" s="2"/>
      <c r="G630" s="2"/>
      <c r="H630" s="2"/>
      <c r="I630" s="2"/>
      <c r="J630" s="10"/>
    </row>
    <row r="631" spans="1:10" ht="18.75" customHeight="1" x14ac:dyDescent="0.25">
      <c r="A631" s="25"/>
      <c r="B631" s="61"/>
      <c r="C631" s="2"/>
      <c r="D631" s="2"/>
      <c r="E631" s="2"/>
      <c r="F631" s="2"/>
      <c r="G631" s="2"/>
      <c r="H631" s="2"/>
      <c r="I631" s="2"/>
      <c r="J631" s="10"/>
    </row>
    <row r="632" spans="1:10" ht="18.75" customHeight="1" x14ac:dyDescent="0.25">
      <c r="A632" s="25"/>
      <c r="B632" s="61"/>
      <c r="C632" s="2"/>
      <c r="D632" s="2"/>
      <c r="E632" s="2"/>
      <c r="F632" s="2"/>
      <c r="G632" s="2"/>
      <c r="H632" s="2"/>
      <c r="I632" s="2"/>
      <c r="J632" s="10"/>
    </row>
    <row r="633" spans="1:10" ht="18.75" customHeight="1" x14ac:dyDescent="0.25">
      <c r="A633" s="25"/>
      <c r="B633" s="61"/>
      <c r="C633" s="2"/>
      <c r="D633" s="2"/>
      <c r="E633" s="2"/>
      <c r="F633" s="2"/>
      <c r="G633" s="2"/>
      <c r="H633" s="2"/>
      <c r="I633" s="2"/>
      <c r="J633" s="10"/>
    </row>
    <row r="634" spans="1:10" ht="18.75" customHeight="1" x14ac:dyDescent="0.25">
      <c r="A634" s="25"/>
      <c r="B634" s="61"/>
      <c r="C634" s="2"/>
      <c r="D634" s="2"/>
      <c r="E634" s="2"/>
      <c r="F634" s="2"/>
      <c r="G634" s="2"/>
      <c r="H634" s="2"/>
      <c r="I634" s="2"/>
      <c r="J634" s="10"/>
    </row>
    <row r="635" spans="1:10" ht="18.75" customHeight="1" x14ac:dyDescent="0.25">
      <c r="A635" s="25"/>
      <c r="B635" s="61"/>
      <c r="C635" s="2"/>
      <c r="D635" s="2"/>
      <c r="E635" s="2"/>
      <c r="F635" s="2"/>
      <c r="G635" s="2"/>
      <c r="H635" s="2"/>
      <c r="I635" s="2"/>
      <c r="J635" s="10"/>
    </row>
    <row r="636" spans="1:10" ht="18.75" customHeight="1" x14ac:dyDescent="0.25">
      <c r="A636" s="25"/>
      <c r="B636" s="61"/>
      <c r="C636" s="2"/>
      <c r="D636" s="2"/>
      <c r="E636" s="2"/>
      <c r="F636" s="2"/>
      <c r="G636" s="2"/>
      <c r="H636" s="2"/>
      <c r="I636" s="2"/>
      <c r="J636" s="10"/>
    </row>
    <row r="637" spans="1:10" ht="18.75" customHeight="1" x14ac:dyDescent="0.25">
      <c r="A637" s="25"/>
      <c r="B637" s="61"/>
      <c r="C637" s="2"/>
      <c r="D637" s="2"/>
      <c r="E637" s="2"/>
      <c r="F637" s="2"/>
      <c r="G637" s="2"/>
      <c r="H637" s="2"/>
      <c r="I637" s="2"/>
      <c r="J637" s="10"/>
    </row>
    <row r="638" spans="1:10" ht="18.75" customHeight="1" x14ac:dyDescent="0.25">
      <c r="A638" s="25"/>
      <c r="B638" s="61"/>
      <c r="C638" s="2"/>
      <c r="D638" s="2"/>
      <c r="E638" s="2"/>
      <c r="F638" s="2"/>
      <c r="G638" s="2"/>
      <c r="H638" s="2"/>
      <c r="I638" s="2"/>
      <c r="J638" s="10"/>
    </row>
    <row r="639" spans="1:10" ht="18.75" customHeight="1" x14ac:dyDescent="0.25">
      <c r="A639" s="25"/>
      <c r="B639" s="61"/>
      <c r="C639" s="2"/>
      <c r="D639" s="2"/>
      <c r="E639" s="2"/>
      <c r="F639" s="2"/>
      <c r="G639" s="2"/>
      <c r="H639" s="2"/>
      <c r="I639" s="2"/>
      <c r="J639" s="10"/>
    </row>
    <row r="640" spans="1:10" ht="18.75" customHeight="1" x14ac:dyDescent="0.25">
      <c r="A640" s="25"/>
      <c r="B640" s="61"/>
      <c r="C640" s="2"/>
      <c r="D640" s="2"/>
      <c r="E640" s="2"/>
      <c r="F640" s="2"/>
      <c r="G640" s="2"/>
      <c r="H640" s="2"/>
      <c r="I640" s="2"/>
      <c r="J640" s="10"/>
    </row>
    <row r="641" spans="1:10" ht="18.75" customHeight="1" x14ac:dyDescent="0.25">
      <c r="A641" s="25"/>
      <c r="B641" s="61"/>
      <c r="C641" s="2"/>
      <c r="D641" s="2"/>
      <c r="E641" s="2"/>
      <c r="F641" s="2"/>
      <c r="G641" s="2"/>
      <c r="H641" s="2"/>
      <c r="I641" s="2"/>
      <c r="J641" s="10"/>
    </row>
    <row r="642" spans="1:10" ht="18.75" customHeight="1" x14ac:dyDescent="0.25">
      <c r="A642" s="25"/>
      <c r="B642" s="381" t="s">
        <v>260</v>
      </c>
      <c r="C642" s="382"/>
      <c r="D642" s="382"/>
      <c r="E642" s="382"/>
      <c r="F642" s="382"/>
      <c r="G642" s="383"/>
      <c r="H642" s="296" t="s">
        <v>261</v>
      </c>
      <c r="I642" s="65"/>
    </row>
    <row r="643" spans="1:10" ht="18.75" customHeight="1" x14ac:dyDescent="0.25">
      <c r="A643" s="25"/>
      <c r="B643" s="2" t="s">
        <v>262</v>
      </c>
      <c r="C643" s="2"/>
      <c r="D643" s="2"/>
      <c r="E643" s="2"/>
      <c r="F643" s="2"/>
      <c r="G643" s="3" t="s">
        <v>263</v>
      </c>
      <c r="H643" s="66">
        <f>'Process (2)'!I34</f>
        <v>12307.330820000003</v>
      </c>
      <c r="I643" s="10" t="s">
        <v>115</v>
      </c>
    </row>
    <row r="644" spans="1:10" ht="18.75" customHeight="1" x14ac:dyDescent="0.25">
      <c r="A644" s="25"/>
      <c r="B644" s="2" t="s">
        <v>264</v>
      </c>
      <c r="C644" s="2"/>
      <c r="D644" s="2"/>
      <c r="E644" s="2"/>
      <c r="F644" s="2"/>
      <c r="G644" s="3" t="s">
        <v>265</v>
      </c>
      <c r="H644" s="66">
        <f>'Process (2)'!I35</f>
        <v>716.81124</v>
      </c>
      <c r="I644" s="10" t="s">
        <v>145</v>
      </c>
    </row>
    <row r="645" spans="1:10" ht="18.75" customHeight="1" x14ac:dyDescent="0.25">
      <c r="A645" s="25"/>
      <c r="B645" s="2" t="s">
        <v>266</v>
      </c>
      <c r="C645" s="2"/>
      <c r="D645" s="2"/>
      <c r="E645" s="2"/>
      <c r="F645" s="2"/>
      <c r="G645" s="3" t="s">
        <v>267</v>
      </c>
      <c r="H645" s="66">
        <f>'Process (2)'!I36</f>
        <v>2643.3204641952179</v>
      </c>
      <c r="I645" s="10" t="s">
        <v>145</v>
      </c>
    </row>
    <row r="646" spans="1:10" ht="18.75" customHeight="1" x14ac:dyDescent="0.25">
      <c r="A646" s="25"/>
      <c r="B646" s="2"/>
      <c r="C646" s="2"/>
      <c r="D646" s="2"/>
      <c r="E646" s="2"/>
      <c r="F646" s="2"/>
      <c r="G646" s="3"/>
      <c r="H646" s="62"/>
      <c r="I646" s="2"/>
    </row>
    <row r="647" spans="1:10" ht="18.75" customHeight="1" x14ac:dyDescent="0.25">
      <c r="A647" s="25"/>
      <c r="B647" s="384" t="s">
        <v>51</v>
      </c>
      <c r="C647" s="385"/>
      <c r="D647" s="385"/>
      <c r="E647" s="385"/>
      <c r="F647" s="385"/>
      <c r="G647" s="386"/>
      <c r="H647" s="70" t="s">
        <v>261</v>
      </c>
      <c r="I647" s="65"/>
    </row>
    <row r="648" spans="1:10" ht="18.75" customHeight="1" x14ac:dyDescent="0.25">
      <c r="A648" s="25"/>
      <c r="B648" s="2" t="s">
        <v>268</v>
      </c>
      <c r="C648" s="2"/>
      <c r="D648" s="2"/>
      <c r="E648" s="2"/>
      <c r="F648" s="2"/>
      <c r="G648" s="3" t="s">
        <v>269</v>
      </c>
      <c r="H648" s="66">
        <f>'Process (2)'!I39</f>
        <v>11009.250820000001</v>
      </c>
      <c r="I648" s="10" t="s">
        <v>115</v>
      </c>
    </row>
    <row r="649" spans="1:10" ht="18.75" customHeight="1" x14ac:dyDescent="0.25">
      <c r="A649" s="25"/>
      <c r="B649" s="2" t="s">
        <v>270</v>
      </c>
      <c r="C649" s="2"/>
      <c r="D649" s="2"/>
      <c r="E649" s="2"/>
      <c r="F649" s="2"/>
      <c r="G649" s="3" t="s">
        <v>271</v>
      </c>
      <c r="H649" s="66">
        <f>'Process (2)'!I40</f>
        <v>3888.6633488879993</v>
      </c>
      <c r="I649" s="10" t="s">
        <v>145</v>
      </c>
    </row>
    <row r="650" spans="1:10" ht="18.75" customHeight="1" x14ac:dyDescent="0.25">
      <c r="A650" s="25"/>
      <c r="B650" s="2" t="s">
        <v>272</v>
      </c>
      <c r="C650" s="2"/>
      <c r="D650" s="2"/>
      <c r="E650" s="2"/>
      <c r="F650" s="2"/>
      <c r="G650" s="3" t="s">
        <v>273</v>
      </c>
      <c r="H650" s="66">
        <f>'Process (2)'!I41</f>
        <v>14991.660732468616</v>
      </c>
      <c r="I650" s="10" t="s">
        <v>145</v>
      </c>
    </row>
    <row r="651" spans="1:10" ht="18.75" customHeight="1" x14ac:dyDescent="0.25">
      <c r="A651" s="25"/>
      <c r="B651" s="2"/>
      <c r="C651" s="2"/>
      <c r="D651" s="2"/>
      <c r="E651" s="2"/>
      <c r="F651" s="2"/>
      <c r="G651" s="3"/>
      <c r="H651" s="62"/>
      <c r="I651" s="65"/>
    </row>
    <row r="652" spans="1:10" ht="18.75" customHeight="1" x14ac:dyDescent="0.25">
      <c r="A652" s="25"/>
      <c r="B652" s="387" t="s">
        <v>52</v>
      </c>
      <c r="C652" s="388"/>
      <c r="D652" s="388"/>
      <c r="E652" s="388"/>
      <c r="F652" s="388"/>
      <c r="G652" s="389"/>
      <c r="H652" s="24" t="s">
        <v>261</v>
      </c>
      <c r="I652" s="65"/>
    </row>
    <row r="653" spans="1:10" ht="18.75" customHeight="1" x14ac:dyDescent="0.25">
      <c r="A653" s="25"/>
      <c r="B653" s="2" t="s">
        <v>274</v>
      </c>
      <c r="C653" s="2"/>
      <c r="D653" s="2"/>
      <c r="E653" s="2"/>
      <c r="F653" s="2"/>
      <c r="G653" s="3" t="s">
        <v>275</v>
      </c>
      <c r="H653" s="66">
        <f>'Process (2)'!I44</f>
        <v>11009.250820000001</v>
      </c>
      <c r="I653" s="10" t="s">
        <v>115</v>
      </c>
    </row>
    <row r="654" spans="1:10" ht="18.75" customHeight="1" x14ac:dyDescent="0.25">
      <c r="A654" s="25"/>
      <c r="B654" s="2" t="s">
        <v>276</v>
      </c>
      <c r="C654" s="2"/>
      <c r="D654" s="2"/>
      <c r="E654" s="2"/>
      <c r="F654" s="2"/>
      <c r="G654" s="3" t="s">
        <v>277</v>
      </c>
      <c r="H654" s="66">
        <f>'Process (2)'!I45</f>
        <v>8088.734667912423</v>
      </c>
      <c r="I654" s="10" t="s">
        <v>145</v>
      </c>
    </row>
    <row r="655" spans="1:10" ht="18.75" customHeight="1" x14ac:dyDescent="0.25">
      <c r="A655" s="25"/>
      <c r="B655" s="2" t="s">
        <v>278</v>
      </c>
      <c r="C655" s="2"/>
      <c r="D655" s="2"/>
      <c r="E655" s="2"/>
      <c r="F655" s="2"/>
      <c r="G655" s="3" t="s">
        <v>279</v>
      </c>
      <c r="H655" s="66">
        <f>'Process (2)'!I46</f>
        <v>4456.0699698823446</v>
      </c>
      <c r="I655" s="10" t="s">
        <v>145</v>
      </c>
    </row>
    <row r="656" spans="1:10" ht="18.75" customHeight="1" x14ac:dyDescent="0.25">
      <c r="A656" s="25"/>
      <c r="B656" s="2"/>
      <c r="C656" s="2"/>
      <c r="D656" s="2"/>
      <c r="E656" s="2"/>
      <c r="F656" s="2"/>
      <c r="G656" s="3"/>
      <c r="H656" s="71"/>
      <c r="I656" s="10"/>
    </row>
    <row r="657" spans="1:10" ht="18.75" customHeight="1" x14ac:dyDescent="0.25">
      <c r="A657" s="25"/>
      <c r="B657" s="2" t="s">
        <v>865</v>
      </c>
      <c r="C657" s="2"/>
      <c r="D657" s="2"/>
      <c r="E657" s="2"/>
      <c r="F657" s="2"/>
      <c r="G657" s="3" t="s">
        <v>114</v>
      </c>
      <c r="H657" s="67">
        <f>'Process (2)'!I48</f>
        <v>2343.6331640781891</v>
      </c>
      <c r="I657" s="10" t="s">
        <v>115</v>
      </c>
    </row>
    <row r="658" spans="1:10" ht="18.75" customHeight="1" x14ac:dyDescent="0.25">
      <c r="A658" s="25"/>
      <c r="B658" s="2" t="s">
        <v>280</v>
      </c>
      <c r="C658" s="2"/>
      <c r="D658" s="2"/>
      <c r="E658" s="2"/>
      <c r="F658" s="2"/>
      <c r="G658" s="3" t="s">
        <v>2</v>
      </c>
      <c r="H658" s="67">
        <f>'Process (2)'!I49</f>
        <v>8</v>
      </c>
      <c r="I658" s="10" t="s">
        <v>0</v>
      </c>
    </row>
    <row r="660" spans="1:10" ht="18.75" customHeight="1" x14ac:dyDescent="0.25">
      <c r="A660" s="368" t="s">
        <v>530</v>
      </c>
      <c r="B660" s="199" t="s">
        <v>281</v>
      </c>
      <c r="C660" s="200"/>
      <c r="D660" s="200"/>
      <c r="E660" s="200"/>
      <c r="F660" s="200"/>
      <c r="G660" s="200"/>
      <c r="H660" s="200"/>
      <c r="I660" s="200"/>
      <c r="J660" s="10"/>
    </row>
    <row r="661" spans="1:10" ht="18.75" customHeight="1" x14ac:dyDescent="0.25">
      <c r="A661" s="25"/>
      <c r="B661" s="61" t="s">
        <v>282</v>
      </c>
      <c r="C661" s="2"/>
      <c r="D661" s="2"/>
      <c r="E661" s="2"/>
      <c r="F661" s="61" t="s">
        <v>283</v>
      </c>
      <c r="G661" s="2"/>
      <c r="H661" s="2"/>
      <c r="I661" s="2"/>
      <c r="J661" s="10"/>
    </row>
    <row r="662" spans="1:10" ht="37.5" customHeight="1" x14ac:dyDescent="0.25">
      <c r="A662" s="25"/>
      <c r="B662" s="605" t="s">
        <v>284</v>
      </c>
      <c r="C662" s="606"/>
      <c r="D662" s="606"/>
      <c r="E662" s="607"/>
      <c r="F662" s="605" t="s">
        <v>285</v>
      </c>
      <c r="G662" s="606"/>
      <c r="H662" s="606"/>
      <c r="I662" s="607"/>
      <c r="J662" s="10"/>
    </row>
    <row r="663" spans="1:10" ht="18.75" customHeight="1" x14ac:dyDescent="0.25">
      <c r="A663" s="25"/>
      <c r="B663" s="73" t="s">
        <v>59</v>
      </c>
      <c r="C663" s="73" t="s">
        <v>286</v>
      </c>
      <c r="D663" s="73" t="s">
        <v>287</v>
      </c>
      <c r="E663" s="74" t="s">
        <v>288</v>
      </c>
      <c r="F663" s="73" t="s">
        <v>59</v>
      </c>
      <c r="G663" s="73" t="s">
        <v>286</v>
      </c>
      <c r="H663" s="73" t="s">
        <v>289</v>
      </c>
      <c r="I663" s="74" t="s">
        <v>290</v>
      </c>
      <c r="J663" s="10"/>
    </row>
    <row r="664" spans="1:10" ht="18.75" customHeight="1" x14ac:dyDescent="0.25">
      <c r="A664" s="25"/>
      <c r="B664" s="75"/>
      <c r="C664" s="75" t="s">
        <v>292</v>
      </c>
      <c r="D664" s="75" t="s">
        <v>68</v>
      </c>
      <c r="E664" s="76" t="s">
        <v>293</v>
      </c>
      <c r="F664" s="75"/>
      <c r="G664" s="75" t="s">
        <v>292</v>
      </c>
      <c r="H664" s="75" t="s">
        <v>68</v>
      </c>
      <c r="I664" s="76" t="s">
        <v>293</v>
      </c>
      <c r="J664" s="10"/>
    </row>
    <row r="665" spans="1:10" ht="18.75" customHeight="1" x14ac:dyDescent="0.25">
      <c r="A665" s="25"/>
      <c r="B665" s="79">
        <f>'Process (2)'!B56</f>
        <v>1</v>
      </c>
      <c r="C665" s="80">
        <f>'Process (2)'!C56</f>
        <v>2</v>
      </c>
      <c r="D665" s="81">
        <f>'Process (2)'!D56</f>
        <v>-7</v>
      </c>
      <c r="E665" s="82">
        <f>'Process (2)'!E56</f>
        <v>98</v>
      </c>
      <c r="F665" s="79">
        <f>'Process (2)'!F56</f>
        <v>1</v>
      </c>
      <c r="G665" s="80">
        <f>'Process (2)'!G56</f>
        <v>6</v>
      </c>
      <c r="H665" s="81">
        <f>'Process (2)'!H56</f>
        <v>-1.5</v>
      </c>
      <c r="I665" s="82">
        <f>'Process (2)'!I56</f>
        <v>13.5</v>
      </c>
      <c r="J665" s="10"/>
    </row>
    <row r="666" spans="1:10" ht="18.75" customHeight="1" x14ac:dyDescent="0.25">
      <c r="A666" s="25"/>
      <c r="B666" s="79">
        <f>'Process (2)'!B57</f>
        <v>2</v>
      </c>
      <c r="C666" s="80">
        <f>'Process (2)'!C57</f>
        <v>2</v>
      </c>
      <c r="D666" s="81">
        <f>'Process (2)'!D57</f>
        <v>-4.1999999999999993</v>
      </c>
      <c r="E666" s="82">
        <f>'Process (2)'!E57</f>
        <v>35.279999999999987</v>
      </c>
      <c r="F666" s="79">
        <f>'Process (2)'!F57</f>
        <v>2</v>
      </c>
      <c r="G666" s="80">
        <f>'Process (2)'!G57</f>
        <v>6</v>
      </c>
      <c r="H666" s="81">
        <f>'Process (2)'!H57</f>
        <v>1.5</v>
      </c>
      <c r="I666" s="82">
        <f>'Process (2)'!I57</f>
        <v>13.5</v>
      </c>
      <c r="J666" s="10"/>
    </row>
    <row r="667" spans="1:10" ht="18.75" customHeight="1" x14ac:dyDescent="0.25">
      <c r="A667" s="25"/>
      <c r="B667" s="79">
        <f>'Process (2)'!B58</f>
        <v>3</v>
      </c>
      <c r="C667" s="79">
        <f>'Process (2)'!C58</f>
        <v>2</v>
      </c>
      <c r="D667" s="81">
        <f>'Process (2)'!D58</f>
        <v>-1.4</v>
      </c>
      <c r="E667" s="82">
        <f>'Process (2)'!E58</f>
        <v>3.9199999999999995</v>
      </c>
      <c r="F667" s="79" t="str">
        <f>'Process (2)'!F58</f>
        <v/>
      </c>
      <c r="G667" s="79" t="str">
        <f>'Process (2)'!G58</f>
        <v/>
      </c>
      <c r="H667" s="81" t="str">
        <f>'Process (2)'!H58</f>
        <v/>
      </c>
      <c r="I667" s="82" t="str">
        <f>'Process (2)'!I58</f>
        <v/>
      </c>
      <c r="J667" s="10"/>
    </row>
    <row r="668" spans="1:10" ht="18.75" customHeight="1" x14ac:dyDescent="0.25">
      <c r="A668" s="25"/>
      <c r="B668" s="79">
        <f>'Process (2)'!B59</f>
        <v>4</v>
      </c>
      <c r="C668" s="79">
        <f>'Process (2)'!C59</f>
        <v>2</v>
      </c>
      <c r="D668" s="81">
        <f>'Process (2)'!D59</f>
        <v>1.4</v>
      </c>
      <c r="E668" s="82">
        <f>'Process (2)'!E59</f>
        <v>3.9199999999999995</v>
      </c>
      <c r="F668" s="79" t="str">
        <f>'Process (2)'!F59</f>
        <v/>
      </c>
      <c r="G668" s="79" t="str">
        <f>'Process (2)'!G59</f>
        <v/>
      </c>
      <c r="H668" s="81" t="str">
        <f>'Process (2)'!H59</f>
        <v/>
      </c>
      <c r="I668" s="82" t="str">
        <f>'Process (2)'!I59</f>
        <v/>
      </c>
      <c r="J668" s="10"/>
    </row>
    <row r="669" spans="1:10" ht="18.75" customHeight="1" x14ac:dyDescent="0.25">
      <c r="A669" s="25"/>
      <c r="B669" s="79">
        <f>'Process (2)'!B60</f>
        <v>5</v>
      </c>
      <c r="C669" s="79">
        <f>'Process (2)'!C60</f>
        <v>2</v>
      </c>
      <c r="D669" s="81">
        <f>'Process (2)'!D60</f>
        <v>4.1999999999999993</v>
      </c>
      <c r="E669" s="82">
        <f>'Process (2)'!E60</f>
        <v>35.279999999999987</v>
      </c>
      <c r="F669" s="79" t="str">
        <f>'Process (2)'!F60</f>
        <v/>
      </c>
      <c r="G669" s="79" t="str">
        <f>'Process (2)'!G60</f>
        <v/>
      </c>
      <c r="H669" s="81" t="str">
        <f>'Process (2)'!H60</f>
        <v/>
      </c>
      <c r="I669" s="82" t="str">
        <f>'Process (2)'!I60</f>
        <v/>
      </c>
      <c r="J669" s="10"/>
    </row>
    <row r="670" spans="1:10" ht="18.75" customHeight="1" x14ac:dyDescent="0.25">
      <c r="A670" s="25"/>
      <c r="B670" s="79">
        <f>'Process (2)'!B61</f>
        <v>6</v>
      </c>
      <c r="C670" s="79">
        <f>'Process (2)'!C61</f>
        <v>2</v>
      </c>
      <c r="D670" s="81">
        <f>'Process (2)'!D61</f>
        <v>7</v>
      </c>
      <c r="E670" s="82">
        <f>'Process (2)'!E61</f>
        <v>98</v>
      </c>
      <c r="F670" s="79" t="str">
        <f>'Process (2)'!F61</f>
        <v/>
      </c>
      <c r="G670" s="79" t="str">
        <f>'Process (2)'!G61</f>
        <v/>
      </c>
      <c r="H670" s="81" t="str">
        <f>'Process (2)'!H61</f>
        <v/>
      </c>
      <c r="I670" s="82" t="str">
        <f>'Process (2)'!I61</f>
        <v/>
      </c>
      <c r="J670" s="10"/>
    </row>
    <row r="671" spans="1:10" ht="18.75" customHeight="1" x14ac:dyDescent="0.25">
      <c r="A671" s="25"/>
      <c r="B671" s="79" t="str">
        <f>'Process (2)'!B62</f>
        <v/>
      </c>
      <c r="C671" s="79" t="str">
        <f>'Process (2)'!C62</f>
        <v/>
      </c>
      <c r="D671" s="81" t="str">
        <f>'Process (2)'!D62</f>
        <v/>
      </c>
      <c r="E671" s="82" t="str">
        <f>'Process (2)'!E62</f>
        <v/>
      </c>
      <c r="F671" s="79" t="str">
        <f>'Process (2)'!F62</f>
        <v/>
      </c>
      <c r="G671" s="79" t="str">
        <f>'Process (2)'!G62</f>
        <v/>
      </c>
      <c r="H671" s="81" t="str">
        <f>'Process (2)'!H62</f>
        <v/>
      </c>
      <c r="I671" s="82" t="str">
        <f>'Process (2)'!I62</f>
        <v/>
      </c>
      <c r="J671" s="10"/>
    </row>
    <row r="672" spans="1:10" ht="18.75" customHeight="1" x14ac:dyDescent="0.25">
      <c r="A672" s="25"/>
      <c r="B672" s="79" t="str">
        <f>'Process (2)'!B63</f>
        <v/>
      </c>
      <c r="C672" s="79" t="str">
        <f>'Process (2)'!C63</f>
        <v/>
      </c>
      <c r="D672" s="82" t="str">
        <f>'Process (2)'!D63</f>
        <v/>
      </c>
      <c r="E672" s="82" t="str">
        <f>'Process (2)'!E63</f>
        <v/>
      </c>
      <c r="F672" s="79" t="str">
        <f>'Process (2)'!F63</f>
        <v/>
      </c>
      <c r="G672" s="79" t="str">
        <f>'Process (2)'!G63</f>
        <v/>
      </c>
      <c r="H672" s="82" t="str">
        <f>'Process (2)'!H63</f>
        <v/>
      </c>
      <c r="I672" s="82" t="str">
        <f>'Process (2)'!I63</f>
        <v/>
      </c>
      <c r="J672" s="10"/>
    </row>
    <row r="673" spans="1:10" ht="18.75" customHeight="1" x14ac:dyDescent="0.25">
      <c r="A673" s="25"/>
      <c r="B673" s="117" t="s">
        <v>295</v>
      </c>
      <c r="C673" s="79">
        <f>SUM(C665:C672)</f>
        <v>12</v>
      </c>
      <c r="D673" s="84" t="s">
        <v>296</v>
      </c>
      <c r="E673" s="82">
        <f>SUM(E665:E672)</f>
        <v>274.39999999999992</v>
      </c>
      <c r="F673" s="118" t="s">
        <v>295</v>
      </c>
      <c r="G673" s="79">
        <f>SUM(G665:G672)</f>
        <v>12</v>
      </c>
      <c r="H673" s="84" t="s">
        <v>297</v>
      </c>
      <c r="I673" s="82">
        <f>SUM(I665:I672)</f>
        <v>27</v>
      </c>
      <c r="J673" s="10"/>
    </row>
    <row r="674" spans="1:10" ht="18.75" customHeight="1" x14ac:dyDescent="0.25">
      <c r="A674" s="25"/>
      <c r="B674" s="392"/>
      <c r="C674" s="390"/>
      <c r="D674" s="84"/>
      <c r="E674" s="391"/>
      <c r="F674" s="392"/>
      <c r="G674" s="390"/>
      <c r="H674" s="84"/>
      <c r="I674" s="393"/>
      <c r="J674" s="10"/>
    </row>
    <row r="675" spans="1:10" ht="18.75" customHeight="1" x14ac:dyDescent="0.25">
      <c r="A675" s="25"/>
      <c r="B675" s="86" t="s">
        <v>298</v>
      </c>
      <c r="C675" s="87"/>
      <c r="D675" s="87"/>
      <c r="E675" s="87"/>
      <c r="F675" s="87"/>
      <c r="G675" s="88" t="s">
        <v>299</v>
      </c>
      <c r="H675" s="82">
        <f>'Process (2)'!I65</f>
        <v>6.2</v>
      </c>
      <c r="I675" s="10" t="s">
        <v>0</v>
      </c>
    </row>
    <row r="676" spans="1:10" ht="18.75" customHeight="1" x14ac:dyDescent="0.25">
      <c r="A676" s="25"/>
      <c r="B676" s="86" t="s">
        <v>300</v>
      </c>
      <c r="C676" s="87"/>
      <c r="D676" s="87"/>
      <c r="E676" s="87"/>
      <c r="F676" s="87"/>
      <c r="G676" s="88" t="s">
        <v>301</v>
      </c>
      <c r="H676" s="82">
        <f>'Process (2)'!I66</f>
        <v>17.2</v>
      </c>
      <c r="I676" s="10" t="s">
        <v>0</v>
      </c>
    </row>
    <row r="677" spans="1:10" ht="18.75" customHeight="1" x14ac:dyDescent="0.25">
      <c r="A677" s="25"/>
      <c r="B677" s="2"/>
      <c r="C677" s="2"/>
      <c r="D677" s="2"/>
      <c r="E677" s="2"/>
      <c r="F677" s="2"/>
      <c r="G677" s="2"/>
      <c r="H677" s="2"/>
      <c r="I677" s="2"/>
      <c r="J677" s="10"/>
    </row>
    <row r="678" spans="1:10" ht="18.75" customHeight="1" x14ac:dyDescent="0.25">
      <c r="A678" s="25"/>
      <c r="B678" s="2" t="s">
        <v>358</v>
      </c>
      <c r="C678" s="2"/>
      <c r="D678" s="2"/>
      <c r="E678" s="2"/>
      <c r="F678" s="89"/>
      <c r="G678" s="3" t="s">
        <v>245</v>
      </c>
      <c r="H678" s="549">
        <f>'Process (2)'!I84</f>
        <v>3000</v>
      </c>
      <c r="I678" s="10" t="s">
        <v>49</v>
      </c>
    </row>
    <row r="679" spans="1:10" ht="18.75" customHeight="1" x14ac:dyDescent="0.25">
      <c r="A679" s="25"/>
      <c r="B679" s="2" t="s">
        <v>302</v>
      </c>
      <c r="C679" s="2"/>
      <c r="D679" s="2"/>
      <c r="E679" s="2"/>
      <c r="F679" s="551" t="s">
        <v>303</v>
      </c>
      <c r="G679" s="97" t="s">
        <v>304</v>
      </c>
      <c r="H679" s="552" t="s">
        <v>305</v>
      </c>
      <c r="I679" s="10"/>
    </row>
    <row r="680" spans="1:10" ht="18.75" customHeight="1" x14ac:dyDescent="0.25">
      <c r="A680" s="25"/>
      <c r="B680" s="61"/>
      <c r="C680" s="2"/>
      <c r="D680" s="2"/>
      <c r="E680" s="2"/>
      <c r="F680" s="553">
        <f>'Process (2)'!G86</f>
        <v>2000</v>
      </c>
      <c r="G680" s="212" t="s">
        <v>304</v>
      </c>
      <c r="H680" s="554">
        <f>'Process (2)'!I86</f>
        <v>3200</v>
      </c>
      <c r="I680" s="10"/>
    </row>
    <row r="681" spans="1:10" ht="18.75" customHeight="1" x14ac:dyDescent="0.25">
      <c r="A681" s="25"/>
      <c r="B681" s="61"/>
      <c r="C681" s="2"/>
      <c r="D681" s="2"/>
      <c r="E681" s="2"/>
      <c r="F681" s="89"/>
      <c r="G681" s="89" t="s">
        <v>306</v>
      </c>
      <c r="H681" s="92" t="str">
        <f>'Process (2)'!I87</f>
        <v>[ OK ]</v>
      </c>
      <c r="I681" s="10"/>
    </row>
    <row r="682" spans="1:10" ht="18.75" customHeight="1" x14ac:dyDescent="0.25">
      <c r="A682" s="25"/>
      <c r="B682" s="61"/>
      <c r="C682" s="2"/>
      <c r="D682" s="2"/>
      <c r="E682" s="2"/>
      <c r="F682" s="89"/>
      <c r="G682" s="89"/>
      <c r="H682" s="89"/>
      <c r="I682" s="10"/>
    </row>
    <row r="683" spans="1:10" ht="18.75" customHeight="1" x14ac:dyDescent="0.25">
      <c r="A683" s="25"/>
      <c r="B683" s="2" t="s">
        <v>359</v>
      </c>
      <c r="C683" s="2"/>
      <c r="D683" s="2"/>
      <c r="E683" s="2"/>
      <c r="F683" s="89"/>
      <c r="G683" s="3" t="s">
        <v>245</v>
      </c>
      <c r="H683" s="549">
        <f>'Process (2)'!I89</f>
        <v>2800</v>
      </c>
      <c r="I683" s="10" t="s">
        <v>49</v>
      </c>
    </row>
    <row r="684" spans="1:10" ht="18.75" customHeight="1" x14ac:dyDescent="0.25">
      <c r="A684" s="25"/>
      <c r="B684" s="2" t="s">
        <v>302</v>
      </c>
      <c r="C684" s="2"/>
      <c r="D684" s="2"/>
      <c r="E684" s="2"/>
      <c r="F684" s="551" t="s">
        <v>303</v>
      </c>
      <c r="G684" s="97" t="s">
        <v>304</v>
      </c>
      <c r="H684" s="552" t="s">
        <v>305</v>
      </c>
      <c r="I684" s="10"/>
    </row>
    <row r="685" spans="1:10" ht="18.75" customHeight="1" x14ac:dyDescent="0.25">
      <c r="A685" s="25"/>
      <c r="B685" s="61"/>
      <c r="C685" s="2"/>
      <c r="D685" s="2"/>
      <c r="E685" s="2"/>
      <c r="F685" s="553">
        <f>'Process (2)'!G91</f>
        <v>2000</v>
      </c>
      <c r="G685" s="212" t="s">
        <v>304</v>
      </c>
      <c r="H685" s="554">
        <f>'Process (2)'!I91</f>
        <v>3200</v>
      </c>
      <c r="I685" s="10"/>
    </row>
    <row r="686" spans="1:10" ht="18.75" customHeight="1" x14ac:dyDescent="0.25">
      <c r="A686" s="25"/>
      <c r="B686" s="61"/>
      <c r="C686" s="2"/>
      <c r="D686" s="2"/>
      <c r="E686" s="2"/>
      <c r="F686" s="89"/>
      <c r="G686" s="89" t="s">
        <v>306</v>
      </c>
      <c r="H686" s="92" t="str">
        <f>'Process (2)'!I92</f>
        <v>[ OK ]</v>
      </c>
      <c r="I686" s="10"/>
    </row>
    <row r="687" spans="1:10" ht="18.75" customHeight="1" x14ac:dyDescent="0.25">
      <c r="A687" s="25"/>
      <c r="B687" s="61"/>
      <c r="C687" s="2"/>
      <c r="D687" s="2"/>
      <c r="E687" s="2"/>
      <c r="F687" s="89"/>
      <c r="G687" s="89"/>
      <c r="H687" s="25"/>
      <c r="I687" s="10"/>
    </row>
    <row r="688" spans="1:10" ht="18.75" customHeight="1" x14ac:dyDescent="0.25">
      <c r="A688" s="25"/>
      <c r="B688" s="2" t="s">
        <v>238</v>
      </c>
      <c r="C688" s="2"/>
      <c r="D688" s="2"/>
      <c r="E688" s="2"/>
      <c r="F688" s="2"/>
      <c r="G688" s="3" t="s">
        <v>241</v>
      </c>
      <c r="H688" s="550">
        <f>'Process (2)'!I94</f>
        <v>1600</v>
      </c>
      <c r="I688" s="10" t="s">
        <v>49</v>
      </c>
    </row>
    <row r="689" spans="1:10" ht="18.75" customHeight="1" x14ac:dyDescent="0.25">
      <c r="A689" s="25"/>
      <c r="B689" s="2" t="s">
        <v>302</v>
      </c>
      <c r="C689" s="2"/>
      <c r="D689" s="2"/>
      <c r="E689" s="2"/>
      <c r="F689" s="551"/>
      <c r="G689" s="97" t="s">
        <v>307</v>
      </c>
      <c r="H689" s="552" t="s">
        <v>308</v>
      </c>
      <c r="I689" s="10"/>
    </row>
    <row r="690" spans="1:10" ht="18.75" customHeight="1" x14ac:dyDescent="0.25">
      <c r="A690" s="25"/>
      <c r="B690" s="61"/>
      <c r="C690" s="2"/>
      <c r="D690" s="2"/>
      <c r="E690" s="2"/>
      <c r="F690" s="553"/>
      <c r="G690" s="212" t="s">
        <v>307</v>
      </c>
      <c r="H690" s="554">
        <f>'Process (2)'!I96</f>
        <v>1000</v>
      </c>
      <c r="I690" s="10"/>
    </row>
    <row r="691" spans="1:10" ht="18.75" customHeight="1" x14ac:dyDescent="0.25">
      <c r="A691" s="25"/>
      <c r="B691" s="2"/>
      <c r="C691" s="2"/>
      <c r="D691" s="2"/>
      <c r="E691" s="2"/>
      <c r="F691" s="2"/>
      <c r="G691" s="89" t="s">
        <v>306</v>
      </c>
      <c r="H691" s="92" t="str">
        <f>'Process (2)'!I97</f>
        <v>[ OK ]</v>
      </c>
      <c r="I691" s="10"/>
    </row>
    <row r="696" spans="1:10" ht="18.75" customHeight="1" x14ac:dyDescent="0.25">
      <c r="A696" s="368" t="s">
        <v>843</v>
      </c>
      <c r="B696" s="199" t="s">
        <v>883</v>
      </c>
      <c r="C696" s="200"/>
      <c r="D696" s="200"/>
      <c r="E696" s="200"/>
      <c r="F696" s="200"/>
      <c r="G696" s="200"/>
      <c r="H696" s="200"/>
      <c r="I696" s="200"/>
      <c r="J696" s="10"/>
    </row>
    <row r="697" spans="1:10" ht="18.75" customHeight="1" x14ac:dyDescent="0.25">
      <c r="A697" s="25"/>
      <c r="B697" s="2" t="s">
        <v>345</v>
      </c>
      <c r="C697" s="2"/>
      <c r="D697" s="2"/>
      <c r="E697" s="2"/>
      <c r="F697" s="2"/>
      <c r="G697" s="90" t="s">
        <v>346</v>
      </c>
      <c r="H697" s="67">
        <f>'Process (2)'!I100</f>
        <v>0</v>
      </c>
      <c r="I697" s="10" t="s">
        <v>115</v>
      </c>
    </row>
    <row r="698" spans="1:10" ht="18.75" customHeight="1" x14ac:dyDescent="0.25">
      <c r="A698" s="25"/>
      <c r="B698" s="2" t="s">
        <v>309</v>
      </c>
      <c r="C698" s="2"/>
      <c r="D698" s="2"/>
      <c r="E698" s="2"/>
      <c r="F698" s="2"/>
      <c r="G698" s="90" t="s">
        <v>344</v>
      </c>
      <c r="H698" s="67">
        <f>'Process (2)'!I101</f>
        <v>1206.3715789784808</v>
      </c>
      <c r="I698" s="10" t="s">
        <v>115</v>
      </c>
    </row>
    <row r="699" spans="1:10" ht="18.75" customHeight="1" x14ac:dyDescent="0.25">
      <c r="A699" s="25"/>
      <c r="B699" s="2"/>
      <c r="C699" s="2"/>
      <c r="D699" s="2"/>
      <c r="E699" s="2"/>
      <c r="F699" s="2"/>
      <c r="G699" s="2"/>
      <c r="H699" s="91"/>
      <c r="I699" s="10"/>
    </row>
    <row r="700" spans="1:10" ht="18.75" customHeight="1" x14ac:dyDescent="0.25">
      <c r="A700" s="25"/>
      <c r="B700" s="2" t="s">
        <v>310</v>
      </c>
      <c r="C700" s="2"/>
      <c r="D700" s="2"/>
      <c r="E700" s="2"/>
      <c r="F700" s="2"/>
      <c r="G700" s="3" t="s">
        <v>347</v>
      </c>
      <c r="H700" s="92" t="s">
        <v>261</v>
      </c>
      <c r="I700" s="2"/>
    </row>
    <row r="701" spans="1:10" ht="18.75" customHeight="1" x14ac:dyDescent="0.25">
      <c r="A701" s="25"/>
      <c r="B701" s="400" t="s">
        <v>260</v>
      </c>
      <c r="C701" s="394"/>
      <c r="D701" s="394"/>
      <c r="E701" s="394"/>
      <c r="F701" s="395"/>
      <c r="G701" s="3" t="s">
        <v>311</v>
      </c>
      <c r="H701" s="93">
        <f>'Process (2)'!I104</f>
        <v>13513.702398978483</v>
      </c>
      <c r="I701" s="10" t="s">
        <v>115</v>
      </c>
    </row>
    <row r="702" spans="1:10" ht="18.75" customHeight="1" x14ac:dyDescent="0.25">
      <c r="A702" s="25"/>
      <c r="B702" s="401" t="s">
        <v>51</v>
      </c>
      <c r="C702" s="396"/>
      <c r="D702" s="396"/>
      <c r="E702" s="396"/>
      <c r="F702" s="397"/>
      <c r="G702" s="3" t="s">
        <v>312</v>
      </c>
      <c r="H702" s="94">
        <f>'Process (2)'!I105</f>
        <v>12215.622398978481</v>
      </c>
      <c r="I702" s="10" t="s">
        <v>115</v>
      </c>
    </row>
    <row r="703" spans="1:10" ht="18.75" customHeight="1" x14ac:dyDescent="0.25">
      <c r="A703" s="25"/>
      <c r="B703" s="402" t="s">
        <v>52</v>
      </c>
      <c r="C703" s="398"/>
      <c r="D703" s="398"/>
      <c r="E703" s="398"/>
      <c r="F703" s="399"/>
      <c r="G703" s="3" t="s">
        <v>313</v>
      </c>
      <c r="H703" s="95">
        <f>'Process (2)'!I106</f>
        <v>12215.622398978481</v>
      </c>
      <c r="I703" s="10" t="s">
        <v>115</v>
      </c>
    </row>
    <row r="704" spans="1:10" ht="18.75" customHeight="1" x14ac:dyDescent="0.25">
      <c r="A704" s="25"/>
      <c r="B704" s="96"/>
      <c r="C704" s="96"/>
      <c r="D704" s="96"/>
      <c r="E704" s="96"/>
      <c r="F704" s="96"/>
      <c r="G704" s="3"/>
      <c r="H704" s="97"/>
      <c r="I704" s="2"/>
    </row>
    <row r="705" spans="1:10" ht="18.75" customHeight="1" x14ac:dyDescent="0.25">
      <c r="A705" s="25"/>
      <c r="B705" s="2" t="s">
        <v>314</v>
      </c>
      <c r="C705" s="2"/>
      <c r="D705" s="2"/>
      <c r="E705" s="2"/>
      <c r="F705" s="2"/>
      <c r="G705" s="3" t="s">
        <v>315</v>
      </c>
      <c r="H705" s="67">
        <f>'Process (2)'!I108</f>
        <v>1.5</v>
      </c>
      <c r="I705" s="10" t="s">
        <v>0</v>
      </c>
    </row>
    <row r="706" spans="1:10" ht="18.75" customHeight="1" x14ac:dyDescent="0.25">
      <c r="A706" s="25"/>
      <c r="B706" s="2" t="s">
        <v>316</v>
      </c>
      <c r="C706" s="2"/>
      <c r="D706" s="2"/>
      <c r="E706" s="2"/>
      <c r="F706" s="2"/>
      <c r="G706" s="3" t="s">
        <v>317</v>
      </c>
      <c r="H706" s="67">
        <f>'Process (2)'!I109</f>
        <v>7</v>
      </c>
      <c r="I706" s="10" t="s">
        <v>0</v>
      </c>
    </row>
    <row r="707" spans="1:10" ht="18.75" customHeight="1" x14ac:dyDescent="0.25">
      <c r="A707" s="25"/>
      <c r="B707" s="2" t="s">
        <v>318</v>
      </c>
      <c r="C707" s="2"/>
      <c r="D707" s="2"/>
      <c r="E707" s="2"/>
      <c r="F707" s="2"/>
      <c r="G707" s="3" t="s">
        <v>319</v>
      </c>
      <c r="H707" s="67">
        <f>'Process (2)'!I110</f>
        <v>-1.5</v>
      </c>
      <c r="I707" s="10" t="s">
        <v>0</v>
      </c>
    </row>
    <row r="708" spans="1:10" ht="18.75" customHeight="1" x14ac:dyDescent="0.25">
      <c r="A708" s="25"/>
      <c r="B708" s="2" t="s">
        <v>320</v>
      </c>
      <c r="C708" s="2"/>
      <c r="D708" s="2"/>
      <c r="E708" s="2"/>
      <c r="F708" s="2"/>
      <c r="G708" s="3" t="s">
        <v>321</v>
      </c>
      <c r="H708" s="67">
        <f>'Process (2)'!I111</f>
        <v>-7</v>
      </c>
      <c r="I708" s="10" t="s">
        <v>0</v>
      </c>
    </row>
    <row r="709" spans="1:10" ht="18.75" customHeight="1" x14ac:dyDescent="0.25">
      <c r="A709" s="25"/>
      <c r="B709" s="2"/>
      <c r="C709" s="2"/>
      <c r="D709" s="2"/>
      <c r="E709" s="2"/>
      <c r="F709" s="2"/>
      <c r="G709" s="3"/>
      <c r="H709" s="68"/>
      <c r="I709" s="10"/>
    </row>
    <row r="710" spans="1:10" ht="18.75" customHeight="1" x14ac:dyDescent="0.25">
      <c r="A710" s="25"/>
      <c r="B710" s="2" t="s">
        <v>322</v>
      </c>
      <c r="C710" s="2"/>
      <c r="D710" s="2"/>
      <c r="E710" s="2"/>
      <c r="F710" s="2"/>
      <c r="G710" s="2"/>
      <c r="H710" s="2"/>
      <c r="I710" s="2"/>
      <c r="J710" s="10"/>
    </row>
    <row r="711" spans="1:10" ht="18.75" customHeight="1" x14ac:dyDescent="0.25">
      <c r="A711" s="25"/>
      <c r="B711" s="381" t="s">
        <v>260</v>
      </c>
      <c r="C711" s="382"/>
      <c r="D711" s="382"/>
      <c r="E711" s="382"/>
      <c r="F711" s="382"/>
      <c r="G711" s="383"/>
      <c r="H711" s="296" t="s">
        <v>261</v>
      </c>
      <c r="I711" s="2"/>
    </row>
    <row r="712" spans="1:10" ht="18.75" customHeight="1" x14ac:dyDescent="0.25">
      <c r="A712" s="25"/>
      <c r="B712" s="2"/>
      <c r="C712" s="2"/>
      <c r="D712" s="2"/>
      <c r="E712" s="2"/>
      <c r="F712" s="2"/>
      <c r="G712" s="3" t="s">
        <v>323</v>
      </c>
      <c r="H712" s="67">
        <f>'Process (2)'!I115</f>
        <v>1291.2790045016827</v>
      </c>
      <c r="I712" s="2"/>
    </row>
    <row r="713" spans="1:10" ht="18.75" customHeight="1" x14ac:dyDescent="0.25">
      <c r="A713" s="25"/>
      <c r="B713" s="2"/>
      <c r="C713" s="2"/>
      <c r="D713" s="2"/>
      <c r="E713" s="2"/>
      <c r="F713" s="2"/>
      <c r="G713" s="3" t="s">
        <v>324</v>
      </c>
      <c r="H713" s="67">
        <f>'Process (2)'!I116</f>
        <v>961.00472866139773</v>
      </c>
      <c r="I713" s="2"/>
    </row>
    <row r="714" spans="1:10" ht="18.75" customHeight="1" x14ac:dyDescent="0.25">
      <c r="A714" s="25"/>
      <c r="B714" s="384" t="s">
        <v>51</v>
      </c>
      <c r="C714" s="385"/>
      <c r="D714" s="385"/>
      <c r="E714" s="385"/>
      <c r="F714" s="385"/>
      <c r="G714" s="386"/>
      <c r="H714" s="70" t="s">
        <v>261</v>
      </c>
      <c r="I714" s="2"/>
    </row>
    <row r="715" spans="1:10" ht="18.75" customHeight="1" x14ac:dyDescent="0.25">
      <c r="A715" s="25"/>
      <c r="B715" s="2"/>
      <c r="C715" s="2"/>
      <c r="D715" s="2"/>
      <c r="E715" s="2"/>
      <c r="F715" s="2"/>
      <c r="G715" s="3" t="s">
        <v>323</v>
      </c>
      <c r="H715" s="67">
        <f>'Process (2)'!I118</f>
        <v>1950.0391695758058</v>
      </c>
      <c r="I715" s="2"/>
    </row>
    <row r="716" spans="1:10" ht="18.75" customHeight="1" x14ac:dyDescent="0.25">
      <c r="A716" s="25"/>
      <c r="B716" s="2"/>
      <c r="C716" s="2"/>
      <c r="D716" s="2"/>
      <c r="E716" s="2"/>
      <c r="F716" s="2"/>
      <c r="G716" s="3" t="s">
        <v>324</v>
      </c>
      <c r="H716" s="67">
        <f>'Process (2)'!I119</f>
        <v>85.897896920607991</v>
      </c>
      <c r="I716" s="2"/>
    </row>
    <row r="717" spans="1:10" ht="18.75" customHeight="1" x14ac:dyDescent="0.25">
      <c r="A717" s="25"/>
      <c r="B717" s="387" t="s">
        <v>52</v>
      </c>
      <c r="C717" s="388"/>
      <c r="D717" s="388"/>
      <c r="E717" s="388"/>
      <c r="F717" s="388"/>
      <c r="G717" s="389"/>
      <c r="H717" s="24" t="s">
        <v>261</v>
      </c>
      <c r="I717" s="2"/>
    </row>
    <row r="718" spans="1:10" ht="18.75" customHeight="1" x14ac:dyDescent="0.25">
      <c r="A718" s="25"/>
      <c r="B718" s="2"/>
      <c r="C718" s="2"/>
      <c r="D718" s="2"/>
      <c r="E718" s="2"/>
      <c r="F718" s="2"/>
      <c r="G718" s="3" t="s">
        <v>323</v>
      </c>
      <c r="H718" s="67">
        <f>'Process (2)'!I121</f>
        <v>1471.8732481600714</v>
      </c>
      <c r="I718" s="2"/>
    </row>
    <row r="719" spans="1:10" ht="18.75" customHeight="1" x14ac:dyDescent="0.25">
      <c r="A719" s="25"/>
      <c r="B719" s="2"/>
      <c r="C719" s="2"/>
      <c r="D719" s="2"/>
      <c r="E719" s="2"/>
      <c r="F719" s="2"/>
      <c r="G719" s="3" t="s">
        <v>324</v>
      </c>
      <c r="H719" s="67">
        <f>'Process (2)'!I122</f>
        <v>564.06381833634225</v>
      </c>
      <c r="I719" s="2"/>
    </row>
    <row r="720" spans="1:10" ht="18.75" customHeight="1" x14ac:dyDescent="0.25">
      <c r="A720" s="25"/>
      <c r="B720" s="2"/>
      <c r="C720" s="2"/>
      <c r="D720" s="2"/>
      <c r="E720" s="2"/>
      <c r="F720" s="2"/>
      <c r="G720" s="2"/>
      <c r="H720" s="3"/>
      <c r="I720" s="393"/>
      <c r="J720" s="10"/>
    </row>
    <row r="721" spans="1:10" ht="18.75" customHeight="1" x14ac:dyDescent="0.25">
      <c r="A721" s="25"/>
      <c r="B721" s="26" t="s">
        <v>325</v>
      </c>
      <c r="C721" s="26"/>
      <c r="D721" s="26"/>
      <c r="E721" s="26"/>
      <c r="F721" s="26"/>
      <c r="G721" s="49" t="s">
        <v>241</v>
      </c>
      <c r="H721" s="99">
        <f>'Process (2)'!I124</f>
        <v>6</v>
      </c>
      <c r="I721" s="13" t="s">
        <v>326</v>
      </c>
    </row>
    <row r="722" spans="1:10" ht="18.75" customHeight="1" x14ac:dyDescent="0.25">
      <c r="A722" s="25"/>
      <c r="B722" s="26" t="s">
        <v>327</v>
      </c>
      <c r="C722" s="26"/>
      <c r="D722" s="26"/>
      <c r="E722" s="26"/>
      <c r="F722" s="26"/>
      <c r="G722" s="49" t="s">
        <v>243</v>
      </c>
      <c r="H722" s="99">
        <f>'Process (2)'!I125</f>
        <v>2</v>
      </c>
      <c r="I722" s="13" t="s">
        <v>326</v>
      </c>
    </row>
    <row r="723" spans="1:10" ht="18.75" customHeight="1" x14ac:dyDescent="0.25">
      <c r="A723" s="25"/>
      <c r="B723" s="26"/>
      <c r="C723" s="26"/>
      <c r="D723" s="26"/>
      <c r="E723" s="26"/>
      <c r="F723" s="26"/>
      <c r="G723" s="100" t="s">
        <v>328</v>
      </c>
      <c r="H723" s="101">
        <f>'Process (2)'!I126</f>
        <v>15.945395900922854</v>
      </c>
      <c r="I723" s="13"/>
    </row>
    <row r="724" spans="1:10" ht="18.75" customHeight="1" x14ac:dyDescent="0.25">
      <c r="A724" s="25"/>
      <c r="B724" s="26" t="s">
        <v>329</v>
      </c>
      <c r="C724" s="26"/>
      <c r="D724" s="26"/>
      <c r="E724" s="26"/>
      <c r="F724" s="26"/>
      <c r="I724" s="13"/>
    </row>
    <row r="725" spans="1:10" ht="18.75" customHeight="1" x14ac:dyDescent="0.25">
      <c r="A725" s="25"/>
      <c r="B725" s="26"/>
      <c r="C725" s="26"/>
      <c r="D725" s="26"/>
      <c r="E725" s="26"/>
      <c r="F725" s="26"/>
      <c r="G725" s="49" t="s">
        <v>330</v>
      </c>
      <c r="H725" s="102">
        <f>'Process (2)'!I127</f>
        <v>0.76377191257892063</v>
      </c>
      <c r="I725" s="13"/>
    </row>
    <row r="726" spans="1:10" ht="18.75" customHeight="1" x14ac:dyDescent="0.25">
      <c r="A726" s="25"/>
      <c r="B726" s="26" t="s">
        <v>867</v>
      </c>
      <c r="C726" s="26"/>
      <c r="D726" s="26"/>
      <c r="E726" s="26"/>
      <c r="F726" s="26"/>
      <c r="G726" s="49" t="s">
        <v>331</v>
      </c>
      <c r="H726" s="101">
        <f>'Process (2)'!I128</f>
        <v>2343.6331640781891</v>
      </c>
      <c r="I726" s="13"/>
    </row>
    <row r="727" spans="1:10" ht="18.75" customHeight="1" x14ac:dyDescent="0.25">
      <c r="A727" s="25"/>
      <c r="B727" s="26" t="s">
        <v>866</v>
      </c>
      <c r="C727" s="26"/>
      <c r="D727" s="26"/>
      <c r="E727" s="26"/>
      <c r="F727" s="26"/>
      <c r="G727" s="49" t="s">
        <v>332</v>
      </c>
      <c r="H727" s="101">
        <f>'Process (2)'!I129</f>
        <v>1790.0011841113858</v>
      </c>
      <c r="I727" s="13" t="s">
        <v>115</v>
      </c>
    </row>
    <row r="728" spans="1:10" ht="18.75" customHeight="1" x14ac:dyDescent="0.25">
      <c r="A728" s="25"/>
      <c r="B728" s="26" t="s">
        <v>868</v>
      </c>
      <c r="C728" s="26"/>
      <c r="D728" s="26"/>
      <c r="E728" s="26"/>
      <c r="F728" s="26"/>
      <c r="G728" s="49" t="s">
        <v>333</v>
      </c>
      <c r="H728" s="101">
        <f>'Process (2)'!I130</f>
        <v>21480.01420933663</v>
      </c>
      <c r="I728" s="13" t="s">
        <v>115</v>
      </c>
    </row>
    <row r="729" spans="1:10" ht="18.75" customHeight="1" x14ac:dyDescent="0.25">
      <c r="A729" s="25"/>
      <c r="B729" s="26"/>
      <c r="C729" s="26"/>
      <c r="D729" s="26"/>
      <c r="E729" s="26"/>
      <c r="F729" s="26"/>
      <c r="G729" s="26"/>
      <c r="H729" s="49"/>
      <c r="I729" s="103"/>
      <c r="J729" s="13"/>
    </row>
    <row r="730" spans="1:10" ht="18.75" customHeight="1" x14ac:dyDescent="0.25">
      <c r="A730" s="25"/>
      <c r="B730" s="26"/>
      <c r="C730" s="26"/>
      <c r="D730" s="26"/>
      <c r="E730" s="26"/>
      <c r="F730" s="26"/>
      <c r="G730" s="26"/>
      <c r="H730" s="49"/>
      <c r="I730" s="103"/>
      <c r="J730" s="13"/>
    </row>
    <row r="731" spans="1:10" ht="18.75" customHeight="1" x14ac:dyDescent="0.25">
      <c r="A731" s="25"/>
      <c r="B731" s="26"/>
      <c r="C731" s="26"/>
      <c r="D731" s="26"/>
      <c r="E731" s="26"/>
      <c r="F731" s="26"/>
      <c r="G731" s="26"/>
      <c r="H731" s="49"/>
      <c r="I731" s="103"/>
      <c r="J731" s="13"/>
    </row>
    <row r="732" spans="1:10" ht="18.75" customHeight="1" x14ac:dyDescent="0.25">
      <c r="A732" s="25"/>
      <c r="B732" s="26"/>
      <c r="C732" s="26"/>
      <c r="D732" s="26"/>
      <c r="E732" s="26"/>
      <c r="F732" s="26"/>
      <c r="G732" s="26"/>
      <c r="H732" s="49"/>
      <c r="I732" s="103"/>
      <c r="J732" s="13"/>
    </row>
    <row r="733" spans="1:10" ht="18.75" customHeight="1" x14ac:dyDescent="0.25">
      <c r="A733" s="25"/>
      <c r="B733" s="589" t="s">
        <v>260</v>
      </c>
      <c r="C733" s="589"/>
      <c r="D733" s="589"/>
      <c r="E733" s="589"/>
      <c r="F733" s="589"/>
      <c r="G733" s="589"/>
      <c r="H733" s="589"/>
      <c r="I733" s="589"/>
      <c r="J733" s="13"/>
    </row>
    <row r="734" spans="1:10" ht="18.75" customHeight="1" x14ac:dyDescent="0.25">
      <c r="A734" s="25"/>
      <c r="B734" s="2" t="s">
        <v>334</v>
      </c>
      <c r="C734" s="2"/>
      <c r="D734" s="89" t="s">
        <v>335</v>
      </c>
      <c r="E734" s="89" t="s">
        <v>336</v>
      </c>
      <c r="F734" s="89" t="s">
        <v>337</v>
      </c>
      <c r="G734" s="2"/>
      <c r="H734" s="2"/>
      <c r="I734" s="10"/>
    </row>
    <row r="735" spans="1:10" ht="18.75" customHeight="1" x14ac:dyDescent="0.25">
      <c r="A735" s="25"/>
      <c r="B735" s="2"/>
      <c r="C735" s="2"/>
      <c r="D735" s="82">
        <f>'Process (2)'!E134</f>
        <v>13513.702398978483</v>
      </c>
      <c r="E735" s="89" t="str">
        <f>IF(D735&lt;=F735,"&lt;","&gt;")</f>
        <v>&lt;</v>
      </c>
      <c r="F735" s="82">
        <f>'Process (2)'!G134</f>
        <v>21480.01420933663</v>
      </c>
      <c r="G735" s="25" t="s">
        <v>338</v>
      </c>
      <c r="H735" s="25" t="str">
        <f>IF(D735&lt;F735,"[ OK ]","[ NOT OK ]")</f>
        <v>[ OK ]</v>
      </c>
      <c r="I735" s="10"/>
    </row>
    <row r="736" spans="1:10" ht="18.75" customHeight="1" x14ac:dyDescent="0.25">
      <c r="A736" s="25"/>
      <c r="B736" s="2"/>
      <c r="C736" s="2"/>
      <c r="D736" s="2"/>
      <c r="E736" s="2"/>
      <c r="F736" s="2"/>
      <c r="G736" s="2"/>
      <c r="H736" s="2"/>
      <c r="I736" s="10"/>
    </row>
    <row r="737" spans="1:10" ht="18.75" customHeight="1" x14ac:dyDescent="0.25">
      <c r="A737" s="25"/>
      <c r="B737" s="2"/>
      <c r="C737" s="2"/>
      <c r="D737" s="89" t="s">
        <v>339</v>
      </c>
      <c r="E737" s="89" t="s">
        <v>340</v>
      </c>
      <c r="F737" s="104" t="s">
        <v>341</v>
      </c>
      <c r="G737" s="2"/>
      <c r="H737" s="2"/>
      <c r="I737" s="10"/>
    </row>
    <row r="738" spans="1:10" ht="18.75" customHeight="1" x14ac:dyDescent="0.25">
      <c r="A738" s="25"/>
      <c r="B738" s="2"/>
      <c r="C738" s="2"/>
      <c r="D738" s="82">
        <f>'Process (2)'!E137</f>
        <v>961.00472866139773</v>
      </c>
      <c r="E738" s="89" t="str">
        <f>IF(D738&lt;=F738,"&lt;","&gt;")</f>
        <v>&gt;</v>
      </c>
      <c r="F738" s="82">
        <f>'Process (2)'!G137</f>
        <v>-371.21563244837341</v>
      </c>
      <c r="G738" s="25" t="s">
        <v>338</v>
      </c>
      <c r="H738" s="25" t="str">
        <f>IF(D738&gt;F738,"[ OK ]","[ SISA GAYA DILIMPAHKAN ]")</f>
        <v>[ OK ]</v>
      </c>
      <c r="I738" s="10"/>
    </row>
    <row r="739" spans="1:10" ht="18.75" customHeight="1" x14ac:dyDescent="0.25">
      <c r="A739" s="25"/>
      <c r="B739" s="2"/>
      <c r="C739" s="2"/>
      <c r="D739" s="2"/>
      <c r="E739" s="2"/>
      <c r="F739" s="2"/>
      <c r="G739" s="2"/>
      <c r="H739" s="2"/>
      <c r="I739" s="10"/>
    </row>
    <row r="740" spans="1:10" ht="18.75" customHeight="1" x14ac:dyDescent="0.25">
      <c r="A740" s="25"/>
      <c r="B740" s="2"/>
      <c r="C740" s="2"/>
      <c r="D740" s="89" t="s">
        <v>342</v>
      </c>
      <c r="E740" s="89" t="s">
        <v>336</v>
      </c>
      <c r="F740" s="89" t="s">
        <v>343</v>
      </c>
      <c r="G740" s="2"/>
      <c r="H740" s="2"/>
      <c r="I740" s="10"/>
    </row>
    <row r="741" spans="1:10" ht="18.75" customHeight="1" x14ac:dyDescent="0.25">
      <c r="A741" s="25"/>
      <c r="B741" s="2"/>
      <c r="C741" s="2"/>
      <c r="D741" s="82">
        <f>'Process (2)'!E140</f>
        <v>1291.2790045016827</v>
      </c>
      <c r="E741" s="89" t="str">
        <f>IF(D741&lt;=F741,"&lt;","&gt;")</f>
        <v>&lt;</v>
      </c>
      <c r="F741" s="82">
        <f>'Process (2)'!G140</f>
        <v>2343.6331640781891</v>
      </c>
      <c r="G741" s="25" t="s">
        <v>338</v>
      </c>
      <c r="H741" s="25" t="str">
        <f>IF(D741&lt;F741,"[ OK ]","[ NOT OK ]")</f>
        <v>[ OK ]</v>
      </c>
      <c r="I741" s="10"/>
    </row>
    <row r="742" spans="1:10" ht="18.75" customHeight="1" x14ac:dyDescent="0.25">
      <c r="A742" s="25"/>
      <c r="B742" s="2"/>
      <c r="C742" s="2"/>
      <c r="D742" s="68"/>
      <c r="E742" s="89"/>
      <c r="F742" s="68"/>
      <c r="G742" s="25"/>
      <c r="H742" s="61"/>
      <c r="I742" s="10"/>
    </row>
    <row r="743" spans="1:10" ht="18.75" customHeight="1" x14ac:dyDescent="0.25">
      <c r="A743" s="25"/>
      <c r="B743" s="646" t="s">
        <v>51</v>
      </c>
      <c r="C743" s="646"/>
      <c r="D743" s="646"/>
      <c r="E743" s="646"/>
      <c r="F743" s="646"/>
      <c r="G743" s="646"/>
      <c r="H743" s="646"/>
      <c r="I743" s="647"/>
      <c r="J743" s="10"/>
    </row>
    <row r="744" spans="1:10" ht="18.75" customHeight="1" x14ac:dyDescent="0.25">
      <c r="A744" s="25"/>
      <c r="B744" s="2" t="s">
        <v>334</v>
      </c>
      <c r="C744" s="2"/>
      <c r="D744" s="89" t="s">
        <v>335</v>
      </c>
      <c r="E744" s="89" t="s">
        <v>336</v>
      </c>
      <c r="F744" s="89" t="s">
        <v>337</v>
      </c>
      <c r="G744" s="2"/>
      <c r="H744" s="2"/>
      <c r="I744" s="10"/>
    </row>
    <row r="745" spans="1:10" ht="18.75" customHeight="1" x14ac:dyDescent="0.25">
      <c r="A745" s="25"/>
      <c r="B745" s="2"/>
      <c r="C745" s="2"/>
      <c r="D745" s="82">
        <f>'Process (2)'!E144</f>
        <v>12215.622398978481</v>
      </c>
      <c r="E745" s="89" t="str">
        <f>IF(D745&lt;=F745,"&lt;","&gt;")</f>
        <v>&lt;</v>
      </c>
      <c r="F745" s="82">
        <f>'Process (2)'!G144</f>
        <v>21480.01420933663</v>
      </c>
      <c r="G745" s="25" t="s">
        <v>338</v>
      </c>
      <c r="H745" s="25" t="str">
        <f>IF(D745&lt;F745,"[ OK ]","[ NOT OK ]")</f>
        <v>[ OK ]</v>
      </c>
      <c r="I745" s="10"/>
    </row>
    <row r="746" spans="1:10" ht="18.75" customHeight="1" x14ac:dyDescent="0.25">
      <c r="A746" s="25"/>
      <c r="B746" s="2"/>
      <c r="C746" s="2"/>
      <c r="D746" s="2"/>
      <c r="E746" s="2"/>
      <c r="F746" s="2"/>
      <c r="G746" s="2"/>
      <c r="H746" s="2"/>
      <c r="I746" s="10"/>
    </row>
    <row r="747" spans="1:10" ht="18.75" customHeight="1" x14ac:dyDescent="0.25">
      <c r="A747" s="25"/>
      <c r="B747" s="2"/>
      <c r="C747" s="2"/>
      <c r="D747" s="89" t="s">
        <v>339</v>
      </c>
      <c r="E747" s="89" t="s">
        <v>340</v>
      </c>
      <c r="F747" s="104" t="s">
        <v>341</v>
      </c>
      <c r="G747" s="2"/>
      <c r="H747" s="2"/>
      <c r="I747" s="10"/>
    </row>
    <row r="748" spans="1:10" ht="18.75" customHeight="1" x14ac:dyDescent="0.25">
      <c r="A748" s="25"/>
      <c r="B748" s="2"/>
      <c r="C748" s="2"/>
      <c r="D748" s="82">
        <f>'Process (2)'!E147</f>
        <v>85.897896920607991</v>
      </c>
      <c r="E748" s="89" t="str">
        <f>IF(D748&lt;=F748,"&lt;","&gt;")</f>
        <v>&gt;</v>
      </c>
      <c r="F748" s="82">
        <f>'Process (2)'!G147</f>
        <v>-371.21563244837341</v>
      </c>
      <c r="G748" s="25" t="s">
        <v>338</v>
      </c>
      <c r="H748" s="25" t="str">
        <f>IF(D748&gt;F748,"[ OK ]","[ SISA GAYA DILIMPAHKAN ]")</f>
        <v>[ OK ]</v>
      </c>
      <c r="I748" s="10"/>
    </row>
    <row r="749" spans="1:10" ht="18.75" customHeight="1" x14ac:dyDescent="0.25">
      <c r="A749" s="25"/>
      <c r="B749" s="2"/>
      <c r="C749" s="2"/>
      <c r="D749" s="2"/>
      <c r="E749" s="2"/>
      <c r="F749" s="2"/>
      <c r="G749" s="2"/>
      <c r="H749" s="2"/>
      <c r="I749" s="10"/>
    </row>
    <row r="750" spans="1:10" ht="18.75" customHeight="1" x14ac:dyDescent="0.25">
      <c r="A750" s="25"/>
      <c r="B750" s="2"/>
      <c r="C750" s="2"/>
      <c r="D750" s="89" t="s">
        <v>342</v>
      </c>
      <c r="E750" s="89" t="s">
        <v>336</v>
      </c>
      <c r="F750" s="89" t="s">
        <v>343</v>
      </c>
      <c r="G750" s="2"/>
      <c r="H750" s="2"/>
      <c r="I750" s="10"/>
    </row>
    <row r="751" spans="1:10" ht="18.75" customHeight="1" x14ac:dyDescent="0.25">
      <c r="A751" s="25"/>
      <c r="B751" s="2"/>
      <c r="C751" s="2"/>
      <c r="D751" s="82">
        <f>'Process (2)'!E150</f>
        <v>1950.0391695758058</v>
      </c>
      <c r="E751" s="89" t="str">
        <f>IF(D751&lt;=F751,"&lt;","&gt;")</f>
        <v>&lt;</v>
      </c>
      <c r="F751" s="82">
        <f>'Process (2)'!G150</f>
        <v>2343.6331640781891</v>
      </c>
      <c r="G751" s="25" t="s">
        <v>338</v>
      </c>
      <c r="H751" s="25" t="str">
        <f>IF(D751&lt;F751,"[ OK ]","[ NOT OK ]")</f>
        <v>[ OK ]</v>
      </c>
      <c r="I751" s="10"/>
    </row>
    <row r="752" spans="1:10" ht="18.75" customHeight="1" x14ac:dyDescent="0.25">
      <c r="A752" s="25"/>
      <c r="B752" s="2"/>
      <c r="C752" s="2"/>
      <c r="D752" s="2"/>
      <c r="E752" s="2"/>
      <c r="F752" s="2"/>
      <c r="G752" s="2"/>
      <c r="H752" s="2"/>
      <c r="I752" s="10"/>
    </row>
    <row r="753" spans="1:10" ht="18.75" customHeight="1" x14ac:dyDescent="0.25">
      <c r="A753" s="25"/>
      <c r="B753" s="648" t="s">
        <v>52</v>
      </c>
      <c r="C753" s="648"/>
      <c r="D753" s="648"/>
      <c r="E753" s="648"/>
      <c r="F753" s="648"/>
      <c r="G753" s="648"/>
      <c r="H753" s="648"/>
      <c r="I753" s="649"/>
      <c r="J753" s="10"/>
    </row>
    <row r="754" spans="1:10" ht="18.75" customHeight="1" x14ac:dyDescent="0.25">
      <c r="A754" s="25"/>
      <c r="B754" s="2" t="s">
        <v>334</v>
      </c>
      <c r="C754" s="2"/>
      <c r="D754" s="89" t="s">
        <v>335</v>
      </c>
      <c r="E754" s="89" t="s">
        <v>336</v>
      </c>
      <c r="F754" s="89" t="s">
        <v>337</v>
      </c>
      <c r="G754" s="2"/>
      <c r="H754" s="2"/>
      <c r="I754" s="10"/>
    </row>
    <row r="755" spans="1:10" ht="18.75" customHeight="1" x14ac:dyDescent="0.25">
      <c r="A755" s="25"/>
      <c r="B755" s="2"/>
      <c r="C755" s="2"/>
      <c r="D755" s="82">
        <f>'Process (2)'!E154</f>
        <v>12215.622398978481</v>
      </c>
      <c r="E755" s="89" t="str">
        <f>IF(D755&lt;=F755,"&lt;","&gt;")</f>
        <v>&lt;</v>
      </c>
      <c r="F755" s="82">
        <f>'Process (2)'!G154</f>
        <v>21480.01420933663</v>
      </c>
      <c r="G755" s="25" t="s">
        <v>338</v>
      </c>
      <c r="H755" s="25" t="str">
        <f>IF(D755&lt;F755,"[ OK ]","[ NOT OK ]")</f>
        <v>[ OK ]</v>
      </c>
      <c r="I755" s="10"/>
    </row>
    <row r="756" spans="1:10" ht="18.75" customHeight="1" x14ac:dyDescent="0.25">
      <c r="A756" s="25"/>
      <c r="B756" s="2"/>
      <c r="C756" s="2"/>
      <c r="D756" s="2"/>
      <c r="E756" s="2"/>
      <c r="F756" s="2"/>
      <c r="G756" s="2"/>
      <c r="H756" s="2"/>
      <c r="I756" s="10"/>
    </row>
    <row r="757" spans="1:10" ht="18.75" customHeight="1" x14ac:dyDescent="0.25">
      <c r="A757" s="25"/>
      <c r="B757" s="2"/>
      <c r="C757" s="2"/>
      <c r="D757" s="89" t="s">
        <v>339</v>
      </c>
      <c r="E757" s="89" t="s">
        <v>340</v>
      </c>
      <c r="F757" s="104" t="s">
        <v>341</v>
      </c>
      <c r="G757" s="2"/>
      <c r="H757" s="2"/>
      <c r="I757" s="10"/>
    </row>
    <row r="758" spans="1:10" ht="18.75" customHeight="1" x14ac:dyDescent="0.25">
      <c r="A758" s="25"/>
      <c r="B758" s="2"/>
      <c r="C758" s="2"/>
      <c r="D758" s="82">
        <f>'Process (2)'!E157</f>
        <v>564.06381833634225</v>
      </c>
      <c r="E758" s="89" t="str">
        <f>IF(D758&lt;=F758,"&lt;","&gt;")</f>
        <v>&gt;</v>
      </c>
      <c r="F758" s="82">
        <f>'Process (2)'!G157</f>
        <v>-371.21563244837341</v>
      </c>
      <c r="G758" s="25" t="s">
        <v>338</v>
      </c>
      <c r="H758" s="25" t="str">
        <f>IF(D758&gt;F758,"[ OK ]","[ SISA GAYA DILIMPAHKAN ]")</f>
        <v>[ OK ]</v>
      </c>
      <c r="I758" s="10"/>
    </row>
    <row r="759" spans="1:10" ht="18.75" customHeight="1" x14ac:dyDescent="0.25">
      <c r="A759" s="25"/>
      <c r="B759" s="2"/>
      <c r="C759" s="2"/>
      <c r="D759" s="2"/>
      <c r="E759" s="2"/>
      <c r="F759" s="2"/>
      <c r="G759" s="2"/>
      <c r="H759" s="2"/>
      <c r="I759" s="10"/>
    </row>
    <row r="760" spans="1:10" ht="18.75" customHeight="1" x14ac:dyDescent="0.25">
      <c r="A760" s="25"/>
      <c r="B760" s="2"/>
      <c r="C760" s="2"/>
      <c r="D760" s="89" t="s">
        <v>342</v>
      </c>
      <c r="E760" s="89" t="s">
        <v>336</v>
      </c>
      <c r="F760" s="89" t="s">
        <v>343</v>
      </c>
      <c r="G760" s="2"/>
      <c r="H760" s="2"/>
      <c r="I760" s="10"/>
    </row>
    <row r="761" spans="1:10" ht="18.75" customHeight="1" x14ac:dyDescent="0.25">
      <c r="A761" s="25"/>
      <c r="B761" s="2"/>
      <c r="C761" s="2"/>
      <c r="D761" s="82">
        <f>'Process (2)'!E160</f>
        <v>1950.0391695758058</v>
      </c>
      <c r="E761" s="89" t="str">
        <f>IF(D761&lt;=F761,"&lt;","&gt;")</f>
        <v>&lt;</v>
      </c>
      <c r="F761" s="82">
        <f>'Process (2)'!G160</f>
        <v>2343.6331640781891</v>
      </c>
      <c r="G761" s="25" t="s">
        <v>338</v>
      </c>
      <c r="H761" s="25" t="str">
        <f>IF(D761&lt;F761,"[ OK ]","[ NOT OK ]")</f>
        <v>[ OK ]</v>
      </c>
      <c r="I761" s="10"/>
    </row>
    <row r="770" spans="1:9" ht="18.75" customHeight="1" x14ac:dyDescent="0.25">
      <c r="A770" s="563" t="s">
        <v>927</v>
      </c>
      <c r="B770" s="565" t="s">
        <v>968</v>
      </c>
      <c r="C770" s="564"/>
      <c r="D770" s="564"/>
      <c r="E770" s="564"/>
      <c r="F770" s="564"/>
      <c r="G770" s="564"/>
      <c r="H770" s="564"/>
      <c r="I770" s="564"/>
    </row>
    <row r="771" spans="1:9" ht="18.75" customHeight="1" x14ac:dyDescent="0.25">
      <c r="A771" s="359" t="s">
        <v>537</v>
      </c>
      <c r="B771" s="360" t="s">
        <v>624</v>
      </c>
      <c r="C771" s="129"/>
      <c r="D771" s="129"/>
      <c r="E771" s="129"/>
      <c r="F771" s="129"/>
      <c r="G771" s="129"/>
      <c r="H771" s="129"/>
      <c r="I771" s="129"/>
    </row>
    <row r="772" spans="1:9" ht="18.75" customHeight="1" x14ac:dyDescent="0.25">
      <c r="A772" s="139"/>
      <c r="B772" s="130" t="s">
        <v>627</v>
      </c>
      <c r="C772" s="131"/>
      <c r="D772" s="131"/>
      <c r="E772" s="131"/>
      <c r="F772" s="131"/>
      <c r="G772" s="131"/>
      <c r="H772" s="131"/>
      <c r="I772" s="131"/>
    </row>
    <row r="785" spans="2:9" ht="18.75" customHeight="1" x14ac:dyDescent="0.25">
      <c r="B785" s="1" t="s">
        <v>172</v>
      </c>
      <c r="G785" s="7" t="s">
        <v>625</v>
      </c>
      <c r="H785" s="36">
        <f>'Process (3)'!I15</f>
        <v>25</v>
      </c>
      <c r="I785" s="5" t="s">
        <v>54</v>
      </c>
    </row>
    <row r="786" spans="2:9" ht="18.75" customHeight="1" x14ac:dyDescent="0.25">
      <c r="B786" s="1" t="s">
        <v>58</v>
      </c>
      <c r="G786" s="7" t="s">
        <v>2</v>
      </c>
      <c r="H786" s="36">
        <f>'Process (3)'!I16</f>
        <v>17.3</v>
      </c>
      <c r="I786" s="5" t="s">
        <v>0</v>
      </c>
    </row>
    <row r="788" spans="2:9" ht="18.75" customHeight="1" x14ac:dyDescent="0.25">
      <c r="B788" s="609" t="s">
        <v>59</v>
      </c>
      <c r="C788" s="609" t="s">
        <v>64</v>
      </c>
      <c r="D788" s="609"/>
      <c r="E788" s="609"/>
      <c r="F788" s="609"/>
      <c r="G788" s="297" t="s">
        <v>65</v>
      </c>
      <c r="H788" s="297" t="s">
        <v>67</v>
      </c>
      <c r="I788" s="297" t="s">
        <v>69</v>
      </c>
    </row>
    <row r="789" spans="2:9" ht="18.75" customHeight="1" x14ac:dyDescent="0.25">
      <c r="B789" s="609"/>
      <c r="C789" s="297" t="s">
        <v>60</v>
      </c>
      <c r="D789" s="297" t="s">
        <v>61</v>
      </c>
      <c r="E789" s="297" t="s">
        <v>62</v>
      </c>
      <c r="F789" s="297" t="s">
        <v>63</v>
      </c>
      <c r="G789" s="297" t="s">
        <v>66</v>
      </c>
      <c r="H789" s="297" t="s">
        <v>68</v>
      </c>
      <c r="I789" s="297" t="s">
        <v>70</v>
      </c>
    </row>
    <row r="790" spans="2:9" ht="18.75" customHeight="1" x14ac:dyDescent="0.25">
      <c r="B790" s="278">
        <v>1</v>
      </c>
      <c r="C790" s="276">
        <f>'Process (3)'!C20</f>
        <v>0.35</v>
      </c>
      <c r="D790" s="276">
        <f>'Process (3)'!D20</f>
        <v>0.9</v>
      </c>
      <c r="E790" s="275">
        <f>'Process (3)'!E20</f>
        <v>1</v>
      </c>
      <c r="F790" s="275">
        <f>'Process (3)'!F20</f>
        <v>-1</v>
      </c>
      <c r="G790" s="281">
        <f>'Process (3)'!G20</f>
        <v>136.23750000000001</v>
      </c>
      <c r="H790" s="277">
        <f>'Process (3)'!H20</f>
        <v>0.72499999999999987</v>
      </c>
      <c r="I790" s="281">
        <f>'Process (3)'!I20</f>
        <v>-98.772187499999987</v>
      </c>
    </row>
    <row r="791" spans="2:9" ht="18.75" customHeight="1" x14ac:dyDescent="0.25">
      <c r="B791" s="278">
        <v>2</v>
      </c>
      <c r="C791" s="276">
        <f>'Process (3)'!C21</f>
        <v>0.55000000000000004</v>
      </c>
      <c r="D791" s="276">
        <f>'Process (3)'!D21</f>
        <v>1.6</v>
      </c>
      <c r="E791" s="275">
        <f>'Process (3)'!E21</f>
        <v>1</v>
      </c>
      <c r="F791" s="275">
        <f>'Process (3)'!F21</f>
        <v>-1</v>
      </c>
      <c r="G791" s="281">
        <f>'Process (3)'!G21</f>
        <v>380.60000000000008</v>
      </c>
      <c r="H791" s="277">
        <f>'Process (3)'!H21</f>
        <v>0.82499999999999996</v>
      </c>
      <c r="I791" s="281">
        <f>'Process (3)'!I21</f>
        <v>-313.99500000000006</v>
      </c>
    </row>
    <row r="792" spans="2:9" ht="18.75" customHeight="1" x14ac:dyDescent="0.25">
      <c r="B792" s="278">
        <v>3</v>
      </c>
      <c r="C792" s="276">
        <f>'Process (3)'!C22</f>
        <v>0.6</v>
      </c>
      <c r="D792" s="276">
        <f>'Process (3)'!D22</f>
        <v>1.0299999999999998</v>
      </c>
      <c r="E792" s="275">
        <f>'Process (3)'!E22</f>
        <v>1</v>
      </c>
      <c r="F792" s="275">
        <f>'Process (3)'!F22</f>
        <v>-1</v>
      </c>
      <c r="G792" s="281">
        <f>'Process (3)'!G22</f>
        <v>267.28499999999997</v>
      </c>
      <c r="H792" s="277">
        <f>'Process (3)'!H22</f>
        <v>0.8</v>
      </c>
      <c r="I792" s="281">
        <f>'Process (3)'!I22</f>
        <v>-213.82799999999997</v>
      </c>
    </row>
    <row r="793" spans="2:9" ht="18.75" customHeight="1" x14ac:dyDescent="0.25">
      <c r="B793" s="278">
        <v>4</v>
      </c>
      <c r="C793" s="276">
        <f>'Process (3)'!C23</f>
        <v>0.6</v>
      </c>
      <c r="D793" s="276">
        <f>'Process (3)'!D23</f>
        <v>0.8</v>
      </c>
      <c r="E793" s="275">
        <f>'Process (3)'!E23</f>
        <v>1</v>
      </c>
      <c r="F793" s="275">
        <f>'Process (3)'!F23</f>
        <v>1</v>
      </c>
      <c r="G793" s="281">
        <f>'Process (3)'!G23</f>
        <v>207.60000000000002</v>
      </c>
      <c r="H793" s="277">
        <f>'Process (3)'!H23</f>
        <v>0.8</v>
      </c>
      <c r="I793" s="281">
        <f>'Process (3)'!I23</f>
        <v>166.08000000000004</v>
      </c>
    </row>
    <row r="794" spans="2:9" ht="18.75" customHeight="1" x14ac:dyDescent="0.25">
      <c r="B794" s="278">
        <v>5</v>
      </c>
      <c r="C794" s="276">
        <f>'Process (3)'!C24</f>
        <v>0.6</v>
      </c>
      <c r="D794" s="276">
        <f>'Process (3)'!D24</f>
        <v>0.6</v>
      </c>
      <c r="E794" s="275">
        <f>'Process (3)'!E24</f>
        <v>0.5</v>
      </c>
      <c r="F794" s="275">
        <f>'Process (3)'!F24</f>
        <v>-1</v>
      </c>
      <c r="G794" s="281">
        <f>'Process (3)'!G24</f>
        <v>77.850000000000009</v>
      </c>
      <c r="H794" s="277">
        <f>'Process (3)'!H24</f>
        <v>0.7</v>
      </c>
      <c r="I794" s="281">
        <f>'Process (3)'!I24</f>
        <v>-54.495000000000005</v>
      </c>
    </row>
    <row r="795" spans="2:9" ht="18.75" customHeight="1" x14ac:dyDescent="0.25">
      <c r="B795" s="278">
        <v>6</v>
      </c>
      <c r="C795" s="276">
        <f>'Process (3)'!C25</f>
        <v>0.6</v>
      </c>
      <c r="D795" s="276">
        <f>'Process (3)'!D25</f>
        <v>0.6</v>
      </c>
      <c r="E795" s="275">
        <f>'Process (3)'!E25</f>
        <v>0.5</v>
      </c>
      <c r="F795" s="275">
        <f>'Process (3)'!F25</f>
        <v>1</v>
      </c>
      <c r="G795" s="281">
        <f>'Process (3)'!G25</f>
        <v>77.850000000000009</v>
      </c>
      <c r="H795" s="277">
        <f>'Process (3)'!H25</f>
        <v>0.7</v>
      </c>
      <c r="I795" s="281">
        <f>'Process (3)'!I25</f>
        <v>54.495000000000005</v>
      </c>
    </row>
    <row r="796" spans="2:9" ht="18.75" customHeight="1" x14ac:dyDescent="0.25">
      <c r="B796" s="278">
        <v>7</v>
      </c>
      <c r="C796" s="276">
        <f>'Process (3)'!C26</f>
        <v>1</v>
      </c>
      <c r="D796" s="276">
        <f>'Process (3)'!D26</f>
        <v>3.7300000000000004</v>
      </c>
      <c r="E796" s="275">
        <f>'Process (3)'!E26</f>
        <v>1</v>
      </c>
      <c r="F796" s="275">
        <f>'Process (3)'!F26</f>
        <v>-1</v>
      </c>
      <c r="G796" s="281">
        <f>'Process (3)'!G26</f>
        <v>1613.2250000000004</v>
      </c>
      <c r="H796" s="277">
        <f>'Process (3)'!H26</f>
        <v>0</v>
      </c>
      <c r="I796" s="281">
        <f>'Process (3)'!I26</f>
        <v>0</v>
      </c>
    </row>
    <row r="797" spans="2:9" ht="18.75" customHeight="1" x14ac:dyDescent="0.25">
      <c r="B797" s="608" t="s">
        <v>643</v>
      </c>
      <c r="C797" s="608"/>
      <c r="D797" s="608"/>
      <c r="E797" s="608"/>
      <c r="F797" s="608"/>
      <c r="G797" s="282">
        <f>'Process (3)'!G27</f>
        <v>2760.6475</v>
      </c>
      <c r="H797" s="280"/>
      <c r="I797" s="282">
        <f>'Process (3)'!I27</f>
        <v>-460.51518750000002</v>
      </c>
    </row>
    <row r="807" spans="1:9" ht="18.75" customHeight="1" x14ac:dyDescent="0.25">
      <c r="A807" s="139"/>
      <c r="B807" s="130" t="s">
        <v>626</v>
      </c>
      <c r="C807" s="131"/>
      <c r="D807" s="131"/>
      <c r="E807" s="131"/>
      <c r="F807" s="131"/>
      <c r="G807" s="131"/>
      <c r="H807" s="131"/>
      <c r="I807" s="131"/>
    </row>
    <row r="820" spans="1:9" ht="18.75" customHeight="1" x14ac:dyDescent="0.25">
      <c r="A820" s="35"/>
      <c r="B820" s="8" t="s">
        <v>97</v>
      </c>
      <c r="G820" s="7" t="s">
        <v>109</v>
      </c>
      <c r="H820" s="36">
        <f>'Process (3)'!I43</f>
        <v>17.2</v>
      </c>
      <c r="I820" s="5" t="s">
        <v>54</v>
      </c>
    </row>
    <row r="821" spans="1:9" ht="18.75" customHeight="1" x14ac:dyDescent="0.25">
      <c r="A821" s="35"/>
      <c r="B821" s="8" t="s">
        <v>108</v>
      </c>
      <c r="G821" s="51" t="s">
        <v>131</v>
      </c>
      <c r="H821" s="42">
        <f>'Process (3)'!I44</f>
        <v>0.37590799472818659</v>
      </c>
      <c r="I821" s="15"/>
    </row>
    <row r="822" spans="1:9" ht="18.75" customHeight="1" x14ac:dyDescent="0.25">
      <c r="A822" s="35"/>
      <c r="B822" s="8" t="s">
        <v>628</v>
      </c>
      <c r="G822" s="7" t="s">
        <v>631</v>
      </c>
      <c r="H822" s="36">
        <f>'Process (3)'!I45</f>
        <v>6.23</v>
      </c>
      <c r="I822" s="5" t="s">
        <v>0</v>
      </c>
    </row>
    <row r="823" spans="1:9" ht="18.75" customHeight="1" x14ac:dyDescent="0.25">
      <c r="A823" s="35"/>
      <c r="B823" s="8" t="s">
        <v>126</v>
      </c>
      <c r="G823" s="7" t="s">
        <v>127</v>
      </c>
      <c r="H823" s="36">
        <f>'Process (3)'!I46</f>
        <v>10.319999999999999</v>
      </c>
      <c r="I823" s="5" t="s">
        <v>128</v>
      </c>
    </row>
    <row r="824" spans="1:9" ht="18.75" customHeight="1" x14ac:dyDescent="0.25">
      <c r="A824" s="35"/>
      <c r="B824" s="8" t="s">
        <v>117</v>
      </c>
      <c r="G824" s="51" t="s">
        <v>130</v>
      </c>
      <c r="H824" s="42">
        <f>'Process (3)'!I47</f>
        <v>3.8793705055948848</v>
      </c>
      <c r="I824" s="5" t="s">
        <v>118</v>
      </c>
    </row>
    <row r="825" spans="1:9" ht="18.75" customHeight="1" x14ac:dyDescent="0.25">
      <c r="A825" s="35"/>
      <c r="B825" s="8" t="s">
        <v>119</v>
      </c>
      <c r="G825" s="51" t="s">
        <v>632</v>
      </c>
      <c r="H825" s="42">
        <f>'Process (3)'!I48</f>
        <v>24.168478249856133</v>
      </c>
      <c r="I825" s="5" t="s">
        <v>120</v>
      </c>
    </row>
    <row r="826" spans="1:9" ht="18.75" customHeight="1" x14ac:dyDescent="0.25">
      <c r="A826" s="35"/>
      <c r="B826" s="8" t="s">
        <v>121</v>
      </c>
      <c r="G826" s="51" t="s">
        <v>633</v>
      </c>
      <c r="H826" s="42">
        <f>'Process (3)'!I49</f>
        <v>3.1150000000000002</v>
      </c>
      <c r="I826" s="5" t="s">
        <v>0</v>
      </c>
    </row>
    <row r="827" spans="1:9" ht="18.75" customHeight="1" x14ac:dyDescent="0.25">
      <c r="A827" s="35"/>
      <c r="B827" s="8" t="s">
        <v>122</v>
      </c>
      <c r="G827" s="49" t="s">
        <v>123</v>
      </c>
      <c r="H827" s="42">
        <f>'Process (3)'!I50</f>
        <v>75.284809748301853</v>
      </c>
      <c r="I827" s="5" t="s">
        <v>124</v>
      </c>
    </row>
    <row r="828" spans="1:9" ht="18.75" customHeight="1" x14ac:dyDescent="0.25">
      <c r="A828" s="35"/>
      <c r="B828" s="8" t="s">
        <v>628</v>
      </c>
      <c r="G828" s="7" t="s">
        <v>631</v>
      </c>
      <c r="H828" s="36">
        <f>'Process (3)'!I51</f>
        <v>6.23</v>
      </c>
      <c r="I828" s="5" t="s">
        <v>0</v>
      </c>
    </row>
    <row r="829" spans="1:9" ht="18.75" customHeight="1" x14ac:dyDescent="0.25">
      <c r="A829" s="35"/>
      <c r="B829" s="8" t="s">
        <v>135</v>
      </c>
      <c r="G829" s="51" t="s">
        <v>634</v>
      </c>
      <c r="H829" s="42">
        <f>'Process (3)'!I52</f>
        <v>40.280797083093567</v>
      </c>
      <c r="I829" s="5" t="s">
        <v>118</v>
      </c>
    </row>
    <row r="830" spans="1:9" ht="18.75" customHeight="1" x14ac:dyDescent="0.25">
      <c r="A830" s="35"/>
      <c r="B830" s="8" t="s">
        <v>136</v>
      </c>
      <c r="G830" s="51" t="s">
        <v>635</v>
      </c>
      <c r="H830" s="42">
        <f>'Process (3)'!I53</f>
        <v>125.47468291383647</v>
      </c>
      <c r="I830" s="5" t="s">
        <v>120</v>
      </c>
    </row>
    <row r="831" spans="1:9" ht="18.75" customHeight="1" x14ac:dyDescent="0.25">
      <c r="A831" s="35"/>
      <c r="B831" s="8" t="s">
        <v>137</v>
      </c>
      <c r="G831" s="51" t="s">
        <v>636</v>
      </c>
      <c r="H831" s="42">
        <f>'Process (3)'!I54</f>
        <v>2.0766666666666667</v>
      </c>
      <c r="I831" s="5" t="s">
        <v>0</v>
      </c>
    </row>
    <row r="832" spans="1:9" ht="18.75" customHeight="1" x14ac:dyDescent="0.25">
      <c r="A832" s="35"/>
      <c r="B832" s="8" t="s">
        <v>138</v>
      </c>
      <c r="G832" s="51" t="s">
        <v>142</v>
      </c>
      <c r="H832" s="42">
        <f>'Process (3)'!I55</f>
        <v>260.56909151773374</v>
      </c>
      <c r="I832" s="5" t="s">
        <v>124</v>
      </c>
    </row>
    <row r="833" spans="1:9" ht="18.75" customHeight="1" x14ac:dyDescent="0.25">
      <c r="A833" s="35"/>
      <c r="B833" s="1" t="s">
        <v>641</v>
      </c>
      <c r="G833" s="7" t="s">
        <v>646</v>
      </c>
      <c r="H833" s="42">
        <f>'Process (3)'!I56</f>
        <v>2588.8266881318823</v>
      </c>
      <c r="I833" s="5" t="s">
        <v>115</v>
      </c>
    </row>
    <row r="834" spans="1:9" ht="18.75" customHeight="1" x14ac:dyDescent="0.25">
      <c r="A834" s="35"/>
      <c r="B834" s="1" t="s">
        <v>642</v>
      </c>
      <c r="G834" s="7" t="s">
        <v>647</v>
      </c>
      <c r="H834" s="42">
        <f>'Process (3)'!I57</f>
        <v>5810.2724919024158</v>
      </c>
      <c r="I834" s="5" t="s">
        <v>145</v>
      </c>
    </row>
    <row r="844" spans="1:9" ht="18.75" customHeight="1" x14ac:dyDescent="0.25">
      <c r="A844" s="139"/>
      <c r="B844" s="130" t="s">
        <v>629</v>
      </c>
      <c r="C844" s="131"/>
      <c r="D844" s="131"/>
      <c r="E844" s="131"/>
      <c r="F844" s="131"/>
      <c r="G844" s="131"/>
      <c r="H844" s="131"/>
      <c r="I844" s="131"/>
    </row>
    <row r="857" spans="1:9" ht="18.75" customHeight="1" x14ac:dyDescent="0.25">
      <c r="A857" s="35"/>
      <c r="B857" s="8" t="s">
        <v>160</v>
      </c>
      <c r="G857" s="7" t="s">
        <v>630</v>
      </c>
      <c r="H857" s="4">
        <f>'Process (3)'!I73</f>
        <v>0.50821855546797046</v>
      </c>
      <c r="I857" s="5"/>
    </row>
    <row r="858" spans="1:9" ht="18.75" customHeight="1" x14ac:dyDescent="0.25">
      <c r="A858" s="35"/>
      <c r="B858" s="8" t="s">
        <v>162</v>
      </c>
      <c r="G858" s="50" t="s">
        <v>163</v>
      </c>
      <c r="H858" s="4">
        <f>'Process (3)'!I74</f>
        <v>0.13231056073978387</v>
      </c>
      <c r="I858" s="5"/>
    </row>
    <row r="859" spans="1:9" ht="18.75" customHeight="1" x14ac:dyDescent="0.25">
      <c r="A859" s="35"/>
      <c r="B859" s="8" t="s">
        <v>639</v>
      </c>
    </row>
    <row r="860" spans="1:9" ht="18.75" customHeight="1" x14ac:dyDescent="0.25">
      <c r="A860" s="35"/>
      <c r="B860" s="8"/>
      <c r="G860" s="7" t="s">
        <v>640</v>
      </c>
      <c r="H860" s="4">
        <f>'Process (3)'!I75</f>
        <v>2.8446770559053531</v>
      </c>
      <c r="I860" s="5" t="s">
        <v>168</v>
      </c>
    </row>
    <row r="861" spans="1:9" ht="18.75" customHeight="1" x14ac:dyDescent="0.25">
      <c r="A861" s="35"/>
      <c r="B861" s="8"/>
      <c r="G861" s="7" t="s">
        <v>638</v>
      </c>
      <c r="H861" s="4">
        <f>'Process (3)'!I76</f>
        <v>14.17787044663228</v>
      </c>
      <c r="I861" s="5" t="s">
        <v>168</v>
      </c>
    </row>
    <row r="862" spans="1:9" ht="18.75" customHeight="1" x14ac:dyDescent="0.25">
      <c r="A862" s="35"/>
      <c r="B862" s="1" t="s">
        <v>641</v>
      </c>
      <c r="G862" s="7" t="s">
        <v>648</v>
      </c>
      <c r="H862" s="42">
        <f>'Process (3)'!I77</f>
        <v>17.722338058290351</v>
      </c>
      <c r="I862" s="5" t="s">
        <v>120</v>
      </c>
    </row>
    <row r="863" spans="1:9" ht="18.75" customHeight="1" x14ac:dyDescent="0.25">
      <c r="A863" s="35"/>
      <c r="G863" s="7" t="s">
        <v>649</v>
      </c>
      <c r="H863" s="42">
        <f>'Process (3)'!I78</f>
        <v>44.164066441259557</v>
      </c>
      <c r="I863" s="5" t="s">
        <v>120</v>
      </c>
    </row>
    <row r="864" spans="1:9" ht="18.75" customHeight="1" x14ac:dyDescent="0.25">
      <c r="A864" s="35"/>
      <c r="B864" s="1" t="s">
        <v>642</v>
      </c>
      <c r="G864" s="7" t="s">
        <v>644</v>
      </c>
      <c r="H864" s="42">
        <f>'Process (3)'!I79</f>
        <v>55.205083051574448</v>
      </c>
      <c r="I864" s="5" t="s">
        <v>124</v>
      </c>
    </row>
    <row r="865" spans="1:9" ht="18.75" customHeight="1" x14ac:dyDescent="0.25">
      <c r="G865" s="7" t="s">
        <v>637</v>
      </c>
      <c r="H865" s="42">
        <f>'Process (3)'!I80</f>
        <v>183.42808928603137</v>
      </c>
      <c r="I865" s="5" t="s">
        <v>124</v>
      </c>
    </row>
    <row r="866" spans="1:9" ht="18.75" customHeight="1" x14ac:dyDescent="0.25">
      <c r="B866" s="1" t="s">
        <v>645</v>
      </c>
      <c r="G866" s="7" t="s">
        <v>650</v>
      </c>
      <c r="H866" s="42">
        <f>'Process (3)'!I81</f>
        <v>1070.6347978422134</v>
      </c>
      <c r="I866" s="5" t="s">
        <v>115</v>
      </c>
    </row>
    <row r="867" spans="1:9" ht="18.75" customHeight="1" x14ac:dyDescent="0.25">
      <c r="G867" s="7" t="s">
        <v>651</v>
      </c>
      <c r="H867" s="42">
        <f>'Process (3)'!I82</f>
        <v>4128.3538814405802</v>
      </c>
      <c r="I867" s="5" t="s">
        <v>145</v>
      </c>
    </row>
    <row r="869" spans="1:9" ht="18.75" customHeight="1" x14ac:dyDescent="0.25">
      <c r="A869" s="139"/>
      <c r="B869" s="130" t="s">
        <v>652</v>
      </c>
      <c r="C869" s="131"/>
      <c r="D869" s="131"/>
      <c r="E869" s="131"/>
      <c r="F869" s="131"/>
      <c r="G869" s="131"/>
      <c r="H869" s="131"/>
      <c r="I869" s="131"/>
    </row>
    <row r="881" spans="1:9" ht="18.75" customHeight="1" x14ac:dyDescent="0.25">
      <c r="B881" s="1" t="s">
        <v>177</v>
      </c>
      <c r="G881" s="7" t="s">
        <v>156</v>
      </c>
      <c r="H881" s="42">
        <f>'Process (3)'!I97</f>
        <v>0.36</v>
      </c>
      <c r="I881" s="5" t="s">
        <v>152</v>
      </c>
    </row>
    <row r="882" spans="1:9" ht="18.75" customHeight="1" x14ac:dyDescent="0.25">
      <c r="A882" s="35"/>
      <c r="B882" s="1" t="s">
        <v>182</v>
      </c>
      <c r="G882" s="7" t="s">
        <v>181</v>
      </c>
      <c r="H882" s="41">
        <f>'Process (3)'!I98</f>
        <v>1</v>
      </c>
      <c r="I882" s="5" t="s">
        <v>152</v>
      </c>
    </row>
    <row r="883" spans="1:9" ht="18.75" customHeight="1" x14ac:dyDescent="0.25">
      <c r="B883" s="1" t="s">
        <v>196</v>
      </c>
      <c r="G883" s="7" t="s">
        <v>197</v>
      </c>
      <c r="H883" s="109">
        <f>'Process (3)'!I99</f>
        <v>0.79199999999999993</v>
      </c>
    </row>
    <row r="885" spans="1:9" ht="18.75" customHeight="1" x14ac:dyDescent="0.25">
      <c r="B885" s="609" t="s">
        <v>59</v>
      </c>
      <c r="C885" s="609" t="s">
        <v>64</v>
      </c>
      <c r="D885" s="609"/>
      <c r="E885" s="609"/>
      <c r="F885" s="609"/>
      <c r="G885" s="297" t="s">
        <v>653</v>
      </c>
      <c r="H885" s="297" t="s">
        <v>67</v>
      </c>
      <c r="I885" s="297" t="s">
        <v>69</v>
      </c>
    </row>
    <row r="886" spans="1:9" ht="18.75" customHeight="1" x14ac:dyDescent="0.25">
      <c r="B886" s="609"/>
      <c r="C886" s="297" t="s">
        <v>60</v>
      </c>
      <c r="D886" s="297" t="s">
        <v>61</v>
      </c>
      <c r="E886" s="297" t="s">
        <v>62</v>
      </c>
      <c r="F886" s="297" t="s">
        <v>63</v>
      </c>
      <c r="G886" s="297" t="s">
        <v>66</v>
      </c>
      <c r="H886" s="297" t="s">
        <v>68</v>
      </c>
      <c r="I886" s="297" t="s">
        <v>70</v>
      </c>
    </row>
    <row r="887" spans="1:9" ht="18.75" customHeight="1" x14ac:dyDescent="0.25">
      <c r="B887" s="278">
        <v>1</v>
      </c>
      <c r="C887" s="276">
        <f>'Process (3)'!C103</f>
        <v>0.35</v>
      </c>
      <c r="D887" s="276">
        <f>'Process (3)'!D103</f>
        <v>0.9</v>
      </c>
      <c r="E887" s="275">
        <f>'Process (3)'!E103</f>
        <v>1</v>
      </c>
      <c r="F887" s="275">
        <f>'Process (3)'!F103</f>
        <v>1</v>
      </c>
      <c r="G887" s="281">
        <f>'Process (3)'!G103</f>
        <v>49.045500000000004</v>
      </c>
      <c r="H887" s="277">
        <f>'Process (3)'!H103</f>
        <v>5.78</v>
      </c>
      <c r="I887" s="281">
        <f>'Process (3)'!I103</f>
        <v>283.48299000000003</v>
      </c>
    </row>
    <row r="888" spans="1:9" ht="18.75" customHeight="1" x14ac:dyDescent="0.25">
      <c r="B888" s="278">
        <v>2</v>
      </c>
      <c r="C888" s="276">
        <f>'Process (3)'!C104</f>
        <v>0.55000000000000004</v>
      </c>
      <c r="D888" s="276">
        <f>'Process (3)'!D104</f>
        <v>1.6</v>
      </c>
      <c r="E888" s="275">
        <f>'Process (3)'!E104</f>
        <v>1</v>
      </c>
      <c r="F888" s="275">
        <f>'Process (3)'!F104</f>
        <v>1</v>
      </c>
      <c r="G888" s="281">
        <f>'Process (3)'!G104</f>
        <v>137.01600000000002</v>
      </c>
      <c r="H888" s="277">
        <f>'Process (3)'!H104</f>
        <v>4.53</v>
      </c>
      <c r="I888" s="281">
        <f>'Process (3)'!I104</f>
        <v>620.68248000000017</v>
      </c>
    </row>
    <row r="889" spans="1:9" ht="18.75" customHeight="1" x14ac:dyDescent="0.25">
      <c r="B889" s="278">
        <v>3</v>
      </c>
      <c r="C889" s="276">
        <f>'Process (3)'!C105</f>
        <v>0.6</v>
      </c>
      <c r="D889" s="276">
        <f>'Process (3)'!D105</f>
        <v>1.0299999999999998</v>
      </c>
      <c r="E889" s="275">
        <f>'Process (3)'!E105</f>
        <v>1</v>
      </c>
      <c r="F889" s="275">
        <f>'Process (3)'!F105</f>
        <v>1</v>
      </c>
      <c r="G889" s="281">
        <f>'Process (3)'!G105</f>
        <v>96.222599999999971</v>
      </c>
      <c r="H889" s="277">
        <f>'Process (3)'!H105</f>
        <v>3.2150000000000007</v>
      </c>
      <c r="I889" s="281">
        <f>'Process (3)'!I105</f>
        <v>309.355659</v>
      </c>
    </row>
    <row r="890" spans="1:9" ht="18.75" customHeight="1" x14ac:dyDescent="0.25">
      <c r="B890" s="278">
        <v>4</v>
      </c>
      <c r="C890" s="276">
        <f>'Process (3)'!C106</f>
        <v>0.6</v>
      </c>
      <c r="D890" s="276">
        <f>'Process (3)'!D106</f>
        <v>0.8</v>
      </c>
      <c r="E890" s="275">
        <f>'Process (3)'!E106</f>
        <v>1</v>
      </c>
      <c r="F890" s="275">
        <f>'Process (3)'!F106</f>
        <v>1</v>
      </c>
      <c r="G890" s="281">
        <f>'Process (3)'!G106</f>
        <v>74.736000000000004</v>
      </c>
      <c r="H890" s="277">
        <f>'Process (3)'!H106</f>
        <v>2.7800000000000007</v>
      </c>
      <c r="I890" s="281">
        <f>'Process (3)'!I106</f>
        <v>207.76608000000007</v>
      </c>
    </row>
    <row r="891" spans="1:9" ht="18.75" customHeight="1" x14ac:dyDescent="0.25">
      <c r="B891" s="278">
        <v>5</v>
      </c>
      <c r="C891" s="276">
        <f>'Process (3)'!C107</f>
        <v>0.6</v>
      </c>
      <c r="D891" s="276">
        <f>'Process (3)'!D107</f>
        <v>0.6</v>
      </c>
      <c r="E891" s="275">
        <f>'Process (3)'!E107</f>
        <v>0.5</v>
      </c>
      <c r="F891" s="275">
        <f>'Process (3)'!F107</f>
        <v>1</v>
      </c>
      <c r="G891" s="281">
        <f>'Process (3)'!G107</f>
        <v>28.026</v>
      </c>
      <c r="H891" s="277">
        <f>'Process (3)'!H107</f>
        <v>2.5</v>
      </c>
      <c r="I891" s="281">
        <f>'Process (3)'!I107</f>
        <v>70.064999999999998</v>
      </c>
    </row>
    <row r="892" spans="1:9" ht="18.75" customHeight="1" x14ac:dyDescent="0.25">
      <c r="B892" s="278">
        <v>6</v>
      </c>
      <c r="C892" s="276">
        <f>'Process (3)'!C108</f>
        <v>0.6</v>
      </c>
      <c r="D892" s="276">
        <f>'Process (3)'!D108</f>
        <v>0.6</v>
      </c>
      <c r="E892" s="275">
        <f>'Process (3)'!E108</f>
        <v>0.5</v>
      </c>
      <c r="F892" s="275">
        <f>'Process (3)'!F108</f>
        <v>1</v>
      </c>
      <c r="G892" s="281">
        <f>'Process (3)'!G108</f>
        <v>28.026</v>
      </c>
      <c r="H892" s="277">
        <f>'Process (3)'!H108</f>
        <v>2.1800000000000006</v>
      </c>
      <c r="I892" s="281">
        <f>'Process (3)'!I108</f>
        <v>61.096680000000013</v>
      </c>
    </row>
    <row r="893" spans="1:9" ht="18.75" customHeight="1" x14ac:dyDescent="0.25">
      <c r="B893" s="278">
        <v>7</v>
      </c>
      <c r="C893" s="276">
        <f>'Process (3)'!C109</f>
        <v>1</v>
      </c>
      <c r="D893" s="276">
        <f>'Process (3)'!D109</f>
        <v>3.7300000000000004</v>
      </c>
      <c r="E893" s="275">
        <f>'Process (3)'!E109</f>
        <v>1</v>
      </c>
      <c r="F893" s="275">
        <f>'Process (3)'!F109</f>
        <v>1</v>
      </c>
      <c r="G893" s="281">
        <f>'Process (3)'!G109</f>
        <v>580.76100000000008</v>
      </c>
      <c r="H893" s="277">
        <f>'Process (3)'!H109</f>
        <v>1.8650000000000002</v>
      </c>
      <c r="I893" s="281">
        <f>'Process (3)'!I109</f>
        <v>1083.1192650000003</v>
      </c>
    </row>
    <row r="894" spans="1:9" ht="18.75" customHeight="1" x14ac:dyDescent="0.25">
      <c r="B894" s="608" t="s">
        <v>643</v>
      </c>
      <c r="C894" s="608"/>
      <c r="D894" s="608"/>
      <c r="E894" s="608"/>
      <c r="F894" s="608"/>
      <c r="G894" s="282">
        <f>'Process (3)'!G110</f>
        <v>993.83310000000006</v>
      </c>
      <c r="H894" s="280"/>
      <c r="I894" s="282">
        <f>'Process (3)'!I110</f>
        <v>2635.5681540000005</v>
      </c>
    </row>
    <row r="896" spans="1:9" ht="18.75" customHeight="1" x14ac:dyDescent="0.25">
      <c r="A896" s="35"/>
      <c r="B896" s="1" t="s">
        <v>641</v>
      </c>
      <c r="G896" s="7" t="s">
        <v>699</v>
      </c>
      <c r="H896" s="42">
        <f>'Process (3)'!I112</f>
        <v>993.83310000000006</v>
      </c>
      <c r="I896" s="5" t="s">
        <v>115</v>
      </c>
    </row>
    <row r="897" spans="1:9" ht="18.75" customHeight="1" x14ac:dyDescent="0.25">
      <c r="A897" s="35"/>
      <c r="B897" s="1" t="s">
        <v>642</v>
      </c>
      <c r="G897" s="7" t="s">
        <v>700</v>
      </c>
      <c r="H897" s="42">
        <f>'Process (3)'!I113</f>
        <v>2635.5681540000005</v>
      </c>
      <c r="I897" s="5" t="s">
        <v>145</v>
      </c>
    </row>
    <row r="899" spans="1:9" ht="18.75" customHeight="1" x14ac:dyDescent="0.25">
      <c r="A899" s="139"/>
      <c r="B899" s="130" t="s">
        <v>655</v>
      </c>
      <c r="C899" s="131"/>
      <c r="D899" s="131"/>
      <c r="E899" s="131"/>
      <c r="F899" s="131"/>
      <c r="G899" s="131"/>
      <c r="H899" s="131"/>
      <c r="I899" s="131"/>
    </row>
    <row r="912" spans="1:9" ht="18.75" customHeight="1" x14ac:dyDescent="0.25">
      <c r="B912" s="1" t="s">
        <v>656</v>
      </c>
      <c r="G912" s="7" t="s">
        <v>657</v>
      </c>
      <c r="H912" s="36">
        <f>'Process (3)'!I129</f>
        <v>3.7300000000000004</v>
      </c>
      <c r="I912" s="5" t="s">
        <v>0</v>
      </c>
    </row>
    <row r="913" spans="2:9" ht="18.75" customHeight="1" x14ac:dyDescent="0.25">
      <c r="B913" s="1" t="s">
        <v>665</v>
      </c>
      <c r="G913" s="7" t="s">
        <v>202</v>
      </c>
      <c r="H913" s="36">
        <f>'Process (3)'!I130</f>
        <v>0</v>
      </c>
      <c r="I913" s="5" t="s">
        <v>0</v>
      </c>
    </row>
    <row r="914" spans="2:9" ht="18.75" customHeight="1" x14ac:dyDescent="0.25">
      <c r="B914" s="2" t="s">
        <v>206</v>
      </c>
      <c r="C914" s="2"/>
      <c r="D914" s="2"/>
      <c r="E914" s="2"/>
      <c r="F914" s="2"/>
    </row>
    <row r="915" spans="2:9" ht="18.75" customHeight="1" x14ac:dyDescent="0.25">
      <c r="B915" s="2"/>
      <c r="C915" s="2"/>
      <c r="D915" s="2"/>
      <c r="E915" s="2"/>
      <c r="F915" s="2"/>
      <c r="G915" s="3" t="s">
        <v>207</v>
      </c>
      <c r="H915" s="58">
        <f>'Process (3)'!I131</f>
        <v>5257.1539999999995</v>
      </c>
      <c r="I915" s="10" t="s">
        <v>115</v>
      </c>
    </row>
    <row r="916" spans="2:9" ht="18.75" customHeight="1" x14ac:dyDescent="0.25">
      <c r="B916" s="2"/>
      <c r="C916" s="2"/>
      <c r="D916" s="2"/>
      <c r="E916" s="2"/>
      <c r="F916" s="2"/>
      <c r="G916" s="3"/>
      <c r="H916" s="403"/>
      <c r="I916" s="10"/>
    </row>
    <row r="917" spans="2:9" ht="18.75" customHeight="1" x14ac:dyDescent="0.25">
      <c r="B917" s="2"/>
      <c r="C917" s="2"/>
      <c r="D917" s="2"/>
      <c r="E917" s="2"/>
      <c r="F917" s="2"/>
      <c r="G917" s="3"/>
      <c r="H917" s="403"/>
      <c r="I917" s="10"/>
    </row>
    <row r="918" spans="2:9" ht="18.75" customHeight="1" x14ac:dyDescent="0.25">
      <c r="B918" s="578" t="s">
        <v>59</v>
      </c>
      <c r="C918" s="578" t="s">
        <v>184</v>
      </c>
      <c r="D918" s="578"/>
      <c r="E918" s="578"/>
      <c r="F918" s="578"/>
      <c r="G918" s="578"/>
      <c r="H918" s="578"/>
    </row>
    <row r="919" spans="2:9" ht="18.75" customHeight="1" x14ac:dyDescent="0.25">
      <c r="B919" s="578"/>
      <c r="C919" s="578"/>
      <c r="D919" s="578"/>
      <c r="E919" s="578"/>
      <c r="F919" s="294" t="s">
        <v>223</v>
      </c>
      <c r="G919" s="294" t="s">
        <v>658</v>
      </c>
      <c r="H919" s="294" t="s">
        <v>659</v>
      </c>
    </row>
    <row r="920" spans="2:9" ht="18.75" customHeight="1" x14ac:dyDescent="0.25">
      <c r="B920" s="56"/>
      <c r="C920" s="579" t="s">
        <v>203</v>
      </c>
      <c r="D920" s="579"/>
      <c r="E920" s="579"/>
      <c r="F920" s="579"/>
      <c r="G920" s="579"/>
      <c r="H920" s="579"/>
    </row>
    <row r="921" spans="2:9" ht="18.75" customHeight="1" x14ac:dyDescent="0.25">
      <c r="B921" s="56">
        <v>1</v>
      </c>
      <c r="C921" s="640" t="s">
        <v>188</v>
      </c>
      <c r="D921" s="640"/>
      <c r="E921" s="640"/>
      <c r="F921" s="557">
        <f>'Process (3)'!O102</f>
        <v>3479.0340000000001</v>
      </c>
      <c r="G921" s="558"/>
      <c r="H921" s="559">
        <f>'Process (3)'!Q102</f>
        <v>0</v>
      </c>
    </row>
    <row r="922" spans="2:9" ht="18.75" customHeight="1" x14ac:dyDescent="0.25">
      <c r="B922" s="56">
        <v>2</v>
      </c>
      <c r="C922" s="640" t="s">
        <v>189</v>
      </c>
      <c r="D922" s="640"/>
      <c r="E922" s="640"/>
      <c r="F922" s="557">
        <f>'Process (3)'!O103</f>
        <v>1221.8</v>
      </c>
      <c r="G922" s="558"/>
      <c r="H922" s="559">
        <f>'Process (3)'!Q103</f>
        <v>0</v>
      </c>
    </row>
    <row r="923" spans="2:9" ht="18.75" customHeight="1" x14ac:dyDescent="0.25">
      <c r="B923" s="56">
        <v>3</v>
      </c>
      <c r="C923" s="640" t="s">
        <v>190</v>
      </c>
      <c r="D923" s="640"/>
      <c r="E923" s="640"/>
      <c r="F923" s="557">
        <f>'Process (3)'!O104</f>
        <v>1534.4</v>
      </c>
      <c r="G923" s="558"/>
      <c r="H923" s="559">
        <f>'Process (3)'!Q104</f>
        <v>0</v>
      </c>
    </row>
    <row r="924" spans="2:9" ht="18.75" customHeight="1" x14ac:dyDescent="0.25">
      <c r="B924" s="56">
        <v>4</v>
      </c>
      <c r="C924" s="640" t="s">
        <v>191</v>
      </c>
      <c r="D924" s="640"/>
      <c r="E924" s="640"/>
      <c r="F924" s="557">
        <f>'Process (3)'!O105</f>
        <v>650</v>
      </c>
      <c r="G924" s="558"/>
      <c r="H924" s="559">
        <f>'Process (3)'!Q105</f>
        <v>0</v>
      </c>
    </row>
    <row r="925" spans="2:9" ht="18.75" customHeight="1" x14ac:dyDescent="0.25">
      <c r="B925" s="56">
        <v>5</v>
      </c>
      <c r="C925" s="640" t="s">
        <v>192</v>
      </c>
      <c r="D925" s="640"/>
      <c r="E925" s="640"/>
      <c r="F925" s="558"/>
      <c r="G925" s="557">
        <f>'Process (3)'!P106</f>
        <v>144.01499999999999</v>
      </c>
      <c r="H925" s="560">
        <f>'Process (3)'!Q106</f>
        <v>717.19470000000001</v>
      </c>
    </row>
    <row r="926" spans="2:9" ht="18.75" customHeight="1" x14ac:dyDescent="0.25">
      <c r="B926" s="56">
        <v>6</v>
      </c>
      <c r="C926" s="640" t="s">
        <v>193</v>
      </c>
      <c r="D926" s="640"/>
      <c r="E926" s="640"/>
      <c r="F926" s="557">
        <f>'Process (3)'!O107</f>
        <v>320</v>
      </c>
      <c r="G926" s="558"/>
      <c r="H926" s="559">
        <f>'Process (3)'!Q107</f>
        <v>0</v>
      </c>
    </row>
    <row r="927" spans="2:9" ht="18.75" customHeight="1" x14ac:dyDescent="0.25">
      <c r="B927" s="56">
        <v>7</v>
      </c>
      <c r="C927" s="640" t="s">
        <v>194</v>
      </c>
      <c r="D927" s="640"/>
      <c r="E927" s="640"/>
      <c r="F927" s="558"/>
      <c r="G927" s="558"/>
      <c r="H927" s="561"/>
    </row>
    <row r="928" spans="2:9" ht="18.75" customHeight="1" x14ac:dyDescent="0.25">
      <c r="B928" s="56">
        <v>8</v>
      </c>
      <c r="C928" s="640" t="s">
        <v>195</v>
      </c>
      <c r="D928" s="640"/>
      <c r="E928" s="640"/>
      <c r="F928" s="558"/>
      <c r="G928" s="558"/>
      <c r="H928" s="561"/>
    </row>
    <row r="929" spans="1:9" ht="18.75" customHeight="1" x14ac:dyDescent="0.25">
      <c r="B929" s="56">
        <v>9</v>
      </c>
      <c r="C929" s="640" t="s">
        <v>204</v>
      </c>
      <c r="D929" s="640"/>
      <c r="E929" s="640"/>
      <c r="F929" s="558"/>
      <c r="G929" s="557">
        <f>'Process (3)'!P110</f>
        <v>2482.0403519999995</v>
      </c>
      <c r="H929" s="560">
        <f>'Process (3)'!Q110</f>
        <v>12360.560952959999</v>
      </c>
    </row>
    <row r="930" spans="1:9" ht="18.75" customHeight="1" x14ac:dyDescent="0.25">
      <c r="B930" s="56">
        <v>10</v>
      </c>
      <c r="C930" s="640" t="s">
        <v>205</v>
      </c>
      <c r="D930" s="640"/>
      <c r="E930" s="640"/>
      <c r="F930" s="558"/>
      <c r="G930" s="557">
        <f>'Process (3)'!P111</f>
        <v>451.02918421159171</v>
      </c>
      <c r="H930" s="560">
        <f>'Process (3)'!Q111</f>
        <v>2246.1253373737268</v>
      </c>
    </row>
    <row r="931" spans="1:9" ht="18.75" customHeight="1" x14ac:dyDescent="0.25">
      <c r="B931" s="56"/>
      <c r="C931" s="579" t="s">
        <v>663</v>
      </c>
      <c r="D931" s="579"/>
      <c r="E931" s="579"/>
      <c r="F931" s="579"/>
      <c r="G931" s="579"/>
      <c r="H931" s="579"/>
    </row>
    <row r="932" spans="1:9" ht="18.75" customHeight="1" x14ac:dyDescent="0.25">
      <c r="B932" s="56">
        <v>11</v>
      </c>
      <c r="C932" s="640" t="s">
        <v>188</v>
      </c>
      <c r="D932" s="640"/>
      <c r="E932" s="640"/>
      <c r="F932" s="284">
        <f>'Process (3)'!O113</f>
        <v>2760.6475</v>
      </c>
      <c r="G932" s="285"/>
      <c r="H932" s="282">
        <f>'Process (3)'!Q113</f>
        <v>-460.51518750000002</v>
      </c>
    </row>
    <row r="933" spans="1:9" ht="18.75" customHeight="1" x14ac:dyDescent="0.25">
      <c r="B933" s="56">
        <v>12</v>
      </c>
      <c r="C933" s="640" t="s">
        <v>211</v>
      </c>
      <c r="D933" s="640"/>
      <c r="E933" s="640"/>
      <c r="F933" s="285"/>
      <c r="G933" s="284">
        <f>'Process (3)'!P114</f>
        <v>2588.8266881318823</v>
      </c>
      <c r="H933" s="282">
        <f>'Process (3)'!Q114</f>
        <v>5810.2724919024158</v>
      </c>
    </row>
    <row r="934" spans="1:9" ht="18.75" customHeight="1" x14ac:dyDescent="0.25">
      <c r="B934" s="56">
        <v>13</v>
      </c>
      <c r="C934" s="640" t="s">
        <v>212</v>
      </c>
      <c r="D934" s="640"/>
      <c r="E934" s="640"/>
      <c r="F934" s="285"/>
      <c r="G934" s="284">
        <f>'Process (3)'!P115</f>
        <v>1070.6347978422134</v>
      </c>
      <c r="H934" s="282">
        <f>'Process (3)'!Q115</f>
        <v>4128.3538814405802</v>
      </c>
    </row>
    <row r="935" spans="1:9" ht="18.75" customHeight="1" x14ac:dyDescent="0.25">
      <c r="B935" s="56">
        <v>14</v>
      </c>
      <c r="C935" s="640" t="s">
        <v>204</v>
      </c>
      <c r="D935" s="640"/>
      <c r="E935" s="640"/>
      <c r="F935" s="285"/>
      <c r="G935" s="284">
        <f>'Process (3)'!P116</f>
        <v>993.83310000000006</v>
      </c>
      <c r="H935" s="282">
        <f>'Process (3)'!Q116</f>
        <v>2635.5681540000005</v>
      </c>
    </row>
    <row r="937" spans="1:9" ht="18.75" customHeight="1" x14ac:dyDescent="0.25">
      <c r="A937" s="139"/>
      <c r="B937" s="130" t="s">
        <v>213</v>
      </c>
      <c r="C937" s="131"/>
      <c r="D937" s="131"/>
      <c r="E937" s="131"/>
      <c r="F937" s="131"/>
      <c r="G937" s="131"/>
      <c r="H937" s="131"/>
      <c r="I937" s="131"/>
    </row>
    <row r="938" spans="1:9" ht="18.75" customHeight="1" x14ac:dyDescent="0.25">
      <c r="B938" s="578" t="s">
        <v>59</v>
      </c>
      <c r="C938" s="578" t="s">
        <v>184</v>
      </c>
      <c r="D938" s="578"/>
      <c r="E938" s="578"/>
      <c r="F938" s="578"/>
      <c r="G938" s="578"/>
      <c r="H938" s="578"/>
    </row>
    <row r="939" spans="1:9" ht="18.75" customHeight="1" x14ac:dyDescent="0.25">
      <c r="B939" s="578"/>
      <c r="C939" s="578"/>
      <c r="D939" s="578"/>
      <c r="E939" s="578"/>
      <c r="F939" s="294" t="s">
        <v>223</v>
      </c>
      <c r="G939" s="294" t="s">
        <v>658</v>
      </c>
      <c r="H939" s="294" t="s">
        <v>659</v>
      </c>
    </row>
    <row r="940" spans="1:9" ht="18.75" customHeight="1" x14ac:dyDescent="0.25">
      <c r="B940" s="56">
        <v>2</v>
      </c>
      <c r="C940" s="618" t="s">
        <v>215</v>
      </c>
      <c r="D940" s="618"/>
      <c r="E940" s="618"/>
      <c r="F940" s="405">
        <f>F921+F922+0.3*MAX(F923:F924)+0.3*F925+0.3*F926+F929+F932+F933+F934+F935</f>
        <v>8017.8014999999996</v>
      </c>
      <c r="G940" s="405">
        <f>G921+G922+0.3*MAX(G923:G924)+0.3*G925+0.3*G926+G929+G932+G933+G934+G935</f>
        <v>7178.5394379740947</v>
      </c>
      <c r="H940" s="405">
        <f>H921+H922+0.3*MAX(H923:H924)+0.3*H925+0.3*H926+H929+H932+H933+H934+H935</f>
        <v>24689.398702802995</v>
      </c>
    </row>
    <row r="941" spans="1:9" ht="18.75" customHeight="1" x14ac:dyDescent="0.25">
      <c r="B941" s="56">
        <v>4</v>
      </c>
      <c r="C941" s="618" t="s">
        <v>217</v>
      </c>
      <c r="D941" s="618"/>
      <c r="E941" s="618"/>
      <c r="F941" s="405">
        <f>1.3*(F921)+2*F922+1.25*F933+1.3*F932+1.8*(MAX(F923:F924)+F925+F926)</f>
        <v>13893.105949999999</v>
      </c>
      <c r="G941" s="405">
        <f>1.3*(G921)+2*G922+1.25*G933+1.3*G932+1.8*(MAX(G923:G924)+G925+G926)</f>
        <v>3495.2603601648525</v>
      </c>
      <c r="H941" s="405">
        <f>1.3*(H921)+2*H922+1.25*H933+1.3*H932+1.8*(MAX(H923:H924)+H925+H926)</f>
        <v>7955.1213311280198</v>
      </c>
    </row>
    <row r="942" spans="1:9" ht="18.75" customHeight="1" x14ac:dyDescent="0.25">
      <c r="B942" s="56">
        <v>5</v>
      </c>
      <c r="C942" s="618" t="s">
        <v>218</v>
      </c>
      <c r="D942" s="618"/>
      <c r="E942" s="618"/>
      <c r="F942" s="405">
        <f>1.3*(F921)+2*F922+1.25*F933+1.3*F932+1.4*(MAX(F923:F924)+F925+F926)</f>
        <v>13151.345949999999</v>
      </c>
      <c r="G942" s="405">
        <f>1.3*(G921)+2*G922+1.25*G933+1.3*G932+1.4*(MAX(G923:G924)+G925+G926)</f>
        <v>3437.6543601648527</v>
      </c>
      <c r="H942" s="405">
        <f>1.3*(H921)+2*H922+1.25*H933+1.3*H932+1.4*(MAX(H923:H924)+H925+H926)</f>
        <v>7668.2434511280198</v>
      </c>
    </row>
    <row r="943" spans="1:9" ht="18.75" customHeight="1" x14ac:dyDescent="0.25">
      <c r="B943" s="56">
        <v>6</v>
      </c>
      <c r="C943" s="618" t="s">
        <v>219</v>
      </c>
      <c r="D943" s="618"/>
      <c r="E943" s="618"/>
      <c r="F943" s="405">
        <f>1.3*(F921)+2*F922+1.25*F933+1.3*F932+1.4*F928</f>
        <v>10555.185949999999</v>
      </c>
      <c r="G943" s="405">
        <f>1.3*(G921)+2*G922+1.25*G933+1.3*G932+1.4*G928</f>
        <v>3236.0333601648526</v>
      </c>
      <c r="H943" s="405">
        <f>1.3*(H921)+2*H922+1.25*H933+1.3*H932+1.4*H928</f>
        <v>6664.1708711280198</v>
      </c>
    </row>
    <row r="944" spans="1:9" ht="18.75" customHeight="1" x14ac:dyDescent="0.25">
      <c r="B944" s="56">
        <v>7</v>
      </c>
      <c r="C944" s="618" t="s">
        <v>220</v>
      </c>
      <c r="D944" s="618"/>
      <c r="E944" s="618"/>
      <c r="F944" s="405">
        <f>1.3*(F921)+2*F922+1.25*F933+1.3*F932</f>
        <v>10555.185949999999</v>
      </c>
      <c r="G944" s="405">
        <f>1.3*(G921)+2*G922+1.25*G933+1.3*G932</f>
        <v>3236.0333601648526</v>
      </c>
      <c r="H944" s="405">
        <f>1.3*(H921)+2*H922+1.25*H933+1.3*H932</f>
        <v>6664.1708711280198</v>
      </c>
    </row>
    <row r="945" spans="1:9" ht="18.75" customHeight="1" x14ac:dyDescent="0.25">
      <c r="B945" s="56">
        <v>8</v>
      </c>
      <c r="C945" s="618" t="s">
        <v>221</v>
      </c>
      <c r="D945" s="618"/>
      <c r="E945" s="618"/>
      <c r="F945" s="405">
        <f>1.3*(F921)+2*F922+1.25*F933+1.3*F932+0.4*F928+F927</f>
        <v>10555.185949999999</v>
      </c>
      <c r="G945" s="405">
        <f>1.3*(G921)+2*G922+1.25*G933+1.3*G932+0.4*G928+G927</f>
        <v>3236.0333601648526</v>
      </c>
      <c r="H945" s="405">
        <f>1.3*(H921)+2*H922+1.25*H933+1.3*H932+0.4*H928+H927</f>
        <v>6664.1708711280198</v>
      </c>
    </row>
    <row r="946" spans="1:9" ht="18.75" customHeight="1" x14ac:dyDescent="0.25">
      <c r="B946" s="2"/>
      <c r="C946" s="2"/>
      <c r="D946" s="2"/>
      <c r="E946" s="2"/>
      <c r="F946" s="2"/>
    </row>
    <row r="947" spans="1:9" ht="18.75" customHeight="1" x14ac:dyDescent="0.25">
      <c r="B947" s="1" t="s">
        <v>962</v>
      </c>
      <c r="G947" s="7" t="s">
        <v>661</v>
      </c>
      <c r="H947" s="36">
        <f>'Process (3)'!I133</f>
        <v>7178.5394379740947</v>
      </c>
      <c r="I947" s="5" t="s">
        <v>115</v>
      </c>
    </row>
    <row r="948" spans="1:9" ht="18.75" customHeight="1" x14ac:dyDescent="0.25">
      <c r="B948" s="1" t="s">
        <v>964</v>
      </c>
      <c r="G948" s="7" t="s">
        <v>662</v>
      </c>
      <c r="H948" s="36">
        <f>'Process (3)'!I134</f>
        <v>24689.398702802995</v>
      </c>
      <c r="I948" s="5" t="s">
        <v>145</v>
      </c>
    </row>
    <row r="955" spans="1:9" ht="18.75" customHeight="1" x14ac:dyDescent="0.25">
      <c r="A955" s="359" t="s">
        <v>844</v>
      </c>
      <c r="B955" s="360" t="s">
        <v>664</v>
      </c>
      <c r="C955" s="129"/>
      <c r="D955" s="129"/>
      <c r="E955" s="129"/>
      <c r="F955" s="129"/>
      <c r="G955" s="129"/>
      <c r="H955" s="129"/>
      <c r="I955" s="129"/>
    </row>
    <row r="956" spans="1:9" ht="18.75" customHeight="1" x14ac:dyDescent="0.25">
      <c r="A956" s="139"/>
      <c r="B956" s="130" t="s">
        <v>627</v>
      </c>
      <c r="C956" s="131"/>
      <c r="D956" s="131"/>
      <c r="E956" s="131"/>
      <c r="F956" s="131"/>
      <c r="G956" s="131"/>
      <c r="H956" s="131"/>
      <c r="I956" s="131"/>
    </row>
    <row r="969" spans="1:9" ht="18.75" customHeight="1" x14ac:dyDescent="0.25">
      <c r="B969" s="609" t="s">
        <v>59</v>
      </c>
      <c r="C969" s="609" t="s">
        <v>64</v>
      </c>
      <c r="D969" s="609"/>
      <c r="E969" s="609"/>
      <c r="F969" s="609"/>
      <c r="G969" s="297" t="s">
        <v>65</v>
      </c>
      <c r="H969" s="297" t="s">
        <v>67</v>
      </c>
      <c r="I969" s="297" t="s">
        <v>69</v>
      </c>
    </row>
    <row r="970" spans="1:9" ht="18.75" customHeight="1" x14ac:dyDescent="0.25">
      <c r="B970" s="609"/>
      <c r="C970" s="297" t="s">
        <v>60</v>
      </c>
      <c r="D970" s="297" t="s">
        <v>61</v>
      </c>
      <c r="E970" s="297" t="s">
        <v>62</v>
      </c>
      <c r="F970" s="297" t="s">
        <v>63</v>
      </c>
      <c r="G970" s="297" t="s">
        <v>66</v>
      </c>
      <c r="H970" s="297" t="s">
        <v>68</v>
      </c>
      <c r="I970" s="297" t="s">
        <v>70</v>
      </c>
    </row>
    <row r="971" spans="1:9" ht="18.75" customHeight="1" x14ac:dyDescent="0.25">
      <c r="B971" s="278">
        <v>1</v>
      </c>
      <c r="C971" s="276">
        <f>'Process (3)'!C153</f>
        <v>0.35</v>
      </c>
      <c r="D971" s="276">
        <f>'Process (3)'!D153</f>
        <v>0.9</v>
      </c>
      <c r="E971" s="275">
        <f>'Process (3)'!E153</f>
        <v>1</v>
      </c>
      <c r="F971" s="275">
        <f>'Process (3)'!F153</f>
        <v>1</v>
      </c>
      <c r="G971" s="281">
        <f>'Process (3)'!G153</f>
        <v>136.23750000000001</v>
      </c>
      <c r="H971" s="277">
        <f>'Process (3)'!H153</f>
        <v>0.35000000000000003</v>
      </c>
      <c r="I971" s="281">
        <f>'Process (3)'!I153</f>
        <v>47.683125000000011</v>
      </c>
    </row>
    <row r="972" spans="1:9" ht="18.75" customHeight="1" x14ac:dyDescent="0.25">
      <c r="B972" s="278">
        <v>2</v>
      </c>
      <c r="C972" s="276">
        <f>'Process (3)'!C154</f>
        <v>0.55000000000000004</v>
      </c>
      <c r="D972" s="276">
        <f>'Process (3)'!D154</f>
        <v>1.6</v>
      </c>
      <c r="E972" s="275">
        <f>'Process (3)'!E154</f>
        <v>1</v>
      </c>
      <c r="F972" s="275">
        <f>'Process (3)'!F154</f>
        <v>1</v>
      </c>
      <c r="G972" s="281">
        <f>'Process (3)'!G154</f>
        <v>380.60000000000008</v>
      </c>
      <c r="H972" s="277">
        <f>'Process (3)'!H154</f>
        <v>0</v>
      </c>
      <c r="I972" s="281">
        <f>'Process (3)'!I154</f>
        <v>0</v>
      </c>
    </row>
    <row r="973" spans="1:9" ht="18.75" customHeight="1" x14ac:dyDescent="0.25">
      <c r="B973" s="608" t="s">
        <v>643</v>
      </c>
      <c r="C973" s="608"/>
      <c r="D973" s="608"/>
      <c r="E973" s="608"/>
      <c r="F973" s="608"/>
      <c r="G973" s="282">
        <f>'Process (3)'!G155</f>
        <v>516.83750000000009</v>
      </c>
      <c r="H973" s="280"/>
      <c r="I973" s="282">
        <f>'Process (3)'!I155</f>
        <v>47.683125000000011</v>
      </c>
    </row>
    <row r="975" spans="1:9" ht="18.75" customHeight="1" x14ac:dyDescent="0.25">
      <c r="A975" s="139"/>
      <c r="B975" s="130" t="s">
        <v>626</v>
      </c>
      <c r="C975" s="131"/>
      <c r="D975" s="131"/>
      <c r="E975" s="131"/>
      <c r="F975" s="131"/>
      <c r="G975" s="131"/>
      <c r="H975" s="131"/>
      <c r="I975" s="131"/>
    </row>
    <row r="988" spans="1:9" ht="18.75" customHeight="1" x14ac:dyDescent="0.25">
      <c r="A988" s="35"/>
      <c r="B988" s="8" t="s">
        <v>97</v>
      </c>
      <c r="G988" s="7" t="s">
        <v>109</v>
      </c>
      <c r="H988" s="36">
        <f>'Process (3)'!I171</f>
        <v>17.2</v>
      </c>
      <c r="I988" s="5" t="s">
        <v>54</v>
      </c>
    </row>
    <row r="989" spans="1:9" ht="18.75" customHeight="1" x14ac:dyDescent="0.25">
      <c r="A989" s="35"/>
      <c r="B989" s="8" t="s">
        <v>108</v>
      </c>
      <c r="G989" s="51" t="s">
        <v>131</v>
      </c>
      <c r="H989" s="42">
        <f>'Process (3)'!I172</f>
        <v>0.37590799472818659</v>
      </c>
      <c r="I989" s="15"/>
    </row>
    <row r="990" spans="1:9" ht="18.75" customHeight="1" x14ac:dyDescent="0.25">
      <c r="A990" s="35"/>
      <c r="B990" s="8" t="s">
        <v>628</v>
      </c>
      <c r="G990" s="7" t="s">
        <v>631</v>
      </c>
      <c r="H990" s="36">
        <f>'Process (3)'!I173</f>
        <v>2.5</v>
      </c>
      <c r="I990" s="5" t="s">
        <v>0</v>
      </c>
    </row>
    <row r="991" spans="1:9" ht="18.75" customHeight="1" x14ac:dyDescent="0.25">
      <c r="A991" s="35"/>
      <c r="B991" s="8" t="s">
        <v>126</v>
      </c>
      <c r="G991" s="7" t="s">
        <v>127</v>
      </c>
      <c r="H991" s="42">
        <f>'Process (3)'!I174</f>
        <v>10.319999999999999</v>
      </c>
      <c r="I991" s="5" t="s">
        <v>128</v>
      </c>
    </row>
    <row r="992" spans="1:9" ht="18.75" customHeight="1" x14ac:dyDescent="0.25">
      <c r="A992" s="35"/>
      <c r="B992" s="8" t="s">
        <v>117</v>
      </c>
      <c r="G992" s="51" t="s">
        <v>130</v>
      </c>
      <c r="H992" s="42">
        <f>'Process (3)'!I175</f>
        <v>3.8793705055948848</v>
      </c>
      <c r="I992" s="5" t="s">
        <v>118</v>
      </c>
    </row>
    <row r="993" spans="1:9" ht="18.75" customHeight="1" x14ac:dyDescent="0.25">
      <c r="A993" s="35"/>
      <c r="B993" s="8" t="s">
        <v>119</v>
      </c>
      <c r="G993" s="51" t="s">
        <v>632</v>
      </c>
      <c r="H993" s="42">
        <f>'Process (3)'!I176</f>
        <v>9.6984262639872121</v>
      </c>
      <c r="I993" s="5" t="s">
        <v>120</v>
      </c>
    </row>
    <row r="994" spans="1:9" ht="18.75" customHeight="1" x14ac:dyDescent="0.25">
      <c r="A994" s="35"/>
      <c r="B994" s="8" t="s">
        <v>121</v>
      </c>
      <c r="G994" s="51" t="s">
        <v>633</v>
      </c>
      <c r="H994" s="42">
        <f>'Process (3)'!I177</f>
        <v>1.25</v>
      </c>
      <c r="I994" s="5" t="s">
        <v>0</v>
      </c>
    </row>
    <row r="995" spans="1:9" ht="18.75" customHeight="1" x14ac:dyDescent="0.25">
      <c r="A995" s="35"/>
      <c r="B995" s="8" t="s">
        <v>122</v>
      </c>
      <c r="G995" s="49" t="s">
        <v>123</v>
      </c>
      <c r="H995" s="42">
        <f>'Process (3)'!I178</f>
        <v>12.123032829984016</v>
      </c>
      <c r="I995" s="5" t="s">
        <v>124</v>
      </c>
    </row>
    <row r="996" spans="1:9" ht="18.75" customHeight="1" x14ac:dyDescent="0.25">
      <c r="A996" s="35"/>
      <c r="B996" s="8" t="s">
        <v>628</v>
      </c>
      <c r="G996" s="7" t="s">
        <v>631</v>
      </c>
      <c r="H996" s="36">
        <f>'Process (3)'!I179</f>
        <v>2.5</v>
      </c>
      <c r="I996" s="5" t="s">
        <v>0</v>
      </c>
    </row>
    <row r="997" spans="1:9" ht="18.75" customHeight="1" x14ac:dyDescent="0.25">
      <c r="A997" s="35"/>
      <c r="B997" s="8" t="s">
        <v>135</v>
      </c>
      <c r="G997" s="51" t="s">
        <v>634</v>
      </c>
      <c r="H997" s="42">
        <f>'Process (3)'!I180</f>
        <v>16.164043773312024</v>
      </c>
      <c r="I997" s="5" t="s">
        <v>118</v>
      </c>
    </row>
    <row r="998" spans="1:9" ht="18.75" customHeight="1" x14ac:dyDescent="0.25">
      <c r="A998" s="35"/>
      <c r="B998" s="8" t="s">
        <v>136</v>
      </c>
      <c r="G998" s="51" t="s">
        <v>635</v>
      </c>
      <c r="H998" s="42">
        <f>'Process (3)'!I181</f>
        <v>20.205054716640028</v>
      </c>
      <c r="I998" s="5" t="s">
        <v>120</v>
      </c>
    </row>
    <row r="999" spans="1:9" ht="18.75" customHeight="1" x14ac:dyDescent="0.25">
      <c r="A999" s="35"/>
      <c r="B999" s="8" t="s">
        <v>137</v>
      </c>
      <c r="G999" s="51" t="s">
        <v>636</v>
      </c>
      <c r="H999" s="42">
        <f>'Process (3)'!I182</f>
        <v>0.83333333333333326</v>
      </c>
      <c r="I999" s="5" t="s">
        <v>0</v>
      </c>
    </row>
    <row r="1000" spans="1:9" ht="18.75" customHeight="1" x14ac:dyDescent="0.25">
      <c r="A1000" s="35"/>
      <c r="B1000" s="8" t="s">
        <v>138</v>
      </c>
      <c r="G1000" s="51" t="s">
        <v>142</v>
      </c>
      <c r="H1000" s="42">
        <f>'Process (3)'!I183</f>
        <v>16.837545597200023</v>
      </c>
      <c r="I1000" s="5" t="s">
        <v>124</v>
      </c>
    </row>
    <row r="1001" spans="1:9" ht="18.75" customHeight="1" x14ac:dyDescent="0.25">
      <c r="A1001" s="35"/>
      <c r="B1001" s="1" t="s">
        <v>641</v>
      </c>
      <c r="G1001" s="7" t="s">
        <v>646</v>
      </c>
      <c r="H1001" s="42">
        <f>'Process (3)'!I184</f>
        <v>517.33022096485126</v>
      </c>
      <c r="I1001" s="5" t="s">
        <v>115</v>
      </c>
    </row>
    <row r="1002" spans="1:9" ht="18.75" customHeight="1" x14ac:dyDescent="0.25">
      <c r="A1002" s="35"/>
      <c r="B1002" s="1" t="s">
        <v>642</v>
      </c>
      <c r="G1002" s="7" t="s">
        <v>647</v>
      </c>
      <c r="H1002" s="42">
        <f>'Process (3)'!I185</f>
        <v>501.01800679028389</v>
      </c>
      <c r="I1002" s="5" t="s">
        <v>145</v>
      </c>
    </row>
    <row r="1004" spans="1:9" ht="18.75" customHeight="1" x14ac:dyDescent="0.25">
      <c r="A1004" s="139"/>
      <c r="B1004" s="130" t="s">
        <v>629</v>
      </c>
      <c r="C1004" s="131"/>
      <c r="D1004" s="131"/>
      <c r="E1004" s="131"/>
      <c r="F1004" s="131"/>
      <c r="G1004" s="131"/>
      <c r="H1004" s="131"/>
      <c r="I1004" s="131"/>
    </row>
    <row r="1017" spans="1:9" ht="18.75" customHeight="1" x14ac:dyDescent="0.25">
      <c r="A1017" s="35"/>
      <c r="B1017" s="8" t="s">
        <v>160</v>
      </c>
      <c r="G1017" s="7" t="s">
        <v>630</v>
      </c>
      <c r="H1017" s="4">
        <f>'Process (3)'!I201</f>
        <v>0.50821855546797046</v>
      </c>
      <c r="I1017" s="5"/>
    </row>
    <row r="1018" spans="1:9" ht="18.75" customHeight="1" x14ac:dyDescent="0.25">
      <c r="A1018" s="35"/>
      <c r="B1018" s="8" t="s">
        <v>162</v>
      </c>
      <c r="G1018" s="50" t="s">
        <v>163</v>
      </c>
      <c r="H1018" s="4">
        <f>'Process (3)'!I202</f>
        <v>0.13231056073978387</v>
      </c>
      <c r="I1018" s="5"/>
    </row>
    <row r="1019" spans="1:9" ht="18.75" customHeight="1" x14ac:dyDescent="0.25">
      <c r="A1019" s="35"/>
      <c r="B1019" s="8" t="s">
        <v>639</v>
      </c>
    </row>
    <row r="1020" spans="1:9" ht="18.75" customHeight="1" x14ac:dyDescent="0.25">
      <c r="A1020" s="35"/>
      <c r="B1020" s="8"/>
      <c r="G1020" s="7" t="s">
        <v>666</v>
      </c>
      <c r="H1020" s="4">
        <f>'Process (3)'!I203</f>
        <v>11.333193390726928</v>
      </c>
      <c r="I1020" s="5" t="s">
        <v>168</v>
      </c>
    </row>
    <row r="1021" spans="1:9" ht="18.75" customHeight="1" x14ac:dyDescent="0.25">
      <c r="A1021" s="35"/>
      <c r="B1021" s="8"/>
      <c r="G1021" s="7" t="s">
        <v>638</v>
      </c>
      <c r="H1021" s="4">
        <f>'Process (3)'!I204</f>
        <v>5.6893541118107063</v>
      </c>
      <c r="I1021" s="5" t="s">
        <v>168</v>
      </c>
    </row>
    <row r="1022" spans="1:9" ht="18.75" customHeight="1" x14ac:dyDescent="0.25">
      <c r="A1022" s="35"/>
      <c r="B1022" s="1" t="s">
        <v>641</v>
      </c>
      <c r="G1022" s="7" t="s">
        <v>648</v>
      </c>
      <c r="H1022" s="42">
        <f>'Process (3)'!I205</f>
        <v>28.332983476817319</v>
      </c>
      <c r="I1022" s="5" t="s">
        <v>120</v>
      </c>
    </row>
    <row r="1023" spans="1:9" ht="18.75" customHeight="1" x14ac:dyDescent="0.25">
      <c r="A1023" s="35"/>
      <c r="G1023" s="7" t="s">
        <v>649</v>
      </c>
      <c r="H1023" s="42">
        <f>'Process (3)'!I206</f>
        <v>7.1116926397633833</v>
      </c>
      <c r="I1023" s="5" t="s">
        <v>120</v>
      </c>
    </row>
    <row r="1024" spans="1:9" ht="18.75" customHeight="1" x14ac:dyDescent="0.25">
      <c r="A1024" s="35"/>
      <c r="B1024" s="1" t="s">
        <v>642</v>
      </c>
      <c r="G1024" s="7" t="s">
        <v>644</v>
      </c>
      <c r="H1024" s="42">
        <f>'Process (3)'!I207</f>
        <v>35.416229346021652</v>
      </c>
      <c r="I1024" s="5" t="s">
        <v>124</v>
      </c>
    </row>
    <row r="1025" spans="1:9" ht="18.75" customHeight="1" x14ac:dyDescent="0.25">
      <c r="G1025" s="7" t="s">
        <v>637</v>
      </c>
      <c r="H1025" s="42">
        <f>'Process (3)'!I208</f>
        <v>11.852821066272305</v>
      </c>
      <c r="I1025" s="5" t="s">
        <v>124</v>
      </c>
    </row>
    <row r="1026" spans="1:9" ht="18.75" customHeight="1" x14ac:dyDescent="0.25">
      <c r="B1026" s="1" t="s">
        <v>645</v>
      </c>
      <c r="G1026" s="7" t="s">
        <v>650</v>
      </c>
      <c r="H1026" s="42">
        <f>'Process (3)'!I209</f>
        <v>613.1928968168462</v>
      </c>
      <c r="I1026" s="5" t="s">
        <v>115</v>
      </c>
    </row>
    <row r="1027" spans="1:9" ht="18.75" customHeight="1" x14ac:dyDescent="0.25">
      <c r="G1027" s="7" t="s">
        <v>651</v>
      </c>
      <c r="H1027" s="42">
        <f>'Process (3)'!I210</f>
        <v>817.75457213268544</v>
      </c>
      <c r="I1027" s="5" t="s">
        <v>145</v>
      </c>
    </row>
    <row r="1029" spans="1:9" ht="18.75" customHeight="1" x14ac:dyDescent="0.25">
      <c r="A1029" s="139"/>
      <c r="B1029" s="130" t="s">
        <v>652</v>
      </c>
      <c r="C1029" s="131"/>
      <c r="D1029" s="131"/>
      <c r="E1029" s="131"/>
      <c r="F1029" s="131"/>
      <c r="G1029" s="131"/>
      <c r="H1029" s="131"/>
      <c r="I1029" s="131"/>
    </row>
    <row r="1042" spans="1:9" ht="18.75" customHeight="1" x14ac:dyDescent="0.25">
      <c r="B1042" s="609" t="s">
        <v>59</v>
      </c>
      <c r="C1042" s="609" t="s">
        <v>64</v>
      </c>
      <c r="D1042" s="609"/>
      <c r="E1042" s="609"/>
      <c r="F1042" s="609"/>
      <c r="G1042" s="297" t="s">
        <v>653</v>
      </c>
      <c r="H1042" s="297" t="s">
        <v>67</v>
      </c>
      <c r="I1042" s="297" t="s">
        <v>69</v>
      </c>
    </row>
    <row r="1043" spans="1:9" ht="18.75" customHeight="1" x14ac:dyDescent="0.25">
      <c r="B1043" s="609"/>
      <c r="C1043" s="297" t="s">
        <v>60</v>
      </c>
      <c r="D1043" s="297" t="s">
        <v>61</v>
      </c>
      <c r="E1043" s="297" t="s">
        <v>62</v>
      </c>
      <c r="F1043" s="297" t="s">
        <v>63</v>
      </c>
      <c r="G1043" s="297" t="s">
        <v>66</v>
      </c>
      <c r="H1043" s="297" t="s">
        <v>68</v>
      </c>
      <c r="I1043" s="297" t="s">
        <v>70</v>
      </c>
    </row>
    <row r="1044" spans="1:9" ht="18.75" customHeight="1" x14ac:dyDescent="0.25">
      <c r="B1044" s="278">
        <v>1</v>
      </c>
      <c r="C1044" s="276">
        <f>'Process (3)'!C228</f>
        <v>0.35</v>
      </c>
      <c r="D1044" s="276">
        <f>'Process (3)'!D228</f>
        <v>0.9</v>
      </c>
      <c r="E1044" s="275">
        <f>'Process (3)'!E228</f>
        <v>1</v>
      </c>
      <c r="F1044" s="275">
        <f>'Process (3)'!F228</f>
        <v>1</v>
      </c>
      <c r="G1044" s="281">
        <f>'Process (3)'!G228</f>
        <v>49.045500000000004</v>
      </c>
      <c r="H1044" s="277">
        <f>'Process (3)'!H228</f>
        <v>2.0500000000000003</v>
      </c>
      <c r="I1044" s="281">
        <f>'Process (3)'!I228</f>
        <v>100.54327500000002</v>
      </c>
    </row>
    <row r="1045" spans="1:9" ht="18.75" customHeight="1" x14ac:dyDescent="0.25">
      <c r="B1045" s="278">
        <v>2</v>
      </c>
      <c r="C1045" s="276">
        <f>'Process (3)'!C229</f>
        <v>0.55000000000000004</v>
      </c>
      <c r="D1045" s="276">
        <f>'Process (3)'!D229</f>
        <v>1.6</v>
      </c>
      <c r="E1045" s="275">
        <f>'Process (3)'!E229</f>
        <v>1</v>
      </c>
      <c r="F1045" s="275">
        <f>'Process (3)'!F229</f>
        <v>1</v>
      </c>
      <c r="G1045" s="281">
        <f>'Process (3)'!G229</f>
        <v>137.01600000000002</v>
      </c>
      <c r="H1045" s="277">
        <f>'Process (3)'!H229</f>
        <v>0.8</v>
      </c>
      <c r="I1045" s="281">
        <f>'Process (3)'!I229</f>
        <v>109.61280000000002</v>
      </c>
    </row>
    <row r="1046" spans="1:9" ht="18.75" customHeight="1" x14ac:dyDescent="0.25">
      <c r="B1046" s="608" t="s">
        <v>643</v>
      </c>
      <c r="C1046" s="608"/>
      <c r="D1046" s="608"/>
      <c r="E1046" s="608"/>
      <c r="F1046" s="608"/>
      <c r="G1046" s="282">
        <f>'Process (3)'!G230</f>
        <v>186.06150000000002</v>
      </c>
      <c r="H1046" s="280"/>
      <c r="I1046" s="282">
        <f>'Process (3)'!I230</f>
        <v>210.15607500000004</v>
      </c>
    </row>
    <row r="1048" spans="1:9" ht="18.75" customHeight="1" x14ac:dyDescent="0.25">
      <c r="A1048" s="35"/>
      <c r="B1048" s="1" t="s">
        <v>641</v>
      </c>
      <c r="G1048" s="7" t="s">
        <v>699</v>
      </c>
      <c r="H1048" s="42">
        <f>'Process (3)'!I232</f>
        <v>186.06150000000002</v>
      </c>
      <c r="I1048" s="5" t="s">
        <v>115</v>
      </c>
    </row>
    <row r="1049" spans="1:9" ht="18.75" customHeight="1" x14ac:dyDescent="0.25">
      <c r="A1049" s="35"/>
      <c r="B1049" s="1" t="s">
        <v>642</v>
      </c>
      <c r="G1049" s="7" t="s">
        <v>700</v>
      </c>
      <c r="H1049" s="42">
        <f>'Process (3)'!I233</f>
        <v>210.15607500000004</v>
      </c>
      <c r="I1049" s="5" t="s">
        <v>145</v>
      </c>
    </row>
    <row r="1051" spans="1:9" ht="18.75" customHeight="1" x14ac:dyDescent="0.25">
      <c r="A1051" s="139"/>
      <c r="B1051" s="130" t="s">
        <v>655</v>
      </c>
      <c r="C1051" s="131"/>
      <c r="D1051" s="131"/>
      <c r="E1051" s="131"/>
      <c r="F1051" s="131"/>
      <c r="G1051" s="131"/>
      <c r="H1051" s="131"/>
      <c r="I1051" s="131"/>
    </row>
    <row r="1052" spans="1:9" ht="18.75" customHeight="1" x14ac:dyDescent="0.25">
      <c r="B1052" s="578" t="s">
        <v>59</v>
      </c>
      <c r="C1052" s="578" t="s">
        <v>184</v>
      </c>
      <c r="D1052" s="578"/>
      <c r="E1052" s="578"/>
      <c r="F1052" s="578"/>
      <c r="G1052" s="578"/>
      <c r="H1052" s="578"/>
    </row>
    <row r="1053" spans="1:9" ht="18.75" customHeight="1" x14ac:dyDescent="0.25">
      <c r="B1053" s="578"/>
      <c r="C1053" s="578"/>
      <c r="D1053" s="578"/>
      <c r="E1053" s="578"/>
      <c r="F1053" s="294" t="s">
        <v>223</v>
      </c>
      <c r="G1053" s="294" t="s">
        <v>658</v>
      </c>
      <c r="H1053" s="294" t="s">
        <v>659</v>
      </c>
    </row>
    <row r="1054" spans="1:9" ht="18.75" customHeight="1" x14ac:dyDescent="0.25">
      <c r="B1054" s="56">
        <v>2</v>
      </c>
      <c r="C1054" s="618" t="s">
        <v>215</v>
      </c>
      <c r="D1054" s="618"/>
      <c r="E1054" s="618"/>
      <c r="F1054" s="284">
        <f>'Process (3)'!D238</f>
        <v>516.83750000000009</v>
      </c>
      <c r="G1054" s="284">
        <f>'Process (3)'!E238</f>
        <v>1186.3415677816974</v>
      </c>
      <c r="H1054" s="284">
        <f>'Process (3)'!F238</f>
        <v>1429.5025264229694</v>
      </c>
    </row>
    <row r="1055" spans="1:9" ht="18.75" customHeight="1" x14ac:dyDescent="0.25">
      <c r="B1055" s="56">
        <v>4</v>
      </c>
      <c r="C1055" s="618" t="s">
        <v>217</v>
      </c>
      <c r="D1055" s="618"/>
      <c r="E1055" s="618"/>
      <c r="F1055" s="284">
        <f>'Process (3)'!D239</f>
        <v>671.88875000000019</v>
      </c>
      <c r="G1055" s="284">
        <f>'Process (3)'!E239</f>
        <v>646.66277620606411</v>
      </c>
      <c r="H1055" s="284">
        <f>'Process (3)'!F239</f>
        <v>688.26057098785498</v>
      </c>
    </row>
    <row r="1056" spans="1:9" ht="18.75" customHeight="1" x14ac:dyDescent="0.25">
      <c r="B1056" s="56">
        <v>5</v>
      </c>
      <c r="C1056" s="618" t="s">
        <v>218</v>
      </c>
      <c r="D1056" s="618"/>
      <c r="E1056" s="618"/>
      <c r="F1056" s="284">
        <f>'Process (3)'!D240</f>
        <v>671.88875000000019</v>
      </c>
      <c r="G1056" s="284">
        <f>'Process (3)'!E240</f>
        <v>646.66277620606411</v>
      </c>
      <c r="H1056" s="284">
        <f>'Process (3)'!F240</f>
        <v>688.26057098785498</v>
      </c>
    </row>
    <row r="1057" spans="1:9" ht="18.75" customHeight="1" x14ac:dyDescent="0.25">
      <c r="B1057" s="56">
        <v>6</v>
      </c>
      <c r="C1057" s="618" t="s">
        <v>219</v>
      </c>
      <c r="D1057" s="618"/>
      <c r="E1057" s="618"/>
      <c r="F1057" s="284">
        <f>'Process (3)'!D241</f>
        <v>671.88875000000019</v>
      </c>
      <c r="G1057" s="284">
        <f>'Process (3)'!E241</f>
        <v>646.66277620606411</v>
      </c>
      <c r="H1057" s="284">
        <f>'Process (3)'!F241</f>
        <v>688.26057098785498</v>
      </c>
    </row>
    <row r="1058" spans="1:9" ht="18.75" customHeight="1" x14ac:dyDescent="0.25">
      <c r="B1058" s="56">
        <v>7</v>
      </c>
      <c r="C1058" s="618" t="s">
        <v>220</v>
      </c>
      <c r="D1058" s="618"/>
      <c r="E1058" s="618"/>
      <c r="F1058" s="284">
        <f>'Process (3)'!D242</f>
        <v>671.88875000000019</v>
      </c>
      <c r="G1058" s="284">
        <f>'Process (3)'!E242</f>
        <v>646.66277620606411</v>
      </c>
      <c r="H1058" s="284">
        <f>'Process (3)'!F242</f>
        <v>688.26057098785498</v>
      </c>
    </row>
    <row r="1059" spans="1:9" ht="18.75" customHeight="1" x14ac:dyDescent="0.25">
      <c r="B1059" s="56">
        <v>8</v>
      </c>
      <c r="C1059" s="618" t="s">
        <v>221</v>
      </c>
      <c r="D1059" s="618"/>
      <c r="E1059" s="618"/>
      <c r="F1059" s="284">
        <f>'Process (3)'!D243</f>
        <v>671.88875000000019</v>
      </c>
      <c r="G1059" s="284">
        <f>'Process (3)'!E243</f>
        <v>646.66277620606411</v>
      </c>
      <c r="H1059" s="284">
        <f>'Process (3)'!F243</f>
        <v>688.26057098785498</v>
      </c>
    </row>
    <row r="1061" spans="1:9" ht="18.75" customHeight="1" x14ac:dyDescent="0.25">
      <c r="B1061" s="1" t="s">
        <v>963</v>
      </c>
      <c r="G1061" s="7" t="s">
        <v>661</v>
      </c>
      <c r="H1061" s="36">
        <f>'Process (3)'!I245</f>
        <v>1186.3415677816974</v>
      </c>
      <c r="I1061" s="5" t="s">
        <v>115</v>
      </c>
    </row>
    <row r="1062" spans="1:9" ht="18.75" customHeight="1" x14ac:dyDescent="0.25">
      <c r="B1062" s="1" t="s">
        <v>965</v>
      </c>
      <c r="G1062" s="7" t="s">
        <v>662</v>
      </c>
      <c r="H1062" s="36">
        <f>'Process (3)'!I246</f>
        <v>1429.5025264229694</v>
      </c>
      <c r="I1062" s="5" t="s">
        <v>145</v>
      </c>
    </row>
    <row r="1066" spans="1:9" ht="18.75" customHeight="1" x14ac:dyDescent="0.25">
      <c r="A1066" s="359" t="s">
        <v>591</v>
      </c>
      <c r="B1066" s="360" t="s">
        <v>668</v>
      </c>
      <c r="C1066" s="129"/>
      <c r="D1066" s="129"/>
      <c r="E1066" s="129"/>
      <c r="F1066" s="129"/>
      <c r="G1066" s="129"/>
      <c r="H1066" s="129"/>
      <c r="I1066" s="129"/>
    </row>
    <row r="1067" spans="1:9" ht="18.75" customHeight="1" x14ac:dyDescent="0.25">
      <c r="A1067" s="139"/>
      <c r="B1067" s="130" t="s">
        <v>627</v>
      </c>
      <c r="C1067" s="131"/>
      <c r="D1067" s="131"/>
      <c r="E1067" s="131"/>
      <c r="F1067" s="131"/>
      <c r="G1067" s="131"/>
      <c r="H1067" s="131"/>
      <c r="I1067" s="131"/>
    </row>
    <row r="1080" spans="1:9" ht="18.75" customHeight="1" x14ac:dyDescent="0.25">
      <c r="B1080" s="609" t="s">
        <v>59</v>
      </c>
      <c r="C1080" s="609" t="s">
        <v>64</v>
      </c>
      <c r="D1080" s="609"/>
      <c r="E1080" s="609"/>
      <c r="F1080" s="609"/>
      <c r="G1080" s="297" t="s">
        <v>65</v>
      </c>
      <c r="H1080" s="297" t="s">
        <v>67</v>
      </c>
      <c r="I1080" s="297" t="s">
        <v>69</v>
      </c>
    </row>
    <row r="1081" spans="1:9" ht="18.75" customHeight="1" x14ac:dyDescent="0.25">
      <c r="B1081" s="609"/>
      <c r="C1081" s="297" t="s">
        <v>60</v>
      </c>
      <c r="D1081" s="297" t="s">
        <v>61</v>
      </c>
      <c r="E1081" s="297" t="s">
        <v>62</v>
      </c>
      <c r="F1081" s="297" t="s">
        <v>63</v>
      </c>
      <c r="G1081" s="297" t="s">
        <v>66</v>
      </c>
      <c r="H1081" s="297" t="s">
        <v>68</v>
      </c>
      <c r="I1081" s="297" t="s">
        <v>70</v>
      </c>
    </row>
    <row r="1082" spans="1:9" ht="18.75" customHeight="1" x14ac:dyDescent="0.25">
      <c r="B1082" s="278">
        <v>1</v>
      </c>
      <c r="C1082" s="276">
        <f>'Process (3)'!C265</f>
        <v>0.35</v>
      </c>
      <c r="D1082" s="276">
        <f>'Process (3)'!D265</f>
        <v>0.9</v>
      </c>
      <c r="E1082" s="275">
        <f>'Process (3)'!E265</f>
        <v>1</v>
      </c>
      <c r="F1082" s="275">
        <f>'Process (3)'!F265</f>
        <v>1</v>
      </c>
      <c r="G1082" s="281">
        <f>'Process (3)'!G265</f>
        <v>136.23750000000001</v>
      </c>
      <c r="H1082" s="277">
        <f>'Process (3)'!H265</f>
        <v>0</v>
      </c>
      <c r="I1082" s="281">
        <f>'Process (3)'!I265</f>
        <v>0</v>
      </c>
    </row>
    <row r="1083" spans="1:9" ht="18.75" customHeight="1" x14ac:dyDescent="0.25">
      <c r="B1083" s="278"/>
      <c r="C1083" s="276"/>
      <c r="D1083" s="276"/>
      <c r="E1083" s="275"/>
      <c r="F1083" s="275"/>
      <c r="G1083" s="281"/>
      <c r="H1083" s="277"/>
      <c r="I1083" s="281"/>
    </row>
    <row r="1084" spans="1:9" ht="18.75" customHeight="1" x14ac:dyDescent="0.25">
      <c r="B1084" s="608" t="s">
        <v>643</v>
      </c>
      <c r="C1084" s="608"/>
      <c r="D1084" s="608"/>
      <c r="E1084" s="608"/>
      <c r="F1084" s="608"/>
      <c r="G1084" s="282">
        <f>'Process (3)'!G267</f>
        <v>136.23750000000001</v>
      </c>
      <c r="H1084" s="280"/>
      <c r="I1084" s="282">
        <f>'Process (3)'!I267</f>
        <v>0</v>
      </c>
    </row>
    <row r="1086" spans="1:9" ht="18.75" customHeight="1" x14ac:dyDescent="0.25">
      <c r="A1086" s="139"/>
      <c r="B1086" s="130" t="s">
        <v>626</v>
      </c>
      <c r="C1086" s="131"/>
      <c r="D1086" s="131"/>
      <c r="E1086" s="131"/>
      <c r="F1086" s="131"/>
      <c r="G1086" s="131"/>
      <c r="H1086" s="131"/>
      <c r="I1086" s="131"/>
    </row>
    <row r="1099" spans="1:9" ht="18.75" customHeight="1" x14ac:dyDescent="0.25">
      <c r="A1099" s="35"/>
      <c r="B1099" s="8" t="s">
        <v>97</v>
      </c>
      <c r="G1099" s="7" t="s">
        <v>109</v>
      </c>
      <c r="H1099" s="36">
        <f>'Process (3)'!I283</f>
        <v>17.2</v>
      </c>
      <c r="I1099" s="5" t="s">
        <v>54</v>
      </c>
    </row>
    <row r="1100" spans="1:9" ht="18.75" customHeight="1" x14ac:dyDescent="0.25">
      <c r="A1100" s="35"/>
      <c r="B1100" s="8" t="s">
        <v>108</v>
      </c>
      <c r="G1100" s="51" t="s">
        <v>131</v>
      </c>
      <c r="H1100" s="42">
        <f>'Process (3)'!I284</f>
        <v>0.37590799472818659</v>
      </c>
      <c r="I1100" s="15"/>
    </row>
    <row r="1101" spans="1:9" ht="18.75" customHeight="1" x14ac:dyDescent="0.25">
      <c r="A1101" s="35"/>
      <c r="B1101" s="8" t="s">
        <v>628</v>
      </c>
      <c r="G1101" s="7" t="s">
        <v>631</v>
      </c>
      <c r="H1101" s="36">
        <f>'Process (3)'!I285</f>
        <v>0.9</v>
      </c>
      <c r="I1101" s="5" t="s">
        <v>0</v>
      </c>
    </row>
    <row r="1102" spans="1:9" ht="18.75" customHeight="1" x14ac:dyDescent="0.25">
      <c r="A1102" s="35"/>
      <c r="B1102" s="8" t="s">
        <v>126</v>
      </c>
      <c r="G1102" s="7" t="s">
        <v>127</v>
      </c>
      <c r="H1102" s="42">
        <f>'Process (3)'!I286</f>
        <v>10.319999999999999</v>
      </c>
      <c r="I1102" s="5" t="s">
        <v>128</v>
      </c>
    </row>
    <row r="1103" spans="1:9" ht="18.75" customHeight="1" x14ac:dyDescent="0.25">
      <c r="A1103" s="35"/>
      <c r="B1103" s="8" t="s">
        <v>117</v>
      </c>
      <c r="G1103" s="51" t="s">
        <v>130</v>
      </c>
      <c r="H1103" s="42">
        <f>'Process (3)'!I287</f>
        <v>3.8793705055948848</v>
      </c>
      <c r="I1103" s="5" t="s">
        <v>118</v>
      </c>
    </row>
    <row r="1104" spans="1:9" ht="18.75" customHeight="1" x14ac:dyDescent="0.25">
      <c r="A1104" s="35"/>
      <c r="B1104" s="8" t="s">
        <v>119</v>
      </c>
      <c r="G1104" s="51" t="s">
        <v>632</v>
      </c>
      <c r="H1104" s="42">
        <f>'Process (3)'!I288</f>
        <v>3.4914334550353963</v>
      </c>
      <c r="I1104" s="5" t="s">
        <v>120</v>
      </c>
    </row>
    <row r="1105" spans="1:9" ht="18.75" customHeight="1" x14ac:dyDescent="0.25">
      <c r="A1105" s="35"/>
      <c r="B1105" s="8" t="s">
        <v>121</v>
      </c>
      <c r="G1105" s="51" t="s">
        <v>633</v>
      </c>
      <c r="H1105" s="42">
        <f>'Process (3)'!I289</f>
        <v>0.45</v>
      </c>
      <c r="I1105" s="5" t="s">
        <v>0</v>
      </c>
    </row>
    <row r="1106" spans="1:9" ht="18.75" customHeight="1" x14ac:dyDescent="0.25">
      <c r="A1106" s="35"/>
      <c r="B1106" s="8" t="s">
        <v>122</v>
      </c>
      <c r="G1106" s="49" t="s">
        <v>123</v>
      </c>
      <c r="H1106" s="42">
        <f>'Process (3)'!I290</f>
        <v>1.5711450547659283</v>
      </c>
      <c r="I1106" s="5" t="s">
        <v>124</v>
      </c>
    </row>
    <row r="1107" spans="1:9" ht="18.75" customHeight="1" x14ac:dyDescent="0.25">
      <c r="A1107" s="35"/>
      <c r="B1107" s="8" t="s">
        <v>628</v>
      </c>
      <c r="G1107" s="7" t="s">
        <v>631</v>
      </c>
      <c r="H1107" s="36">
        <f>'Process (3)'!I291</f>
        <v>0.9</v>
      </c>
      <c r="I1107" s="5" t="s">
        <v>0</v>
      </c>
    </row>
    <row r="1108" spans="1:9" ht="18.75" customHeight="1" x14ac:dyDescent="0.25">
      <c r="A1108" s="35"/>
      <c r="B1108" s="8" t="s">
        <v>135</v>
      </c>
      <c r="G1108" s="51" t="s">
        <v>634</v>
      </c>
      <c r="H1108" s="42">
        <f>'Process (3)'!I292</f>
        <v>5.8190557583923281</v>
      </c>
      <c r="I1108" s="5" t="s">
        <v>118</v>
      </c>
    </row>
    <row r="1109" spans="1:9" ht="18.75" customHeight="1" x14ac:dyDescent="0.25">
      <c r="A1109" s="35"/>
      <c r="B1109" s="8" t="s">
        <v>136</v>
      </c>
      <c r="G1109" s="51" t="s">
        <v>635</v>
      </c>
      <c r="H1109" s="42">
        <f>'Process (3)'!I293</f>
        <v>2.6185750912765475</v>
      </c>
      <c r="I1109" s="5" t="s">
        <v>120</v>
      </c>
    </row>
    <row r="1110" spans="1:9" ht="18.75" customHeight="1" x14ac:dyDescent="0.25">
      <c r="A1110" s="35"/>
      <c r="B1110" s="8" t="s">
        <v>137</v>
      </c>
      <c r="G1110" s="51" t="s">
        <v>636</v>
      </c>
      <c r="H1110" s="42">
        <f>'Process (3)'!I294</f>
        <v>0.3</v>
      </c>
      <c r="I1110" s="5" t="s">
        <v>0</v>
      </c>
    </row>
    <row r="1111" spans="1:9" ht="18.75" customHeight="1" x14ac:dyDescent="0.25">
      <c r="A1111" s="35"/>
      <c r="B1111" s="8" t="s">
        <v>138</v>
      </c>
      <c r="G1111" s="51" t="s">
        <v>142</v>
      </c>
      <c r="H1111" s="42">
        <f>'Process (3)'!I295</f>
        <v>0.78557252738296424</v>
      </c>
      <c r="I1111" s="5" t="s">
        <v>124</v>
      </c>
    </row>
    <row r="1112" spans="1:9" ht="18.75" customHeight="1" x14ac:dyDescent="0.25">
      <c r="A1112" s="35"/>
      <c r="B1112" s="1" t="s">
        <v>641</v>
      </c>
      <c r="G1112" s="7" t="s">
        <v>646</v>
      </c>
      <c r="H1112" s="42">
        <f>'Process (3)'!I296</f>
        <v>105.70314785119663</v>
      </c>
      <c r="I1112" s="5" t="s">
        <v>115</v>
      </c>
    </row>
    <row r="1113" spans="1:9" ht="18.75" customHeight="1" x14ac:dyDescent="0.25">
      <c r="A1113" s="35"/>
      <c r="B1113" s="1" t="s">
        <v>642</v>
      </c>
      <c r="G1113" s="7" t="s">
        <v>647</v>
      </c>
      <c r="H1113" s="42">
        <f>'Process (3)'!I297</f>
        <v>40.771214171175842</v>
      </c>
      <c r="I1113" s="5" t="s">
        <v>145</v>
      </c>
    </row>
    <row r="1115" spans="1:9" ht="18.75" customHeight="1" x14ac:dyDescent="0.25">
      <c r="A1115" s="139"/>
      <c r="B1115" s="130" t="s">
        <v>629</v>
      </c>
      <c r="C1115" s="131"/>
      <c r="D1115" s="131"/>
      <c r="E1115" s="131"/>
      <c r="F1115" s="131"/>
      <c r="G1115" s="131"/>
      <c r="H1115" s="131"/>
      <c r="I1115" s="131"/>
    </row>
    <row r="1128" spans="1:9" ht="18.75" customHeight="1" x14ac:dyDescent="0.25">
      <c r="A1128" s="35"/>
      <c r="B1128" s="8" t="s">
        <v>160</v>
      </c>
      <c r="G1128" s="7" t="s">
        <v>630</v>
      </c>
      <c r="H1128" s="4">
        <f>'Process (3)'!I313</f>
        <v>0.50821855546797046</v>
      </c>
      <c r="I1128" s="5"/>
    </row>
    <row r="1129" spans="1:9" ht="18.75" customHeight="1" x14ac:dyDescent="0.25">
      <c r="A1129" s="35"/>
      <c r="B1129" s="8" t="s">
        <v>162</v>
      </c>
      <c r="G1129" s="50" t="s">
        <v>163</v>
      </c>
      <c r="H1129" s="4">
        <f>'Process (3)'!I314</f>
        <v>0.13231056073978387</v>
      </c>
      <c r="I1129" s="5"/>
    </row>
    <row r="1130" spans="1:9" ht="18.75" customHeight="1" x14ac:dyDescent="0.25">
      <c r="A1130" s="35"/>
      <c r="B1130" s="8" t="s">
        <v>639</v>
      </c>
    </row>
    <row r="1131" spans="1:9" ht="18.75" customHeight="1" x14ac:dyDescent="0.25">
      <c r="A1131" s="35"/>
      <c r="B1131" s="8"/>
      <c r="G1131" s="7" t="s">
        <v>675</v>
      </c>
      <c r="H1131" s="4">
        <f>'Process (3)'!I315</f>
        <v>14.974380022285779</v>
      </c>
      <c r="I1131" s="5" t="s">
        <v>168</v>
      </c>
    </row>
    <row r="1132" spans="1:9" ht="18.75" customHeight="1" x14ac:dyDescent="0.25">
      <c r="A1132" s="35"/>
      <c r="B1132" s="8"/>
      <c r="G1132" s="7" t="s">
        <v>638</v>
      </c>
      <c r="H1132" s="4">
        <f>'Process (3)'!I316</f>
        <v>2.0481674802518541</v>
      </c>
      <c r="I1132" s="5" t="s">
        <v>168</v>
      </c>
    </row>
    <row r="1133" spans="1:9" ht="18.75" customHeight="1" x14ac:dyDescent="0.25">
      <c r="A1133" s="35"/>
      <c r="B1133" s="1" t="s">
        <v>641</v>
      </c>
      <c r="G1133" s="7" t="s">
        <v>648</v>
      </c>
      <c r="H1133" s="42">
        <f>'Process (3)'!I317</f>
        <v>13.476942020057201</v>
      </c>
      <c r="I1133" s="5" t="s">
        <v>120</v>
      </c>
    </row>
    <row r="1134" spans="1:9" ht="18.75" customHeight="1" x14ac:dyDescent="0.25">
      <c r="A1134" s="35"/>
      <c r="G1134" s="7" t="s">
        <v>649</v>
      </c>
      <c r="H1134" s="42">
        <f>'Process (3)'!I318</f>
        <v>0.92167536611333434</v>
      </c>
      <c r="I1134" s="5" t="s">
        <v>120</v>
      </c>
    </row>
    <row r="1135" spans="1:9" ht="18.75" customHeight="1" x14ac:dyDescent="0.25">
      <c r="A1135" s="35"/>
      <c r="B1135" s="1" t="s">
        <v>642</v>
      </c>
      <c r="G1135" s="7" t="s">
        <v>644</v>
      </c>
      <c r="H1135" s="42">
        <f>'Process (3)'!I319</f>
        <v>6.064623909025741</v>
      </c>
      <c r="I1135" s="5" t="s">
        <v>124</v>
      </c>
    </row>
    <row r="1136" spans="1:9" ht="18.75" customHeight="1" x14ac:dyDescent="0.25">
      <c r="G1136" s="7" t="s">
        <v>637</v>
      </c>
      <c r="H1136" s="42">
        <f>'Process (3)'!I320</f>
        <v>0.55300521966800065</v>
      </c>
      <c r="I1136" s="5" t="s">
        <v>124</v>
      </c>
    </row>
    <row r="1137" spans="1:9" ht="18.75" customHeight="1" x14ac:dyDescent="0.25">
      <c r="B1137" s="1" t="s">
        <v>645</v>
      </c>
      <c r="G1137" s="7" t="s">
        <v>650</v>
      </c>
      <c r="H1137" s="42">
        <f>'Process (3)'!I321</f>
        <v>249.09608078075027</v>
      </c>
      <c r="I1137" s="5" t="s">
        <v>115</v>
      </c>
    </row>
    <row r="1138" spans="1:9" ht="18.75" customHeight="1" x14ac:dyDescent="0.25">
      <c r="G1138" s="7" t="s">
        <v>651</v>
      </c>
      <c r="H1138" s="42">
        <f>'Process (3)'!I322</f>
        <v>114.48498392640174</v>
      </c>
      <c r="I1138" s="5" t="s">
        <v>145</v>
      </c>
    </row>
    <row r="1140" spans="1:9" ht="18.75" customHeight="1" x14ac:dyDescent="0.25">
      <c r="A1140" s="139"/>
      <c r="B1140" s="130" t="s">
        <v>652</v>
      </c>
      <c r="C1140" s="131"/>
      <c r="D1140" s="131"/>
      <c r="E1140" s="131"/>
      <c r="F1140" s="131"/>
      <c r="G1140" s="131"/>
      <c r="H1140" s="131"/>
      <c r="I1140" s="131"/>
    </row>
    <row r="1153" spans="1:9" ht="18.75" customHeight="1" x14ac:dyDescent="0.25">
      <c r="B1153" s="609" t="s">
        <v>59</v>
      </c>
      <c r="C1153" s="609" t="s">
        <v>64</v>
      </c>
      <c r="D1153" s="609"/>
      <c r="E1153" s="609"/>
      <c r="F1153" s="609"/>
      <c r="G1153" s="297" t="s">
        <v>653</v>
      </c>
      <c r="H1153" s="297" t="s">
        <v>67</v>
      </c>
      <c r="I1153" s="297" t="s">
        <v>69</v>
      </c>
    </row>
    <row r="1154" spans="1:9" ht="18.75" customHeight="1" x14ac:dyDescent="0.25">
      <c r="B1154" s="609"/>
      <c r="C1154" s="297" t="s">
        <v>60</v>
      </c>
      <c r="D1154" s="297" t="s">
        <v>61</v>
      </c>
      <c r="E1154" s="297" t="s">
        <v>62</v>
      </c>
      <c r="F1154" s="297" t="s">
        <v>63</v>
      </c>
      <c r="G1154" s="297" t="s">
        <v>66</v>
      </c>
      <c r="H1154" s="297" t="s">
        <v>68</v>
      </c>
      <c r="I1154" s="297" t="s">
        <v>70</v>
      </c>
    </row>
    <row r="1155" spans="1:9" ht="18.75" customHeight="1" x14ac:dyDescent="0.25">
      <c r="B1155" s="278">
        <v>1</v>
      </c>
      <c r="C1155" s="276">
        <f>'Process (3)'!C340</f>
        <v>0.35</v>
      </c>
      <c r="D1155" s="276">
        <f>'Process (3)'!D340</f>
        <v>0.9</v>
      </c>
      <c r="E1155" s="275">
        <f>'Process (3)'!E340</f>
        <v>1</v>
      </c>
      <c r="F1155" s="275">
        <f>'Process (3)'!F340</f>
        <v>1</v>
      </c>
      <c r="G1155" s="281">
        <f>'Process (3)'!G340</f>
        <v>49.045500000000004</v>
      </c>
      <c r="H1155" s="277">
        <f>'Process (3)'!H340</f>
        <v>0.45</v>
      </c>
      <c r="I1155" s="281">
        <f>'Process (3)'!I340</f>
        <v>22.070475000000002</v>
      </c>
    </row>
    <row r="1156" spans="1:9" ht="18.75" customHeight="1" x14ac:dyDescent="0.25">
      <c r="B1156" s="278"/>
      <c r="C1156" s="276"/>
      <c r="D1156" s="276"/>
      <c r="E1156" s="275"/>
      <c r="F1156" s="275"/>
      <c r="G1156" s="281"/>
      <c r="H1156" s="277"/>
      <c r="I1156" s="281"/>
    </row>
    <row r="1157" spans="1:9" ht="18.75" customHeight="1" x14ac:dyDescent="0.25">
      <c r="B1157" s="608" t="s">
        <v>643</v>
      </c>
      <c r="C1157" s="608"/>
      <c r="D1157" s="608"/>
      <c r="E1157" s="608"/>
      <c r="F1157" s="608"/>
      <c r="G1157" s="282">
        <f>'Process (3)'!G342</f>
        <v>49.045500000000004</v>
      </c>
      <c r="H1157" s="280"/>
      <c r="I1157" s="282">
        <f>'Process (3)'!I342</f>
        <v>22.070475000000002</v>
      </c>
    </row>
    <row r="1159" spans="1:9" ht="18.75" customHeight="1" x14ac:dyDescent="0.25">
      <c r="A1159" s="35"/>
      <c r="B1159" s="1" t="s">
        <v>641</v>
      </c>
      <c r="G1159" s="7" t="s">
        <v>699</v>
      </c>
      <c r="H1159" s="42">
        <f>'Process (3)'!I344</f>
        <v>49.045500000000004</v>
      </c>
      <c r="I1159" s="5" t="s">
        <v>115</v>
      </c>
    </row>
    <row r="1160" spans="1:9" ht="18.75" customHeight="1" x14ac:dyDescent="0.25">
      <c r="A1160" s="35"/>
      <c r="B1160" s="1" t="s">
        <v>642</v>
      </c>
      <c r="G1160" s="7" t="s">
        <v>700</v>
      </c>
      <c r="H1160" s="42">
        <f>'Process (3)'!I345</f>
        <v>22.070475000000002</v>
      </c>
      <c r="I1160" s="5" t="s">
        <v>145</v>
      </c>
    </row>
    <row r="1162" spans="1:9" ht="18.75" customHeight="1" x14ac:dyDescent="0.25">
      <c r="A1162" s="139"/>
      <c r="B1162" s="130" t="s">
        <v>655</v>
      </c>
      <c r="C1162" s="131"/>
      <c r="D1162" s="131"/>
      <c r="E1162" s="131"/>
      <c r="F1162" s="131"/>
      <c r="G1162" s="131"/>
      <c r="H1162" s="131"/>
      <c r="I1162" s="131"/>
    </row>
    <row r="1163" spans="1:9" ht="18.75" customHeight="1" x14ac:dyDescent="0.25">
      <c r="B1163" s="578" t="s">
        <v>59</v>
      </c>
      <c r="C1163" s="578" t="s">
        <v>184</v>
      </c>
      <c r="D1163" s="578"/>
      <c r="E1163" s="578"/>
      <c r="F1163" s="578"/>
      <c r="G1163" s="578"/>
      <c r="H1163" s="578"/>
    </row>
    <row r="1164" spans="1:9" ht="18.75" customHeight="1" x14ac:dyDescent="0.25">
      <c r="B1164" s="578"/>
      <c r="C1164" s="578"/>
      <c r="D1164" s="578"/>
      <c r="E1164" s="578"/>
      <c r="F1164" s="294" t="s">
        <v>223</v>
      </c>
      <c r="G1164" s="294" t="s">
        <v>658</v>
      </c>
      <c r="H1164" s="294" t="s">
        <v>659</v>
      </c>
    </row>
    <row r="1165" spans="1:9" ht="18.75" customHeight="1" x14ac:dyDescent="0.25">
      <c r="B1165" s="56">
        <v>2</v>
      </c>
      <c r="C1165" s="618" t="s">
        <v>215</v>
      </c>
      <c r="D1165" s="618"/>
      <c r="E1165" s="618"/>
      <c r="F1165" s="284">
        <f>'Process (3)'!D350</f>
        <v>136.23750000000001</v>
      </c>
      <c r="G1165" s="284">
        <f>'Process (3)'!E350</f>
        <v>369.51287863194693</v>
      </c>
      <c r="H1165" s="284">
        <f>'Process (3)'!F350</f>
        <v>161.87734059757756</v>
      </c>
    </row>
    <row r="1166" spans="1:9" ht="18.75" customHeight="1" x14ac:dyDescent="0.25">
      <c r="B1166" s="56">
        <v>4</v>
      </c>
      <c r="C1166" s="618" t="s">
        <v>217</v>
      </c>
      <c r="D1166" s="618"/>
      <c r="E1166" s="618"/>
      <c r="F1166" s="284">
        <f>'Process (3)'!D351</f>
        <v>177.10875000000001</v>
      </c>
      <c r="G1166" s="284">
        <f>'Process (3)'!E351</f>
        <v>132.12893481399578</v>
      </c>
      <c r="H1166" s="284">
        <f>'Process (3)'!F351</f>
        <v>50.964017713969803</v>
      </c>
    </row>
    <row r="1167" spans="1:9" ht="18.75" customHeight="1" x14ac:dyDescent="0.25">
      <c r="B1167" s="56">
        <v>5</v>
      </c>
      <c r="C1167" s="618" t="s">
        <v>218</v>
      </c>
      <c r="D1167" s="618"/>
      <c r="E1167" s="618"/>
      <c r="F1167" s="284">
        <f>'Process (3)'!D352</f>
        <v>177.10875000000001</v>
      </c>
      <c r="G1167" s="284">
        <f>'Process (3)'!E352</f>
        <v>132.12893481399578</v>
      </c>
      <c r="H1167" s="284">
        <f>'Process (3)'!F352</f>
        <v>50.964017713969803</v>
      </c>
    </row>
    <row r="1168" spans="1:9" ht="18.75" customHeight="1" x14ac:dyDescent="0.25">
      <c r="B1168" s="56">
        <v>6</v>
      </c>
      <c r="C1168" s="618" t="s">
        <v>219</v>
      </c>
      <c r="D1168" s="618"/>
      <c r="E1168" s="618"/>
      <c r="F1168" s="284">
        <f>'Process (3)'!D353</f>
        <v>177.10875000000001</v>
      </c>
      <c r="G1168" s="284">
        <f>'Process (3)'!E353</f>
        <v>132.12893481399578</v>
      </c>
      <c r="H1168" s="284">
        <f>'Process (3)'!F353</f>
        <v>50.964017713969803</v>
      </c>
    </row>
    <row r="1169" spans="1:9" ht="18.75" customHeight="1" x14ac:dyDescent="0.25">
      <c r="B1169" s="56">
        <v>7</v>
      </c>
      <c r="C1169" s="618" t="s">
        <v>220</v>
      </c>
      <c r="D1169" s="618"/>
      <c r="E1169" s="618"/>
      <c r="F1169" s="284">
        <f>'Process (3)'!D354</f>
        <v>177.10875000000001</v>
      </c>
      <c r="G1169" s="284">
        <f>'Process (3)'!E354</f>
        <v>132.12893481399578</v>
      </c>
      <c r="H1169" s="284">
        <f>'Process (3)'!F354</f>
        <v>50.964017713969803</v>
      </c>
    </row>
    <row r="1170" spans="1:9" ht="18.75" customHeight="1" x14ac:dyDescent="0.25">
      <c r="B1170" s="56">
        <v>8</v>
      </c>
      <c r="C1170" s="618" t="s">
        <v>221</v>
      </c>
      <c r="D1170" s="618"/>
      <c r="E1170" s="618"/>
      <c r="F1170" s="284">
        <f>'Process (3)'!D355</f>
        <v>177.10875000000001</v>
      </c>
      <c r="G1170" s="284">
        <f>'Process (3)'!E355</f>
        <v>132.12893481399578</v>
      </c>
      <c r="H1170" s="284">
        <f>'Process (3)'!F355</f>
        <v>50.964017713969803</v>
      </c>
    </row>
    <row r="1172" spans="1:9" ht="18.75" customHeight="1" x14ac:dyDescent="0.25">
      <c r="B1172" s="1" t="s">
        <v>960</v>
      </c>
      <c r="G1172" s="7" t="s">
        <v>661</v>
      </c>
      <c r="H1172" s="36">
        <f>'Process (3)'!I357</f>
        <v>369.51287863194693</v>
      </c>
      <c r="I1172" s="5" t="s">
        <v>115</v>
      </c>
    </row>
    <row r="1173" spans="1:9" ht="18.75" customHeight="1" x14ac:dyDescent="0.25">
      <c r="B1173" s="1" t="s">
        <v>961</v>
      </c>
      <c r="G1173" s="7" t="s">
        <v>662</v>
      </c>
      <c r="H1173" s="36">
        <f>'Process (3)'!I358</f>
        <v>161.87734059757756</v>
      </c>
      <c r="I1173" s="5" t="s">
        <v>145</v>
      </c>
    </row>
    <row r="1177" spans="1:9" ht="18.75" customHeight="1" x14ac:dyDescent="0.25">
      <c r="A1177" s="359" t="s">
        <v>845</v>
      </c>
      <c r="B1177" s="360" t="s">
        <v>678</v>
      </c>
      <c r="C1177" s="129"/>
      <c r="D1177" s="129"/>
      <c r="E1177" s="129"/>
      <c r="F1177" s="129"/>
      <c r="G1177" s="129"/>
      <c r="H1177" s="129"/>
      <c r="I1177" s="129"/>
    </row>
    <row r="1190" spans="1:9" ht="18.75" customHeight="1" x14ac:dyDescent="0.25">
      <c r="B1190" s="1" t="s">
        <v>679</v>
      </c>
      <c r="G1190" s="7" t="s">
        <v>680</v>
      </c>
      <c r="H1190" s="36">
        <f>'Process (3)'!I374</f>
        <v>6966.3441999999995</v>
      </c>
      <c r="I1190" s="5" t="s">
        <v>115</v>
      </c>
    </row>
    <row r="1192" spans="1:9" ht="18.75" customHeight="1" x14ac:dyDescent="0.25">
      <c r="A1192" s="359" t="s">
        <v>846</v>
      </c>
      <c r="B1192" s="360" t="s">
        <v>681</v>
      </c>
      <c r="C1192" s="129"/>
      <c r="D1192" s="129"/>
      <c r="E1192" s="129"/>
      <c r="F1192" s="129"/>
      <c r="G1192" s="129"/>
      <c r="H1192" s="129"/>
      <c r="I1192" s="129"/>
    </row>
    <row r="1193" spans="1:9" ht="18.75" customHeight="1" x14ac:dyDescent="0.25">
      <c r="B1193" s="1" t="s">
        <v>682</v>
      </c>
    </row>
    <row r="1210" spans="1:11" ht="18.75" customHeight="1" x14ac:dyDescent="0.25">
      <c r="B1210" s="1" t="s">
        <v>725</v>
      </c>
      <c r="G1210" s="7" t="s">
        <v>726</v>
      </c>
      <c r="H1210" s="36">
        <f>'Process (3)'!I395</f>
        <v>6.73</v>
      </c>
    </row>
    <row r="1211" spans="1:11" ht="18.75" customHeight="1" x14ac:dyDescent="0.25">
      <c r="G1211" s="51" t="s">
        <v>727</v>
      </c>
      <c r="H1211" s="36">
        <f>'Process (3)'!I396</f>
        <v>3</v>
      </c>
    </row>
    <row r="1212" spans="1:11" ht="18.75" customHeight="1" x14ac:dyDescent="0.25">
      <c r="A1212" s="301"/>
      <c r="B1212" s="304"/>
      <c r="C1212" s="304"/>
      <c r="D1212" s="486"/>
      <c r="E1212" s="486"/>
      <c r="F1212" s="486"/>
      <c r="G1212" s="304"/>
      <c r="H1212" s="304"/>
      <c r="I1212" s="304"/>
      <c r="J1212" s="304"/>
      <c r="K1212" s="304"/>
    </row>
    <row r="1213" spans="1:11" ht="18.75" customHeight="1" x14ac:dyDescent="0.25">
      <c r="A1213" s="301"/>
      <c r="B1213" s="304"/>
      <c r="C1213" s="304"/>
      <c r="D1213" s="309"/>
      <c r="E1213" s="309"/>
      <c r="F1213" s="309"/>
      <c r="G1213" s="304"/>
      <c r="H1213" s="304"/>
      <c r="I1213" s="304"/>
      <c r="J1213" s="304"/>
      <c r="K1213" s="304"/>
    </row>
    <row r="1214" spans="1:11" ht="18.75" customHeight="1" x14ac:dyDescent="0.25">
      <c r="B1214" s="616" t="s">
        <v>59</v>
      </c>
      <c r="C1214" s="613" t="s">
        <v>64</v>
      </c>
      <c r="D1214" s="614"/>
      <c r="E1214" s="614"/>
      <c r="F1214" s="615"/>
    </row>
    <row r="1215" spans="1:11" ht="18.75" customHeight="1" x14ac:dyDescent="0.25">
      <c r="B1215" s="617"/>
      <c r="C1215" s="297" t="s">
        <v>60</v>
      </c>
      <c r="D1215" s="297" t="s">
        <v>61</v>
      </c>
      <c r="E1215" s="297" t="s">
        <v>62</v>
      </c>
      <c r="F1215" s="297" t="s">
        <v>736</v>
      </c>
    </row>
    <row r="1216" spans="1:11" ht="18.75" customHeight="1" x14ac:dyDescent="0.25">
      <c r="B1216" s="278" t="s">
        <v>72</v>
      </c>
      <c r="C1216" s="276">
        <f>'Process (3)'!C400</f>
        <v>4</v>
      </c>
      <c r="D1216" s="276">
        <f>'Process (3)'!D400</f>
        <v>0.9</v>
      </c>
      <c r="E1216" s="275">
        <f>'Process (3)'!E400</f>
        <v>1</v>
      </c>
      <c r="F1216" s="277">
        <f>'Process (3)'!F400</f>
        <v>3.6</v>
      </c>
    </row>
    <row r="1217" spans="1:9" ht="18.75" customHeight="1" x14ac:dyDescent="0.25">
      <c r="B1217" s="278" t="s">
        <v>71</v>
      </c>
      <c r="C1217" s="276">
        <f>'Process (3)'!C401</f>
        <v>3.8</v>
      </c>
      <c r="D1217" s="276">
        <f>'Process (3)'!D401</f>
        <v>2.63</v>
      </c>
      <c r="E1217" s="275">
        <f>'Process (3)'!E401</f>
        <v>1</v>
      </c>
      <c r="F1217" s="277">
        <f>'Process (3)'!F401</f>
        <v>9.9939999999999998</v>
      </c>
    </row>
    <row r="1218" spans="1:9" ht="18.75" customHeight="1" x14ac:dyDescent="0.25">
      <c r="B1218" s="278" t="s">
        <v>73</v>
      </c>
      <c r="C1218" s="276">
        <f>'Process (3)'!C402</f>
        <v>3.8</v>
      </c>
      <c r="D1218" s="276">
        <f>'Process (3)'!D402</f>
        <v>0.6</v>
      </c>
      <c r="E1218" s="275">
        <f>'Process (3)'!E402</f>
        <v>1</v>
      </c>
      <c r="F1218" s="277">
        <f>'Process (3)'!F402</f>
        <v>2.2799999999999998</v>
      </c>
    </row>
    <row r="1219" spans="1:9" ht="18.75" customHeight="1" x14ac:dyDescent="0.25">
      <c r="B1219" s="278" t="s">
        <v>74</v>
      </c>
      <c r="C1219" s="276">
        <f>'Process (3)'!C403</f>
        <v>0.6</v>
      </c>
      <c r="D1219" s="276">
        <f>'Process (3)'!D403</f>
        <v>0.6</v>
      </c>
      <c r="E1219" s="275">
        <f>'Process (3)'!E403</f>
        <v>0.5</v>
      </c>
      <c r="F1219" s="277">
        <f>'Process (3)'!F403</f>
        <v>0.18</v>
      </c>
    </row>
    <row r="1220" spans="1:9" ht="18.75" customHeight="1" x14ac:dyDescent="0.25">
      <c r="B1220" s="278" t="s">
        <v>75</v>
      </c>
      <c r="C1220" s="276">
        <f>'Process (3)'!C404</f>
        <v>4.3999999999999995</v>
      </c>
      <c r="D1220" s="276">
        <f>'Process (3)'!D404</f>
        <v>1.87</v>
      </c>
      <c r="E1220" s="275">
        <f>'Process (3)'!E404</f>
        <v>1</v>
      </c>
      <c r="F1220" s="277">
        <f>'Process (3)'!F404</f>
        <v>8.2279999999999998</v>
      </c>
    </row>
    <row r="1221" spans="1:9" ht="18.75" customHeight="1" x14ac:dyDescent="0.25">
      <c r="B1221" s="278" t="s">
        <v>76</v>
      </c>
      <c r="C1221" s="276">
        <f>'Process (3)'!C405</f>
        <v>1.3999999999999995</v>
      </c>
      <c r="D1221" s="276">
        <f>'Process (3)'!D405</f>
        <v>0.73000000000000043</v>
      </c>
      <c r="E1221" s="275">
        <f>'Process (3)'!E405</f>
        <v>0.5</v>
      </c>
      <c r="F1221" s="277">
        <f>'Process (3)'!F405</f>
        <v>0.51100000000000012</v>
      </c>
    </row>
    <row r="1222" spans="1:9" ht="18.75" customHeight="1" x14ac:dyDescent="0.25">
      <c r="B1222" s="278" t="s">
        <v>77</v>
      </c>
      <c r="C1222" s="276">
        <f>'Process (3)'!C406</f>
        <v>3</v>
      </c>
      <c r="D1222" s="276">
        <f>'Process (3)'!D406</f>
        <v>0.23000000000000043</v>
      </c>
      <c r="E1222" s="275">
        <f>'Process (3)'!E406</f>
        <v>1</v>
      </c>
      <c r="F1222" s="277">
        <f>'Process (3)'!F406</f>
        <v>0.69000000000000128</v>
      </c>
    </row>
    <row r="1223" spans="1:9" ht="18.75" customHeight="1" x14ac:dyDescent="0.25">
      <c r="B1223" s="278" t="s">
        <v>78</v>
      </c>
      <c r="C1223" s="276">
        <f>'Process (3)'!C407</f>
        <v>3</v>
      </c>
      <c r="D1223" s="276">
        <f>'Process (3)'!D407</f>
        <v>0.5</v>
      </c>
      <c r="E1223" s="275">
        <f>'Process (3)'!E407</f>
        <v>0.5</v>
      </c>
      <c r="F1223" s="277">
        <f>'Process (3)'!F407</f>
        <v>0.75</v>
      </c>
    </row>
    <row r="1224" spans="1:9" ht="18.75" customHeight="1" x14ac:dyDescent="0.25">
      <c r="B1224" s="610" t="s">
        <v>738</v>
      </c>
      <c r="C1224" s="611"/>
      <c r="D1224" s="611"/>
      <c r="E1224" s="612"/>
      <c r="F1224" s="308">
        <f>'Process (3)'!F408</f>
        <v>26.232999999999997</v>
      </c>
    </row>
    <row r="1226" spans="1:9" ht="18.75" customHeight="1" x14ac:dyDescent="0.25">
      <c r="B1226" s="1" t="s">
        <v>737</v>
      </c>
      <c r="G1226" s="7" t="s">
        <v>739</v>
      </c>
      <c r="H1226" s="36">
        <f>'Process (3)'!I410</f>
        <v>3.8979197622585433</v>
      </c>
      <c r="I1226" s="5" t="s">
        <v>0</v>
      </c>
    </row>
    <row r="1228" spans="1:9" ht="18.75" customHeight="1" x14ac:dyDescent="0.25">
      <c r="A1228" s="139"/>
      <c r="B1228" s="130" t="s">
        <v>626</v>
      </c>
      <c r="C1228" s="131"/>
      <c r="D1228" s="131"/>
      <c r="E1228" s="131"/>
      <c r="F1228" s="131"/>
      <c r="G1228" s="131"/>
      <c r="H1228" s="131"/>
      <c r="I1228" s="131"/>
    </row>
    <row r="1241" spans="1:9" ht="18.75" customHeight="1" x14ac:dyDescent="0.25">
      <c r="A1241" s="35"/>
      <c r="B1241" s="8" t="s">
        <v>97</v>
      </c>
      <c r="G1241" s="7" t="s">
        <v>109</v>
      </c>
      <c r="H1241" s="36">
        <f>'Process (3)'!I425</f>
        <v>17.2</v>
      </c>
      <c r="I1241" s="5" t="s">
        <v>54</v>
      </c>
    </row>
    <row r="1242" spans="1:9" ht="18.75" customHeight="1" x14ac:dyDescent="0.25">
      <c r="A1242" s="35"/>
      <c r="B1242" s="8" t="s">
        <v>108</v>
      </c>
      <c r="G1242" s="51" t="s">
        <v>131</v>
      </c>
      <c r="H1242" s="36">
        <f>'Process (3)'!I426</f>
        <v>0.37590799472818659</v>
      </c>
      <c r="I1242" s="15"/>
    </row>
    <row r="1243" spans="1:9" ht="18.75" customHeight="1" x14ac:dyDescent="0.25">
      <c r="A1243" s="35"/>
      <c r="B1243" s="8" t="s">
        <v>683</v>
      </c>
      <c r="G1243" s="7" t="s">
        <v>631</v>
      </c>
      <c r="H1243" s="36">
        <f>'Process (3)'!I427</f>
        <v>6.73</v>
      </c>
      <c r="I1243" s="5" t="s">
        <v>0</v>
      </c>
    </row>
    <row r="1244" spans="1:9" ht="18.75" customHeight="1" x14ac:dyDescent="0.25">
      <c r="A1244" s="35"/>
      <c r="B1244" s="8" t="s">
        <v>126</v>
      </c>
      <c r="G1244" s="7" t="s">
        <v>127</v>
      </c>
      <c r="H1244" s="42">
        <f>'Process (3)'!I428</f>
        <v>10.319999999999999</v>
      </c>
      <c r="I1244" s="5" t="s">
        <v>128</v>
      </c>
    </row>
    <row r="1245" spans="1:9" ht="18.75" customHeight="1" x14ac:dyDescent="0.25">
      <c r="A1245" s="35"/>
      <c r="B1245" s="8" t="s">
        <v>117</v>
      </c>
      <c r="G1245" s="51" t="s">
        <v>130</v>
      </c>
      <c r="H1245" s="42">
        <f>'Process (3)'!I429</f>
        <v>3.8793705055948848</v>
      </c>
      <c r="I1245" s="5" t="s">
        <v>120</v>
      </c>
    </row>
    <row r="1246" spans="1:9" ht="18.75" customHeight="1" x14ac:dyDescent="0.25">
      <c r="A1246" s="35"/>
      <c r="B1246" s="8" t="s">
        <v>119</v>
      </c>
      <c r="G1246" s="51" t="s">
        <v>740</v>
      </c>
      <c r="H1246" s="42">
        <f>'Process (3)'!I430</f>
        <v>101.76752647327061</v>
      </c>
      <c r="I1246" s="5" t="s">
        <v>115</v>
      </c>
    </row>
    <row r="1247" spans="1:9" ht="18.75" customHeight="1" x14ac:dyDescent="0.25">
      <c r="A1247" s="35"/>
      <c r="B1247" s="8" t="s">
        <v>135</v>
      </c>
      <c r="G1247" s="51" t="s">
        <v>634</v>
      </c>
      <c r="H1247" s="42">
        <f>'Process (3)'!I431</f>
        <v>43.513605837755968</v>
      </c>
      <c r="I1247" s="5" t="s">
        <v>120</v>
      </c>
    </row>
    <row r="1248" spans="1:9" ht="18.75" customHeight="1" x14ac:dyDescent="0.25">
      <c r="A1248" s="35"/>
      <c r="B1248" s="8" t="s">
        <v>136</v>
      </c>
      <c r="G1248" s="51" t="s">
        <v>741</v>
      </c>
      <c r="H1248" s="42">
        <f>'Process (3)'!I432</f>
        <v>570.74621097092609</v>
      </c>
      <c r="I1248" s="5" t="s">
        <v>115</v>
      </c>
    </row>
    <row r="1251" spans="1:9" ht="18.75" customHeight="1" x14ac:dyDescent="0.25">
      <c r="B1251" s="9" t="s">
        <v>684</v>
      </c>
    </row>
    <row r="1252" spans="1:9" ht="18.75" customHeight="1" x14ac:dyDescent="0.25">
      <c r="A1252" s="35"/>
      <c r="B1252" s="8" t="s">
        <v>121</v>
      </c>
      <c r="G1252" s="51" t="s">
        <v>633</v>
      </c>
      <c r="H1252" s="42">
        <f>'Process (3)'!I435</f>
        <v>3.3650000000000002</v>
      </c>
      <c r="I1252" s="5" t="s">
        <v>0</v>
      </c>
    </row>
    <row r="1253" spans="1:9" ht="18.75" customHeight="1" x14ac:dyDescent="0.25">
      <c r="A1253" s="35"/>
      <c r="B1253" s="8" t="s">
        <v>122</v>
      </c>
      <c r="G1253" s="49" t="s">
        <v>123</v>
      </c>
      <c r="H1253" s="42">
        <f>'Process (3)'!I436</f>
        <v>342.44772658255562</v>
      </c>
      <c r="I1253" s="5" t="s">
        <v>124</v>
      </c>
    </row>
    <row r="1254" spans="1:9" ht="18.75" customHeight="1" x14ac:dyDescent="0.25">
      <c r="A1254" s="35"/>
      <c r="B1254" s="8" t="s">
        <v>137</v>
      </c>
      <c r="G1254" s="51" t="s">
        <v>636</v>
      </c>
      <c r="H1254" s="42">
        <f>'Process (3)'!I437</f>
        <v>2.2433333333333332</v>
      </c>
      <c r="I1254" s="5" t="s">
        <v>0</v>
      </c>
    </row>
    <row r="1255" spans="1:9" ht="18.75" customHeight="1" x14ac:dyDescent="0.25">
      <c r="A1255" s="35"/>
      <c r="B1255" s="8" t="s">
        <v>138</v>
      </c>
      <c r="G1255" s="51" t="s">
        <v>142</v>
      </c>
      <c r="H1255" s="42">
        <f>'Process (3)'!I438</f>
        <v>1280.3739999447773</v>
      </c>
      <c r="I1255" s="5" t="s">
        <v>124</v>
      </c>
    </row>
    <row r="1256" spans="1:9" ht="18.75" customHeight="1" x14ac:dyDescent="0.25">
      <c r="A1256" s="35"/>
      <c r="B1256" s="1" t="s">
        <v>641</v>
      </c>
      <c r="G1256" s="7" t="s">
        <v>742</v>
      </c>
      <c r="H1256" s="42">
        <f>'Process (3)'!I439</f>
        <v>207.35264258300001</v>
      </c>
      <c r="I1256" s="5" t="s">
        <v>115</v>
      </c>
    </row>
    <row r="1257" spans="1:9" ht="18.75" customHeight="1" x14ac:dyDescent="0.25">
      <c r="A1257" s="35"/>
      <c r="B1257" s="1" t="s">
        <v>642</v>
      </c>
      <c r="G1257" s="7" t="s">
        <v>743</v>
      </c>
      <c r="H1257" s="42">
        <f>'Process (3)'!I440</f>
        <v>500.35613356443969</v>
      </c>
      <c r="I1257" s="5" t="s">
        <v>145</v>
      </c>
    </row>
    <row r="1259" spans="1:9" ht="18.75" customHeight="1" x14ac:dyDescent="0.25">
      <c r="B1259" s="9" t="s">
        <v>685</v>
      </c>
    </row>
    <row r="1260" spans="1:9" ht="18.75" customHeight="1" x14ac:dyDescent="0.25">
      <c r="A1260" s="35"/>
      <c r="B1260" s="8" t="s">
        <v>121</v>
      </c>
      <c r="G1260" s="51" t="s">
        <v>686</v>
      </c>
      <c r="H1260" s="42">
        <f>'Process (3)'!I443</f>
        <v>2</v>
      </c>
      <c r="I1260" s="5" t="s">
        <v>0</v>
      </c>
    </row>
    <row r="1261" spans="1:9" ht="18.75" customHeight="1" x14ac:dyDescent="0.25">
      <c r="A1261" s="35"/>
      <c r="B1261" s="8" t="s">
        <v>122</v>
      </c>
      <c r="G1261" s="49" t="s">
        <v>123</v>
      </c>
      <c r="H1261" s="42">
        <f>'Process (3)'!I444</f>
        <v>203.53505294654121</v>
      </c>
      <c r="I1261" s="5" t="s">
        <v>124</v>
      </c>
    </row>
    <row r="1262" spans="1:9" ht="18.75" customHeight="1" x14ac:dyDescent="0.25">
      <c r="A1262" s="35"/>
      <c r="B1262" s="8" t="s">
        <v>137</v>
      </c>
      <c r="G1262" s="51" t="s">
        <v>687</v>
      </c>
      <c r="H1262" s="42">
        <f>'Process (3)'!I445</f>
        <v>2</v>
      </c>
      <c r="I1262" s="5" t="s">
        <v>0</v>
      </c>
    </row>
    <row r="1263" spans="1:9" ht="18.75" customHeight="1" x14ac:dyDescent="0.25">
      <c r="A1263" s="35"/>
      <c r="B1263" s="8" t="s">
        <v>138</v>
      </c>
      <c r="G1263" s="51" t="s">
        <v>142</v>
      </c>
      <c r="H1263" s="42">
        <f>'Process (3)'!I446</f>
        <v>1141.4924219418522</v>
      </c>
      <c r="I1263" s="5" t="s">
        <v>124</v>
      </c>
    </row>
    <row r="1264" spans="1:9" ht="18.75" customHeight="1" x14ac:dyDescent="0.25">
      <c r="A1264" s="35"/>
      <c r="B1264" s="1" t="s">
        <v>641</v>
      </c>
      <c r="G1264" s="7" t="s">
        <v>744</v>
      </c>
      <c r="H1264" s="42">
        <f>'Process (3)'!I447</f>
        <v>465.16109486119672</v>
      </c>
      <c r="I1264" s="5" t="s">
        <v>115</v>
      </c>
    </row>
    <row r="1265" spans="1:9" ht="18.75" customHeight="1" x14ac:dyDescent="0.25">
      <c r="A1265" s="35"/>
      <c r="B1265" s="1" t="s">
        <v>642</v>
      </c>
      <c r="G1265" s="7" t="s">
        <v>745</v>
      </c>
      <c r="H1265" s="42">
        <f>'Process (3)'!I448</f>
        <v>930.32218972239343</v>
      </c>
      <c r="I1265" s="5" t="s">
        <v>145</v>
      </c>
    </row>
    <row r="1267" spans="1:9" ht="18.75" customHeight="1" x14ac:dyDescent="0.25">
      <c r="A1267" s="139"/>
      <c r="B1267" s="130" t="s">
        <v>629</v>
      </c>
      <c r="C1267" s="131"/>
      <c r="D1267" s="131"/>
      <c r="E1267" s="131"/>
      <c r="F1267" s="131"/>
      <c r="G1267" s="131"/>
      <c r="H1267" s="131"/>
      <c r="I1267" s="131"/>
    </row>
    <row r="1279" spans="1:9" ht="18.75" customHeight="1" x14ac:dyDescent="0.25">
      <c r="B1279" s="8" t="s">
        <v>160</v>
      </c>
      <c r="G1279" s="7" t="s">
        <v>630</v>
      </c>
      <c r="H1279" s="4">
        <f>'Process (3)'!I464</f>
        <v>0.50821855546797046</v>
      </c>
      <c r="I1279" s="5"/>
    </row>
    <row r="1280" spans="1:9" ht="18.75" customHeight="1" x14ac:dyDescent="0.25">
      <c r="B1280" s="8" t="s">
        <v>162</v>
      </c>
      <c r="G1280" s="50" t="s">
        <v>163</v>
      </c>
      <c r="H1280" s="4">
        <f>'Process (3)'!I465</f>
        <v>0.13231056073978387</v>
      </c>
      <c r="I1280" s="5"/>
    </row>
    <row r="1281" spans="1:9" ht="18.75" customHeight="1" x14ac:dyDescent="0.25">
      <c r="B1281" s="8" t="s">
        <v>639</v>
      </c>
    </row>
    <row r="1282" spans="1:9" ht="18.75" customHeight="1" x14ac:dyDescent="0.25">
      <c r="B1282" s="8"/>
      <c r="G1282" s="7" t="s">
        <v>688</v>
      </c>
      <c r="H1282" s="4">
        <f>'Process (3)'!I466</f>
        <v>1.7068062335432117</v>
      </c>
      <c r="I1282" s="5" t="s">
        <v>168</v>
      </c>
    </row>
    <row r="1283" spans="1:9" ht="18.75" customHeight="1" x14ac:dyDescent="0.25">
      <c r="B1283" s="8"/>
      <c r="G1283" s="7" t="s">
        <v>638</v>
      </c>
      <c r="H1283" s="4">
        <f>'Process (3)'!I467</f>
        <v>15.315741268994421</v>
      </c>
      <c r="I1283" s="5" t="s">
        <v>168</v>
      </c>
    </row>
    <row r="1284" spans="1:9" ht="18.75" customHeight="1" x14ac:dyDescent="0.25">
      <c r="B1284" s="1" t="s">
        <v>641</v>
      </c>
      <c r="G1284" s="7" t="s">
        <v>746</v>
      </c>
      <c r="H1284" s="42">
        <f>'Process (3)'!I468</f>
        <v>44.774647924539067</v>
      </c>
      <c r="I1284" s="5" t="s">
        <v>115</v>
      </c>
    </row>
    <row r="1285" spans="1:9" ht="18.75" customHeight="1" x14ac:dyDescent="0.25">
      <c r="G1285" s="7" t="s">
        <v>747</v>
      </c>
      <c r="H1285" s="42">
        <f>'Process (3)'!I469</f>
        <v>200.8889203547653</v>
      </c>
      <c r="I1285" s="5" t="s">
        <v>115</v>
      </c>
    </row>
    <row r="1286" spans="1:9" ht="18.75" customHeight="1" x14ac:dyDescent="0.25">
      <c r="G1286" s="7"/>
      <c r="H1286" s="283"/>
      <c r="I1286" s="5"/>
    </row>
    <row r="1287" spans="1:9" ht="18.75" customHeight="1" x14ac:dyDescent="0.25">
      <c r="G1287" s="7"/>
      <c r="H1287" s="283"/>
      <c r="I1287" s="5"/>
    </row>
    <row r="1288" spans="1:9" ht="18.75" customHeight="1" x14ac:dyDescent="0.25">
      <c r="B1288" s="9" t="s">
        <v>684</v>
      </c>
    </row>
    <row r="1289" spans="1:9" ht="18.75" customHeight="1" x14ac:dyDescent="0.25">
      <c r="A1289" s="35"/>
      <c r="B1289" s="8" t="s">
        <v>121</v>
      </c>
      <c r="G1289" s="51" t="s">
        <v>633</v>
      </c>
      <c r="H1289" s="42">
        <f>'Process (3)'!I471</f>
        <v>3.3650000000000002</v>
      </c>
      <c r="I1289" s="5" t="s">
        <v>0</v>
      </c>
    </row>
    <row r="1290" spans="1:9" ht="18.75" customHeight="1" x14ac:dyDescent="0.25">
      <c r="A1290" s="35"/>
      <c r="B1290" s="8" t="s">
        <v>122</v>
      </c>
      <c r="G1290" s="49" t="s">
        <v>123</v>
      </c>
      <c r="H1290" s="42">
        <f>'Process (3)'!I472</f>
        <v>150.66669026607397</v>
      </c>
      <c r="I1290" s="5" t="s">
        <v>124</v>
      </c>
    </row>
    <row r="1291" spans="1:9" ht="18.75" customHeight="1" x14ac:dyDescent="0.25">
      <c r="A1291" s="35"/>
      <c r="B1291" s="8" t="s">
        <v>137</v>
      </c>
      <c r="G1291" s="51" t="s">
        <v>636</v>
      </c>
      <c r="H1291" s="42">
        <f>'Process (3)'!I473</f>
        <v>2.2433333333333332</v>
      </c>
      <c r="I1291" s="5" t="s">
        <v>0</v>
      </c>
    </row>
    <row r="1292" spans="1:9" ht="18.75" customHeight="1" x14ac:dyDescent="0.25">
      <c r="A1292" s="35"/>
      <c r="B1292" s="8" t="s">
        <v>138</v>
      </c>
      <c r="G1292" s="51" t="s">
        <v>142</v>
      </c>
      <c r="H1292" s="42">
        <f>'Process (3)'!I474</f>
        <v>450.66081132919015</v>
      </c>
      <c r="I1292" s="5" t="s">
        <v>124</v>
      </c>
    </row>
    <row r="1293" spans="1:9" ht="18.75" customHeight="1" x14ac:dyDescent="0.25">
      <c r="A1293" s="35"/>
      <c r="B1293" s="1" t="s">
        <v>641</v>
      </c>
      <c r="G1293" s="7" t="s">
        <v>748</v>
      </c>
      <c r="H1293" s="42">
        <f>'Process (3)'!I475</f>
        <v>14.331383604753013</v>
      </c>
      <c r="I1293" s="5" t="s">
        <v>115</v>
      </c>
    </row>
    <row r="1294" spans="1:9" ht="18.75" customHeight="1" x14ac:dyDescent="0.25">
      <c r="A1294" s="35"/>
      <c r="B1294" s="1" t="s">
        <v>642</v>
      </c>
      <c r="G1294" s="7" t="s">
        <v>749</v>
      </c>
      <c r="H1294" s="42">
        <f>'Process (3)'!I476</f>
        <v>185.40416287623765</v>
      </c>
      <c r="I1294" s="5" t="s">
        <v>145</v>
      </c>
    </row>
    <row r="1296" spans="1:9" ht="18.75" customHeight="1" x14ac:dyDescent="0.25">
      <c r="B1296" s="9" t="s">
        <v>685</v>
      </c>
    </row>
    <row r="1297" spans="1:10" ht="18.75" customHeight="1" x14ac:dyDescent="0.25">
      <c r="A1297" s="35"/>
      <c r="B1297" s="8" t="s">
        <v>121</v>
      </c>
      <c r="G1297" s="51" t="s">
        <v>686</v>
      </c>
      <c r="H1297" s="42">
        <f>'Process (3)'!I479</f>
        <v>2</v>
      </c>
      <c r="I1297" s="5" t="s">
        <v>0</v>
      </c>
    </row>
    <row r="1298" spans="1:10" ht="18.75" customHeight="1" x14ac:dyDescent="0.25">
      <c r="A1298" s="35"/>
      <c r="B1298" s="8" t="s">
        <v>122</v>
      </c>
      <c r="G1298" s="49" t="s">
        <v>123</v>
      </c>
      <c r="H1298" s="42">
        <f>'Process (3)'!I480</f>
        <v>89.549295849078135</v>
      </c>
      <c r="I1298" s="5" t="s">
        <v>124</v>
      </c>
    </row>
    <row r="1299" spans="1:10" ht="18.75" customHeight="1" x14ac:dyDescent="0.25">
      <c r="A1299" s="35"/>
      <c r="B1299" s="8" t="s">
        <v>137</v>
      </c>
      <c r="G1299" s="51" t="s">
        <v>687</v>
      </c>
      <c r="H1299" s="42">
        <f>'Process (3)'!I481</f>
        <v>2</v>
      </c>
      <c r="I1299" s="5" t="s">
        <v>0</v>
      </c>
    </row>
    <row r="1300" spans="1:10" ht="18.75" customHeight="1" x14ac:dyDescent="0.25">
      <c r="A1300" s="35"/>
      <c r="B1300" s="8" t="s">
        <v>138</v>
      </c>
      <c r="G1300" s="51" t="s">
        <v>142</v>
      </c>
      <c r="H1300" s="42">
        <f>'Process (3)'!I482</f>
        <v>401.77784070953061</v>
      </c>
      <c r="I1300" s="5" t="s">
        <v>124</v>
      </c>
    </row>
    <row r="1301" spans="1:10" ht="18.75" customHeight="1" x14ac:dyDescent="0.25">
      <c r="A1301" s="35"/>
      <c r="B1301" s="1" t="s">
        <v>641</v>
      </c>
      <c r="G1301" s="7" t="s">
        <v>750</v>
      </c>
      <c r="H1301" s="42">
        <f>'Process (3)'!I483</f>
        <v>32.150070553329265</v>
      </c>
      <c r="I1301" s="5" t="s">
        <v>115</v>
      </c>
    </row>
    <row r="1302" spans="1:10" ht="18.75" customHeight="1" x14ac:dyDescent="0.25">
      <c r="A1302" s="35"/>
      <c r="B1302" s="1" t="s">
        <v>642</v>
      </c>
      <c r="G1302" s="7" t="s">
        <v>751</v>
      </c>
      <c r="H1302" s="42">
        <f>'Process (3)'!I484</f>
        <v>339.83881079541999</v>
      </c>
      <c r="I1302" s="5" t="s">
        <v>145</v>
      </c>
    </row>
    <row r="1303" spans="1:10" ht="18.75" customHeight="1" x14ac:dyDescent="0.25">
      <c r="H1303" s="7"/>
      <c r="I1303" s="283"/>
      <c r="J1303" s="5"/>
    </row>
    <row r="1304" spans="1:10" ht="18.75" customHeight="1" x14ac:dyDescent="0.25">
      <c r="A1304" s="139"/>
      <c r="B1304" s="130" t="s">
        <v>652</v>
      </c>
      <c r="C1304" s="131"/>
      <c r="D1304" s="131"/>
      <c r="E1304" s="131"/>
      <c r="F1304" s="131"/>
      <c r="G1304" s="131"/>
      <c r="H1304" s="132"/>
      <c r="I1304" s="485"/>
      <c r="J1304" s="5"/>
    </row>
    <row r="1305" spans="1:10" ht="18.75" customHeight="1" x14ac:dyDescent="0.25">
      <c r="H1305" s="7"/>
      <c r="I1305" s="283"/>
      <c r="J1305" s="5"/>
    </row>
    <row r="1306" spans="1:10" ht="18.75" customHeight="1" x14ac:dyDescent="0.25">
      <c r="H1306" s="7"/>
      <c r="I1306" s="283"/>
      <c r="J1306" s="5"/>
    </row>
    <row r="1307" spans="1:10" ht="18.75" customHeight="1" x14ac:dyDescent="0.25">
      <c r="H1307" s="7"/>
      <c r="I1307" s="283"/>
      <c r="J1307" s="5"/>
    </row>
    <row r="1308" spans="1:10" ht="18.75" customHeight="1" x14ac:dyDescent="0.25">
      <c r="H1308" s="7"/>
      <c r="I1308" s="283"/>
      <c r="J1308" s="5"/>
    </row>
    <row r="1309" spans="1:10" ht="18.75" customHeight="1" x14ac:dyDescent="0.25">
      <c r="H1309" s="7"/>
      <c r="I1309" s="283"/>
      <c r="J1309" s="5"/>
    </row>
    <row r="1310" spans="1:10" ht="18.75" customHeight="1" x14ac:dyDescent="0.25">
      <c r="H1310" s="7"/>
      <c r="I1310" s="283"/>
      <c r="J1310" s="5"/>
    </row>
    <row r="1311" spans="1:10" ht="18.75" customHeight="1" x14ac:dyDescent="0.25">
      <c r="H1311" s="7"/>
      <c r="I1311" s="283"/>
      <c r="J1311" s="5"/>
    </row>
    <row r="1317" spans="2:9" ht="18.75" customHeight="1" x14ac:dyDescent="0.25">
      <c r="B1317" s="1" t="s">
        <v>732</v>
      </c>
      <c r="G1317" s="7" t="s">
        <v>733</v>
      </c>
      <c r="H1317" s="42">
        <f>'Input (1)'!C737</f>
        <v>0</v>
      </c>
      <c r="I1317" s="5" t="s">
        <v>0</v>
      </c>
    </row>
    <row r="1319" spans="2:9" ht="18.75" customHeight="1" x14ac:dyDescent="0.25">
      <c r="B1319" s="609" t="s">
        <v>59</v>
      </c>
      <c r="C1319" s="642" t="s">
        <v>64</v>
      </c>
      <c r="D1319" s="643"/>
      <c r="E1319" s="609" t="s">
        <v>653</v>
      </c>
      <c r="F1319" s="608" t="s">
        <v>689</v>
      </c>
      <c r="G1319" s="608"/>
      <c r="H1319" s="608" t="s">
        <v>690</v>
      </c>
      <c r="I1319" s="608"/>
    </row>
    <row r="1320" spans="2:9" ht="18.75" customHeight="1" x14ac:dyDescent="0.25">
      <c r="B1320" s="609"/>
      <c r="C1320" s="644"/>
      <c r="D1320" s="645"/>
      <c r="E1320" s="609"/>
      <c r="F1320" s="297" t="s">
        <v>67</v>
      </c>
      <c r="G1320" s="297" t="s">
        <v>69</v>
      </c>
      <c r="H1320" s="297" t="s">
        <v>67</v>
      </c>
      <c r="I1320" s="297" t="s">
        <v>69</v>
      </c>
    </row>
    <row r="1321" spans="2:9" ht="18.75" customHeight="1" x14ac:dyDescent="0.25">
      <c r="B1321" s="609"/>
      <c r="C1321" s="297" t="s">
        <v>60</v>
      </c>
      <c r="D1321" s="297" t="s">
        <v>61</v>
      </c>
      <c r="E1321" s="297" t="s">
        <v>66</v>
      </c>
      <c r="F1321" s="297" t="s">
        <v>68</v>
      </c>
      <c r="G1321" s="297" t="s">
        <v>70</v>
      </c>
      <c r="H1321" s="297" t="s">
        <v>68</v>
      </c>
      <c r="I1321" s="297" t="s">
        <v>70</v>
      </c>
    </row>
    <row r="1322" spans="2:9" ht="18.75" customHeight="1" x14ac:dyDescent="0.25">
      <c r="B1322" s="278" t="s">
        <v>72</v>
      </c>
      <c r="C1322" s="276">
        <f>'Process (3)'!C505</f>
        <v>4</v>
      </c>
      <c r="D1322" s="276">
        <f>'Process (3)'!D505</f>
        <v>0.9</v>
      </c>
      <c r="E1322" s="281">
        <f>'Process (3)'!G505</f>
        <v>16.2</v>
      </c>
      <c r="F1322" s="277">
        <f>'Process (3)'!H505</f>
        <v>7.03</v>
      </c>
      <c r="G1322" s="281">
        <f>'Process (3)'!I505</f>
        <v>113.886</v>
      </c>
      <c r="H1322" s="277">
        <f>'Process (3)'!J505</f>
        <v>2</v>
      </c>
      <c r="I1322" s="281">
        <f>'Process (3)'!K505</f>
        <v>32.4</v>
      </c>
    </row>
    <row r="1323" spans="2:9" ht="18.75" customHeight="1" x14ac:dyDescent="0.25">
      <c r="B1323" s="278" t="s">
        <v>71</v>
      </c>
      <c r="C1323" s="276">
        <f>'Process (3)'!C506</f>
        <v>3.8</v>
      </c>
      <c r="D1323" s="276">
        <f>'Process (3)'!D506</f>
        <v>2.63</v>
      </c>
      <c r="E1323" s="281">
        <f>'Process (3)'!G506</f>
        <v>44.972999999999999</v>
      </c>
      <c r="F1323" s="277">
        <f>'Process (3)'!H506</f>
        <v>4.5150000000000006</v>
      </c>
      <c r="G1323" s="281">
        <f>'Process (3)'!I506</f>
        <v>203.05309500000001</v>
      </c>
      <c r="H1323" s="277">
        <f>'Process (3)'!J506</f>
        <v>2.1</v>
      </c>
      <c r="I1323" s="281">
        <f>'Process (3)'!K506</f>
        <v>94.443300000000008</v>
      </c>
    </row>
    <row r="1324" spans="2:9" ht="18.75" customHeight="1" x14ac:dyDescent="0.25">
      <c r="B1324" s="278" t="s">
        <v>73</v>
      </c>
      <c r="C1324" s="276">
        <f>'Process (3)'!C507</f>
        <v>3.8</v>
      </c>
      <c r="D1324" s="276">
        <f>'Process (3)'!D507</f>
        <v>0.6</v>
      </c>
      <c r="E1324" s="281">
        <f>'Process (3)'!G507</f>
        <v>10.259999999999998</v>
      </c>
      <c r="F1324" s="277">
        <f>'Process (3)'!H507</f>
        <v>2.9000000000000004</v>
      </c>
      <c r="G1324" s="281">
        <f>'Process (3)'!I507</f>
        <v>29.753999999999998</v>
      </c>
      <c r="H1324" s="277">
        <f>'Process (3)'!J507</f>
        <v>2.1</v>
      </c>
      <c r="I1324" s="281">
        <f>'Process (3)'!K507</f>
        <v>21.545999999999996</v>
      </c>
    </row>
    <row r="1325" spans="2:9" ht="18.75" customHeight="1" x14ac:dyDescent="0.25">
      <c r="B1325" s="278" t="s">
        <v>74</v>
      </c>
      <c r="C1325" s="276">
        <f>'Process (3)'!C508</f>
        <v>0.6</v>
      </c>
      <c r="D1325" s="276">
        <f>'Process (3)'!D508</f>
        <v>0.6</v>
      </c>
      <c r="E1325" s="281">
        <f>'Process (3)'!G508</f>
        <v>0.80999999999999994</v>
      </c>
      <c r="F1325" s="277">
        <f>'Process (3)'!H508</f>
        <v>2.8000000000000007</v>
      </c>
      <c r="G1325" s="281">
        <f>'Process (3)'!I508</f>
        <v>2.2680000000000002</v>
      </c>
      <c r="H1325" s="277">
        <f>'Process (3)'!J508</f>
        <v>0.39999999999999997</v>
      </c>
      <c r="I1325" s="281">
        <f>'Process (3)'!K508</f>
        <v>0.32399999999999995</v>
      </c>
    </row>
    <row r="1326" spans="2:9" ht="18.75" customHeight="1" x14ac:dyDescent="0.25">
      <c r="B1326" s="278" t="s">
        <v>75</v>
      </c>
      <c r="C1326" s="276">
        <f>'Process (3)'!C509</f>
        <v>4.3999999999999995</v>
      </c>
      <c r="D1326" s="276">
        <f>'Process (3)'!D509</f>
        <v>1.87</v>
      </c>
      <c r="E1326" s="281">
        <f>'Process (3)'!G509</f>
        <v>37.025999999999996</v>
      </c>
      <c r="F1326" s="277">
        <f>'Process (3)'!H509</f>
        <v>1.6650000000000005</v>
      </c>
      <c r="G1326" s="281">
        <f>'Process (3)'!I509</f>
        <v>61.64829000000001</v>
      </c>
      <c r="H1326" s="277">
        <f>'Process (3)'!J509</f>
        <v>2.1999999999999997</v>
      </c>
      <c r="I1326" s="281">
        <f>'Process (3)'!K509</f>
        <v>81.457199999999986</v>
      </c>
    </row>
    <row r="1327" spans="2:9" ht="18.75" customHeight="1" x14ac:dyDescent="0.25">
      <c r="B1327" s="278" t="s">
        <v>76</v>
      </c>
      <c r="C1327" s="276">
        <f>'Process (3)'!C510</f>
        <v>1.3999999999999995</v>
      </c>
      <c r="D1327" s="276">
        <f>'Process (3)'!D510</f>
        <v>0.73000000000000043</v>
      </c>
      <c r="E1327" s="281">
        <f>'Process (3)'!G510</f>
        <v>2.2995000000000005</v>
      </c>
      <c r="F1327" s="277">
        <f>'Process (3)'!H510</f>
        <v>0.48666666666666691</v>
      </c>
      <c r="G1327" s="281">
        <f>'Process (3)'!I510</f>
        <v>1.1190900000000008</v>
      </c>
      <c r="H1327" s="277">
        <f>'Process (3)'!J510</f>
        <v>3.4666666666666663</v>
      </c>
      <c r="I1327" s="281">
        <f>'Process (3)'!K510</f>
        <v>7.9716000000000014</v>
      </c>
    </row>
    <row r="1328" spans="2:9" ht="18.75" customHeight="1" x14ac:dyDescent="0.25">
      <c r="B1328" s="278" t="s">
        <v>77</v>
      </c>
      <c r="C1328" s="276">
        <f>'Process (3)'!C511</f>
        <v>3</v>
      </c>
      <c r="D1328" s="276">
        <f>'Process (3)'!D511</f>
        <v>0.23000000000000043</v>
      </c>
      <c r="E1328" s="281">
        <f>'Process (3)'!G511</f>
        <v>3.1050000000000062</v>
      </c>
      <c r="F1328" s="277">
        <f>'Process (3)'!H511</f>
        <v>0.61500000000000021</v>
      </c>
      <c r="G1328" s="281">
        <f>'Process (3)'!I511</f>
        <v>1.9095750000000045</v>
      </c>
      <c r="H1328" s="277">
        <f>'Process (3)'!J511</f>
        <v>1.5</v>
      </c>
      <c r="I1328" s="281">
        <f>'Process (3)'!K511</f>
        <v>4.6575000000000095</v>
      </c>
    </row>
    <row r="1329" spans="1:9" ht="18.75" customHeight="1" x14ac:dyDescent="0.25">
      <c r="B1329" s="278" t="s">
        <v>78</v>
      </c>
      <c r="C1329" s="276">
        <f>'Process (3)'!C512</f>
        <v>3</v>
      </c>
      <c r="D1329" s="276">
        <f>'Process (3)'!D512</f>
        <v>0.5</v>
      </c>
      <c r="E1329" s="281">
        <f>'Process (3)'!G512</f>
        <v>3.375</v>
      </c>
      <c r="F1329" s="277">
        <f>'Process (3)'!H512</f>
        <v>0.33333333333333331</v>
      </c>
      <c r="G1329" s="281">
        <f>'Process (3)'!I512</f>
        <v>1.125</v>
      </c>
      <c r="H1329" s="277">
        <f>'Process (3)'!J512</f>
        <v>2</v>
      </c>
      <c r="I1329" s="281">
        <f>'Process (3)'!K512</f>
        <v>6.75</v>
      </c>
    </row>
    <row r="1330" spans="1:9" ht="18.75" customHeight="1" x14ac:dyDescent="0.25">
      <c r="B1330" s="610" t="s">
        <v>643</v>
      </c>
      <c r="C1330" s="611"/>
      <c r="D1330" s="612"/>
      <c r="E1330" s="282">
        <f>'Process (3)'!G513</f>
        <v>118.04849999999999</v>
      </c>
      <c r="F1330" s="280"/>
      <c r="G1330" s="282">
        <f>'Process (3)'!I513</f>
        <v>414.76305000000008</v>
      </c>
      <c r="H1330" s="280"/>
      <c r="I1330" s="282">
        <f>'Process (3)'!K513</f>
        <v>249.5496</v>
      </c>
    </row>
    <row r="1332" spans="1:9" ht="18.75" customHeight="1" x14ac:dyDescent="0.25">
      <c r="B1332" s="9" t="s">
        <v>684</v>
      </c>
    </row>
    <row r="1333" spans="1:9" ht="18.75" customHeight="1" x14ac:dyDescent="0.25">
      <c r="A1333" s="35"/>
      <c r="B1333" s="1" t="s">
        <v>641</v>
      </c>
      <c r="G1333" s="7" t="s">
        <v>728</v>
      </c>
      <c r="H1333" s="42">
        <f>'Process (3)'!I516</f>
        <v>36.397276464542642</v>
      </c>
      <c r="I1333" s="5" t="s">
        <v>115</v>
      </c>
    </row>
    <row r="1334" spans="1:9" ht="18.75" customHeight="1" x14ac:dyDescent="0.25">
      <c r="A1334" s="35"/>
      <c r="B1334" s="1" t="s">
        <v>642</v>
      </c>
      <c r="G1334" s="7" t="s">
        <v>729</v>
      </c>
      <c r="H1334" s="42">
        <f>'Process (3)'!I517</f>
        <v>127.8817214799589</v>
      </c>
      <c r="I1334" s="5" t="s">
        <v>145</v>
      </c>
    </row>
    <row r="1336" spans="1:9" ht="18.75" customHeight="1" x14ac:dyDescent="0.25">
      <c r="B1336" s="9" t="s">
        <v>685</v>
      </c>
    </row>
    <row r="1337" spans="1:9" ht="18.75" customHeight="1" x14ac:dyDescent="0.25">
      <c r="A1337" s="35"/>
      <c r="B1337" s="1" t="s">
        <v>641</v>
      </c>
      <c r="G1337" s="7" t="s">
        <v>730</v>
      </c>
      <c r="H1337" s="42">
        <f>'Process (3)'!I520</f>
        <v>81.651223535457333</v>
      </c>
      <c r="I1337" s="5" t="s">
        <v>115</v>
      </c>
    </row>
    <row r="1338" spans="1:9" ht="18.75" customHeight="1" x14ac:dyDescent="0.25">
      <c r="A1338" s="35"/>
      <c r="B1338" s="1" t="s">
        <v>642</v>
      </c>
      <c r="G1338" s="7" t="s">
        <v>731</v>
      </c>
      <c r="H1338" s="42">
        <f>'Process (3)'!I521</f>
        <v>172.60727728674203</v>
      </c>
      <c r="I1338" s="5" t="s">
        <v>145</v>
      </c>
    </row>
    <row r="1340" spans="1:9" ht="18.75" customHeight="1" x14ac:dyDescent="0.25">
      <c r="A1340" s="139"/>
      <c r="B1340" s="130" t="s">
        <v>655</v>
      </c>
      <c r="C1340" s="131"/>
      <c r="D1340" s="131"/>
      <c r="E1340" s="131"/>
      <c r="F1340" s="131"/>
      <c r="G1340" s="131"/>
      <c r="H1340" s="131"/>
      <c r="I1340" s="131"/>
    </row>
    <row r="1341" spans="1:9" ht="18.75" customHeight="1" x14ac:dyDescent="0.25">
      <c r="B1341" s="578" t="s">
        <v>59</v>
      </c>
      <c r="C1341" s="578" t="s">
        <v>184</v>
      </c>
      <c r="D1341" s="578"/>
      <c r="E1341" s="578"/>
      <c r="F1341" s="578"/>
      <c r="G1341" s="578"/>
      <c r="H1341" s="578"/>
      <c r="I1341" s="578"/>
    </row>
    <row r="1342" spans="1:9" ht="18.75" customHeight="1" x14ac:dyDescent="0.25">
      <c r="B1342" s="578"/>
      <c r="C1342" s="578"/>
      <c r="D1342" s="578"/>
      <c r="E1342" s="294" t="s">
        <v>223</v>
      </c>
      <c r="F1342" s="294" t="s">
        <v>692</v>
      </c>
      <c r="G1342" s="294" t="s">
        <v>691</v>
      </c>
      <c r="H1342" s="294" t="s">
        <v>693</v>
      </c>
      <c r="I1342" s="294" t="s">
        <v>694</v>
      </c>
    </row>
    <row r="1343" spans="1:9" ht="18.75" customHeight="1" x14ac:dyDescent="0.25">
      <c r="B1343" s="56">
        <v>2</v>
      </c>
      <c r="C1343" s="641" t="s">
        <v>215</v>
      </c>
      <c r="D1343" s="641"/>
      <c r="E1343" s="284"/>
      <c r="F1343" s="284">
        <f>'Process (3)'!F527</f>
        <v>232.6032091271158</v>
      </c>
      <c r="G1343" s="284">
        <f>'Process (3)'!G527</f>
        <v>724.12481288466506</v>
      </c>
      <c r="H1343" s="284">
        <f>'Process (3)'!H527</f>
        <v>521.80653247516318</v>
      </c>
      <c r="I1343" s="284">
        <f>'Process (3)'!I527</f>
        <v>1321.943183703836</v>
      </c>
    </row>
    <row r="1344" spans="1:9" ht="18.75" customHeight="1" x14ac:dyDescent="0.25">
      <c r="B1344" s="56">
        <v>4</v>
      </c>
      <c r="C1344" s="641" t="s">
        <v>217</v>
      </c>
      <c r="D1344" s="641"/>
      <c r="E1344" s="284"/>
      <c r="F1344" s="284">
        <f>'Process (3)'!F528</f>
        <v>259.19080322874999</v>
      </c>
      <c r="G1344" s="284">
        <f>'Process (3)'!G528</f>
        <v>625.44516695554967</v>
      </c>
      <c r="H1344" s="284">
        <f>'Process (3)'!H528</f>
        <v>581.45136857649595</v>
      </c>
      <c r="I1344" s="284">
        <f>'Process (3)'!I528</f>
        <v>1162.9027371529919</v>
      </c>
    </row>
    <row r="1345" spans="1:11" ht="18.75" customHeight="1" x14ac:dyDescent="0.25">
      <c r="B1345" s="56">
        <v>5</v>
      </c>
      <c r="C1345" s="641" t="s">
        <v>218</v>
      </c>
      <c r="D1345" s="641"/>
      <c r="E1345" s="284"/>
      <c r="F1345" s="284">
        <f>'Process (3)'!F529</f>
        <v>259.19080322874999</v>
      </c>
      <c r="G1345" s="284">
        <f>'Process (3)'!G529</f>
        <v>625.44516695554967</v>
      </c>
      <c r="H1345" s="284">
        <f>'Process (3)'!H529</f>
        <v>581.45136857649595</v>
      </c>
      <c r="I1345" s="284">
        <f>'Process (3)'!I529</f>
        <v>1162.9027371529919</v>
      </c>
    </row>
    <row r="1346" spans="1:11" ht="18.75" customHeight="1" x14ac:dyDescent="0.25">
      <c r="B1346" s="56">
        <v>6</v>
      </c>
      <c r="C1346" s="641" t="s">
        <v>219</v>
      </c>
      <c r="D1346" s="641"/>
      <c r="E1346" s="284"/>
      <c r="F1346" s="284">
        <f>'Process (3)'!F530</f>
        <v>259.19080322874999</v>
      </c>
      <c r="G1346" s="284">
        <f>'Process (3)'!G530</f>
        <v>625.44516695554967</v>
      </c>
      <c r="H1346" s="284">
        <f>'Process (3)'!H530</f>
        <v>581.45136857649595</v>
      </c>
      <c r="I1346" s="284">
        <f>'Process (3)'!I530</f>
        <v>1162.9027371529919</v>
      </c>
    </row>
    <row r="1347" spans="1:11" ht="18.75" customHeight="1" x14ac:dyDescent="0.25">
      <c r="B1347" s="56">
        <v>7</v>
      </c>
      <c r="C1347" s="641" t="s">
        <v>220</v>
      </c>
      <c r="D1347" s="641"/>
      <c r="E1347" s="284"/>
      <c r="F1347" s="284">
        <f>'Process (3)'!F531</f>
        <v>259.19080322874999</v>
      </c>
      <c r="G1347" s="284">
        <f>'Process (3)'!G531</f>
        <v>625.44516695554967</v>
      </c>
      <c r="H1347" s="284">
        <f>'Process (3)'!H531</f>
        <v>581.45136857649595</v>
      </c>
      <c r="I1347" s="284">
        <f>'Process (3)'!I531</f>
        <v>1162.9027371529919</v>
      </c>
    </row>
    <row r="1348" spans="1:11" ht="18.75" customHeight="1" x14ac:dyDescent="0.25">
      <c r="B1348" s="56">
        <v>8</v>
      </c>
      <c r="C1348" s="641" t="s">
        <v>221</v>
      </c>
      <c r="D1348" s="641"/>
      <c r="E1348" s="284"/>
      <c r="F1348" s="284">
        <f>'Process (3)'!F532</f>
        <v>259.19080322874999</v>
      </c>
      <c r="G1348" s="284">
        <f>'Process (3)'!G532</f>
        <v>625.44516695554967</v>
      </c>
      <c r="H1348" s="284">
        <f>'Process (3)'!H532</f>
        <v>581.45136857649595</v>
      </c>
      <c r="I1348" s="284">
        <f>'Process (3)'!I532</f>
        <v>1162.9027371529919</v>
      </c>
    </row>
    <row r="1349" spans="1:11" ht="18.75" customHeight="1" x14ac:dyDescent="0.25">
      <c r="A1349" s="301"/>
      <c r="B1349" s="302"/>
      <c r="C1349" s="303"/>
      <c r="D1349" s="303"/>
      <c r="E1349" s="300"/>
      <c r="F1349" s="300"/>
      <c r="G1349" s="300"/>
      <c r="H1349" s="300"/>
      <c r="I1349" s="300"/>
      <c r="J1349" s="304"/>
      <c r="K1349" s="304"/>
    </row>
    <row r="1350" spans="1:11" ht="18.75" customHeight="1" x14ac:dyDescent="0.25">
      <c r="B1350" s="9" t="s">
        <v>684</v>
      </c>
    </row>
    <row r="1351" spans="1:11" ht="18.75" customHeight="1" x14ac:dyDescent="0.25">
      <c r="B1351" s="1" t="s">
        <v>960</v>
      </c>
      <c r="G1351" s="7" t="s">
        <v>695</v>
      </c>
      <c r="H1351" s="36">
        <f>'Process (3)'!I535</f>
        <v>259.19080322874999</v>
      </c>
      <c r="I1351" s="5" t="s">
        <v>115</v>
      </c>
    </row>
    <row r="1352" spans="1:11" ht="18.75" customHeight="1" x14ac:dyDescent="0.25">
      <c r="B1352" s="1" t="s">
        <v>961</v>
      </c>
      <c r="G1352" s="7" t="s">
        <v>696</v>
      </c>
      <c r="H1352" s="36">
        <f>'Process (3)'!I536</f>
        <v>724.12481288466506</v>
      </c>
      <c r="I1352" s="5" t="s">
        <v>145</v>
      </c>
    </row>
    <row r="1354" spans="1:11" ht="18.75" customHeight="1" x14ac:dyDescent="0.25">
      <c r="B1354" s="9" t="s">
        <v>684</v>
      </c>
    </row>
    <row r="1355" spans="1:11" ht="18.75" customHeight="1" x14ac:dyDescent="0.25">
      <c r="B1355" s="1" t="s">
        <v>960</v>
      </c>
      <c r="G1355" s="7" t="s">
        <v>698</v>
      </c>
      <c r="H1355" s="36">
        <f>'Process (3)'!I539</f>
        <v>581.45136857649595</v>
      </c>
      <c r="I1355" s="5" t="s">
        <v>115</v>
      </c>
    </row>
    <row r="1356" spans="1:11" ht="18.75" customHeight="1" x14ac:dyDescent="0.25">
      <c r="B1356" s="1" t="s">
        <v>961</v>
      </c>
      <c r="G1356" s="7" t="s">
        <v>697</v>
      </c>
      <c r="H1356" s="36">
        <f>'Process (3)'!I540</f>
        <v>1321.943183703836</v>
      </c>
      <c r="I1356" s="5" t="s">
        <v>145</v>
      </c>
    </row>
    <row r="1362" spans="1:9" ht="18.75" customHeight="1" x14ac:dyDescent="0.25">
      <c r="A1362" s="563" t="s">
        <v>966</v>
      </c>
      <c r="B1362" s="565" t="s">
        <v>967</v>
      </c>
      <c r="C1362" s="564"/>
      <c r="D1362" s="564"/>
      <c r="E1362" s="564"/>
      <c r="F1362" s="564"/>
      <c r="G1362" s="564"/>
      <c r="H1362" s="564"/>
      <c r="I1362" s="564"/>
    </row>
    <row r="1363" spans="1:9" ht="18.75" customHeight="1" x14ac:dyDescent="0.25">
      <c r="A1363" s="454" t="s">
        <v>847</v>
      </c>
      <c r="B1363" s="406" t="s">
        <v>701</v>
      </c>
      <c r="C1363" s="407"/>
      <c r="D1363" s="407"/>
      <c r="E1363" s="407"/>
      <c r="F1363" s="407"/>
      <c r="G1363" s="407"/>
      <c r="H1363" s="407"/>
      <c r="I1363" s="407"/>
    </row>
    <row r="1364" spans="1:9" ht="18.75" customHeight="1" x14ac:dyDescent="0.25">
      <c r="A1364" s="455"/>
      <c r="B1364" s="408" t="s">
        <v>704</v>
      </c>
      <c r="C1364" s="409"/>
      <c r="D1364" s="409"/>
      <c r="E1364" s="409"/>
      <c r="F1364" s="409"/>
      <c r="G1364" s="409"/>
      <c r="H1364" s="409"/>
      <c r="I1364" s="409"/>
    </row>
    <row r="1365" spans="1:9" ht="18.75" customHeight="1" x14ac:dyDescent="0.25">
      <c r="A1365" s="456"/>
      <c r="B1365" s="410" t="s">
        <v>539</v>
      </c>
      <c r="C1365" s="410"/>
      <c r="D1365" s="410"/>
      <c r="E1365" s="410"/>
      <c r="F1365" s="410"/>
      <c r="G1365" s="411" t="s">
        <v>702</v>
      </c>
      <c r="H1365" s="170">
        <f>'Process (4)'!H4</f>
        <v>24689.398702802995</v>
      </c>
      <c r="I1365" s="412" t="s">
        <v>417</v>
      </c>
    </row>
    <row r="1366" spans="1:9" ht="18.75" customHeight="1" x14ac:dyDescent="0.25">
      <c r="A1366" s="456"/>
      <c r="B1366" s="410" t="s">
        <v>541</v>
      </c>
      <c r="C1366" s="410"/>
      <c r="D1366" s="410"/>
      <c r="E1366" s="413"/>
      <c r="F1366" s="413"/>
      <c r="G1366" s="411" t="s">
        <v>243</v>
      </c>
      <c r="H1366" s="67">
        <f>'Process (4)'!H5</f>
        <v>17300</v>
      </c>
      <c r="I1366" s="412" t="s">
        <v>49</v>
      </c>
    </row>
    <row r="1367" spans="1:9" ht="18.75" customHeight="1" x14ac:dyDescent="0.25">
      <c r="A1367" s="456"/>
      <c r="B1367" s="410" t="s">
        <v>253</v>
      </c>
      <c r="C1367" s="410"/>
      <c r="D1367" s="410"/>
      <c r="E1367" s="413"/>
      <c r="F1367" s="413"/>
      <c r="G1367" s="411" t="s">
        <v>703</v>
      </c>
      <c r="H1367" s="67">
        <f>'Process (4)'!H6</f>
        <v>1000</v>
      </c>
      <c r="I1367" s="412" t="s">
        <v>49</v>
      </c>
    </row>
    <row r="1368" spans="1:9" ht="18.75" customHeight="1" x14ac:dyDescent="0.25">
      <c r="A1368" s="456"/>
      <c r="B1368" s="410" t="s">
        <v>542</v>
      </c>
      <c r="C1368" s="410"/>
      <c r="D1368" s="410"/>
      <c r="E1368" s="413"/>
      <c r="F1368" s="413"/>
      <c r="G1368" s="411" t="s">
        <v>482</v>
      </c>
      <c r="H1368" s="209">
        <f>'Process (4)'!H7</f>
        <v>125.5</v>
      </c>
      <c r="I1368" s="412" t="s">
        <v>49</v>
      </c>
    </row>
    <row r="1369" spans="1:9" ht="18.75" customHeight="1" x14ac:dyDescent="0.25">
      <c r="A1369" s="456"/>
      <c r="B1369" s="410" t="s">
        <v>543</v>
      </c>
      <c r="C1369" s="410"/>
      <c r="D1369" s="410"/>
      <c r="E1369" s="413"/>
      <c r="F1369" s="413"/>
      <c r="G1369" s="411" t="s">
        <v>484</v>
      </c>
      <c r="H1369" s="209">
        <f>'Process (4)'!H8</f>
        <v>874.5</v>
      </c>
      <c r="I1369" s="412" t="s">
        <v>49</v>
      </c>
    </row>
    <row r="1370" spans="1:9" ht="18.75" customHeight="1" x14ac:dyDescent="0.25">
      <c r="A1370" s="456"/>
      <c r="B1370" s="410" t="s">
        <v>544</v>
      </c>
      <c r="C1370" s="410"/>
      <c r="D1370" s="410"/>
      <c r="E1370" s="413"/>
      <c r="F1370" s="413"/>
      <c r="G1370" s="414" t="s">
        <v>545</v>
      </c>
      <c r="H1370" s="209">
        <f>'Process (4)'!H9</f>
        <v>30</v>
      </c>
      <c r="I1370" s="412" t="s">
        <v>7</v>
      </c>
    </row>
    <row r="1371" spans="1:9" ht="18.75" customHeight="1" x14ac:dyDescent="0.25">
      <c r="A1371" s="456"/>
      <c r="B1371" s="410" t="s">
        <v>546</v>
      </c>
      <c r="C1371" s="410"/>
      <c r="D1371" s="410"/>
      <c r="E1371" s="413"/>
      <c r="F1371" s="413"/>
      <c r="G1371" s="411" t="s">
        <v>447</v>
      </c>
      <c r="H1371" s="209">
        <f>'Process (4)'!H10</f>
        <v>400</v>
      </c>
      <c r="I1371" s="412" t="s">
        <v>7</v>
      </c>
    </row>
    <row r="1372" spans="1:9" ht="18.75" customHeight="1" x14ac:dyDescent="0.25">
      <c r="A1372" s="456"/>
      <c r="B1372" s="415" t="s">
        <v>9</v>
      </c>
      <c r="C1372" s="410"/>
      <c r="D1372" s="410"/>
      <c r="E1372" s="413"/>
      <c r="F1372" s="413"/>
      <c r="G1372" s="411" t="s">
        <v>547</v>
      </c>
      <c r="H1372" s="221">
        <f>'Process (4)'!H11</f>
        <v>200000</v>
      </c>
      <c r="I1372" s="412" t="s">
        <v>7</v>
      </c>
    </row>
    <row r="1373" spans="1:9" ht="18.75" customHeight="1" x14ac:dyDescent="0.25">
      <c r="A1373" s="457"/>
      <c r="B1373" s="416" t="s">
        <v>548</v>
      </c>
      <c r="C1373" s="416"/>
      <c r="D1373" s="416"/>
      <c r="E1373" s="416"/>
      <c r="F1373" s="416"/>
      <c r="G1373" s="417" t="s">
        <v>549</v>
      </c>
      <c r="H1373" s="153" t="str">
        <f>'Process (4)'!H12</f>
        <v>-</v>
      </c>
      <c r="I1373" s="418"/>
    </row>
    <row r="1374" spans="1:9" ht="18.75" customHeight="1" x14ac:dyDescent="0.25">
      <c r="A1374" s="457"/>
      <c r="B1374" s="416" t="s">
        <v>550</v>
      </c>
      <c r="C1374" s="416"/>
      <c r="D1374" s="416"/>
      <c r="E1374" s="416"/>
      <c r="F1374" s="416"/>
      <c r="G1374" s="417" t="s">
        <v>551</v>
      </c>
      <c r="H1374" s="154">
        <f>'Process (4)'!H13</f>
        <v>0.83571428571428574</v>
      </c>
      <c r="I1374" s="418"/>
    </row>
    <row r="1375" spans="1:9" ht="18.75" customHeight="1" x14ac:dyDescent="0.25">
      <c r="A1375" s="457"/>
      <c r="B1375" s="416" t="s">
        <v>552</v>
      </c>
      <c r="C1375" s="416"/>
      <c r="D1375" s="416"/>
      <c r="E1375" s="416"/>
      <c r="F1375" s="416"/>
      <c r="G1375" s="417" t="s">
        <v>549</v>
      </c>
      <c r="H1375" s="154" t="str">
        <f>'Process (4)'!H14</f>
        <v>-</v>
      </c>
      <c r="I1375" s="418"/>
    </row>
    <row r="1376" spans="1:9" ht="18.75" customHeight="1" x14ac:dyDescent="0.25">
      <c r="A1376" s="457"/>
      <c r="B1376" s="416" t="s">
        <v>427</v>
      </c>
      <c r="C1376" s="416"/>
      <c r="D1376" s="416"/>
      <c r="E1376" s="416"/>
      <c r="F1376" s="419" t="s">
        <v>338</v>
      </c>
      <c r="G1376" s="417" t="s">
        <v>549</v>
      </c>
      <c r="H1376" s="154">
        <f>'Process (4)'!H15</f>
        <v>0.83571428571428574</v>
      </c>
      <c r="I1376" s="418"/>
    </row>
    <row r="1377" spans="1:9" ht="18.75" customHeight="1" x14ac:dyDescent="0.25">
      <c r="A1377" s="457"/>
      <c r="B1377" s="416" t="s">
        <v>428</v>
      </c>
      <c r="C1377" s="416"/>
      <c r="D1377" s="416"/>
      <c r="E1377" s="416"/>
      <c r="F1377" s="419"/>
      <c r="G1377" s="417"/>
      <c r="H1377" s="420"/>
      <c r="I1377" s="418"/>
    </row>
    <row r="1378" spans="1:9" ht="18.75" customHeight="1" x14ac:dyDescent="0.25">
      <c r="A1378" s="457"/>
      <c r="B1378" s="416"/>
      <c r="C1378" s="421"/>
      <c r="D1378" s="416"/>
      <c r="E1378" s="416"/>
      <c r="F1378" s="416"/>
      <c r="G1378" s="417" t="s">
        <v>429</v>
      </c>
      <c r="H1378" s="224">
        <f>'Process (4)'!H17</f>
        <v>3.1966071428571427E-2</v>
      </c>
      <c r="I1378" s="418"/>
    </row>
    <row r="1379" spans="1:9" ht="18.75" customHeight="1" x14ac:dyDescent="0.25">
      <c r="A1379" s="457"/>
      <c r="B1379" s="416" t="s">
        <v>430</v>
      </c>
      <c r="C1379" s="416"/>
      <c r="D1379" s="422"/>
      <c r="E1379" s="420"/>
      <c r="F1379" s="423"/>
      <c r="G1379" s="417" t="s">
        <v>431</v>
      </c>
      <c r="H1379" s="224">
        <f>'Process (4)'!H18</f>
        <v>2.397455357142857E-2</v>
      </c>
      <c r="I1379" s="418"/>
    </row>
    <row r="1380" spans="1:9" ht="18.75" customHeight="1" x14ac:dyDescent="0.25">
      <c r="A1380" s="457"/>
      <c r="B1380" s="416" t="s">
        <v>432</v>
      </c>
      <c r="C1380" s="416"/>
      <c r="D1380" s="416"/>
      <c r="E1380" s="423"/>
      <c r="F1380" s="416"/>
      <c r="G1380" s="411" t="s">
        <v>594</v>
      </c>
      <c r="H1380" s="224">
        <f>'Process (4)'!H19</f>
        <v>2E-3</v>
      </c>
      <c r="I1380" s="418"/>
    </row>
    <row r="1381" spans="1:9" ht="18.75" customHeight="1" x14ac:dyDescent="0.25">
      <c r="A1381" s="457"/>
      <c r="B1381" s="416"/>
      <c r="C1381" s="416"/>
      <c r="D1381" s="416"/>
      <c r="E1381" s="416"/>
      <c r="F1381" s="416"/>
      <c r="G1381" s="417"/>
      <c r="H1381" s="225"/>
      <c r="I1381" s="418"/>
    </row>
    <row r="1382" spans="1:9" ht="18.75" customHeight="1" x14ac:dyDescent="0.25">
      <c r="A1382" s="457"/>
      <c r="B1382" s="416" t="s">
        <v>553</v>
      </c>
      <c r="C1382" s="416"/>
      <c r="D1382" s="416"/>
      <c r="E1382" s="416"/>
      <c r="F1382" s="417"/>
      <c r="G1382" s="417" t="s">
        <v>554</v>
      </c>
      <c r="H1382" s="155">
        <f>'Process (4)'!H21</f>
        <v>0.85</v>
      </c>
      <c r="I1382" s="418"/>
    </row>
    <row r="1383" spans="1:9" ht="18.75" customHeight="1" x14ac:dyDescent="0.25">
      <c r="A1383" s="457"/>
      <c r="B1383" s="416" t="s">
        <v>555</v>
      </c>
      <c r="C1383" s="416"/>
      <c r="D1383" s="416"/>
      <c r="E1383" s="416"/>
      <c r="F1383" s="417"/>
      <c r="G1383" s="417" t="s">
        <v>556</v>
      </c>
      <c r="H1383" s="154">
        <f>'Process (4)'!H22</f>
        <v>29046.351415062349</v>
      </c>
      <c r="I1383" s="418" t="s">
        <v>145</v>
      </c>
    </row>
    <row r="1384" spans="1:9" ht="18.75" customHeight="1" x14ac:dyDescent="0.25">
      <c r="A1384" s="457"/>
      <c r="B1384" s="416" t="s">
        <v>557</v>
      </c>
      <c r="C1384" s="421"/>
      <c r="D1384" s="416"/>
      <c r="E1384" s="416"/>
      <c r="F1384" s="416"/>
      <c r="G1384" s="424" t="s">
        <v>558</v>
      </c>
      <c r="H1384" s="154">
        <f>'Process (4)'!H23</f>
        <v>2.1954616563795026</v>
      </c>
      <c r="I1384" s="354"/>
    </row>
    <row r="1385" spans="1:9" ht="18.75" customHeight="1" x14ac:dyDescent="0.25">
      <c r="A1385" s="457"/>
      <c r="B1385" s="416" t="s">
        <v>559</v>
      </c>
      <c r="C1385" s="416"/>
      <c r="D1385" s="416"/>
      <c r="E1385" s="416"/>
      <c r="F1385" s="416"/>
    </row>
    <row r="1386" spans="1:9" ht="18.75" customHeight="1" x14ac:dyDescent="0.25">
      <c r="A1386" s="457"/>
      <c r="B1386" s="416"/>
      <c r="C1386" s="416"/>
      <c r="D1386" s="416"/>
      <c r="E1386" s="416"/>
      <c r="F1386" s="416"/>
      <c r="G1386" s="417" t="s">
        <v>560</v>
      </c>
      <c r="H1386" s="154">
        <f>'Process (4)'!H24</f>
        <v>15.686274509803921</v>
      </c>
      <c r="I1386" s="355"/>
    </row>
    <row r="1387" spans="1:9" ht="18.75" customHeight="1" x14ac:dyDescent="0.25">
      <c r="A1387" s="457"/>
      <c r="B1387" s="416" t="s">
        <v>561</v>
      </c>
      <c r="C1387" s="421"/>
      <c r="D1387" s="416"/>
      <c r="E1387" s="416"/>
      <c r="F1387" s="416"/>
      <c r="G1387" s="424" t="s">
        <v>562</v>
      </c>
      <c r="H1387" s="224">
        <f>'Process (4)'!H25</f>
        <v>5.7477664479286287E-3</v>
      </c>
      <c r="I1387" s="354"/>
    </row>
    <row r="1388" spans="1:9" ht="18.75" customHeight="1" x14ac:dyDescent="0.25">
      <c r="A1388" s="457"/>
      <c r="B1388" s="416" t="s">
        <v>434</v>
      </c>
      <c r="C1388" s="416"/>
      <c r="D1388" s="416"/>
      <c r="E1388" s="416"/>
      <c r="F1388" s="416"/>
      <c r="G1388" s="425"/>
      <c r="H1388" s="418"/>
      <c r="I1388" s="426"/>
    </row>
    <row r="1389" spans="1:9" ht="18.75" customHeight="1" x14ac:dyDescent="0.25">
      <c r="A1389" s="457"/>
      <c r="B1389" s="416"/>
      <c r="C1389" s="416" t="s">
        <v>334</v>
      </c>
      <c r="D1389" s="420" t="s">
        <v>435</v>
      </c>
      <c r="E1389" s="420" t="s">
        <v>436</v>
      </c>
      <c r="F1389" s="420" t="s">
        <v>437</v>
      </c>
      <c r="G1389" s="417"/>
      <c r="H1389" s="425"/>
      <c r="I1389" s="416"/>
    </row>
    <row r="1390" spans="1:9" ht="18.75" customHeight="1" x14ac:dyDescent="0.25">
      <c r="A1390" s="457"/>
      <c r="B1390" s="416"/>
      <c r="C1390" s="416"/>
      <c r="D1390" s="425">
        <f>'Process (4)'!D28</f>
        <v>2E-3</v>
      </c>
      <c r="E1390" s="425">
        <f>'Process (4)'!E28</f>
        <v>5.7477664479286287E-3</v>
      </c>
      <c r="F1390" s="425">
        <f>'Process (4)'!F28</f>
        <v>2.397455357142857E-2</v>
      </c>
      <c r="G1390" s="419" t="s">
        <v>338</v>
      </c>
      <c r="H1390" s="427" t="str">
        <f>'Process (4)'!H28</f>
        <v>[ OK ]</v>
      </c>
      <c r="I1390" s="416"/>
    </row>
    <row r="1391" spans="1:9" ht="18.75" customHeight="1" x14ac:dyDescent="0.25">
      <c r="A1391" s="457"/>
      <c r="B1391" s="416"/>
      <c r="C1391" s="416"/>
      <c r="D1391" s="416"/>
      <c r="E1391" s="416"/>
      <c r="F1391" s="416"/>
      <c r="G1391" s="417"/>
      <c r="H1391" s="420"/>
      <c r="I1391" s="426"/>
    </row>
    <row r="1392" spans="1:9" ht="18.75" customHeight="1" x14ac:dyDescent="0.25">
      <c r="A1392" s="457"/>
      <c r="B1392" s="416" t="s">
        <v>563</v>
      </c>
      <c r="C1392" s="416"/>
      <c r="D1392" s="416"/>
      <c r="E1392" s="416"/>
      <c r="F1392" s="416"/>
      <c r="G1392" s="417" t="s">
        <v>564</v>
      </c>
      <c r="H1392" s="224">
        <f>'Process (4)'!H30</f>
        <v>5.7477664479286287E-3</v>
      </c>
      <c r="I1392" s="355"/>
    </row>
    <row r="1393" spans="1:9" ht="18.75" customHeight="1" x14ac:dyDescent="0.25">
      <c r="A1393" s="457"/>
      <c r="B1393" s="416"/>
      <c r="C1393" s="416"/>
      <c r="D1393" s="425"/>
      <c r="E1393" s="425"/>
      <c r="F1393" s="425"/>
      <c r="G1393" s="427"/>
      <c r="H1393" s="418"/>
      <c r="I1393" s="426"/>
    </row>
    <row r="1394" spans="1:9" ht="18.75" customHeight="1" x14ac:dyDescent="0.25">
      <c r="A1394" s="457"/>
      <c r="B1394" s="416" t="s">
        <v>438</v>
      </c>
      <c r="C1394" s="416"/>
      <c r="D1394" s="416"/>
      <c r="E1394" s="416"/>
      <c r="F1394" s="416"/>
      <c r="G1394" s="417" t="s">
        <v>565</v>
      </c>
      <c r="H1394" s="231">
        <f>'Process (4)'!H32</f>
        <v>86957.09642574504</v>
      </c>
      <c r="I1394" s="418" t="s">
        <v>439</v>
      </c>
    </row>
    <row r="1395" spans="1:9" ht="18.75" customHeight="1" x14ac:dyDescent="0.25">
      <c r="A1395" s="457"/>
      <c r="B1395" s="416" t="s">
        <v>440</v>
      </c>
      <c r="C1395" s="416"/>
      <c r="D1395" s="416"/>
      <c r="E1395" s="416"/>
      <c r="F1395" s="416"/>
      <c r="G1395" s="417" t="s">
        <v>566</v>
      </c>
      <c r="H1395" s="157">
        <f>'Process (4)'!H33</f>
        <v>56.407669431035259</v>
      </c>
      <c r="I1395" s="418" t="s">
        <v>49</v>
      </c>
    </row>
    <row r="1396" spans="1:9" ht="18.75" customHeight="1" x14ac:dyDescent="0.25">
      <c r="A1396" s="457"/>
      <c r="B1396" s="416" t="s">
        <v>441</v>
      </c>
      <c r="C1396" s="416"/>
      <c r="D1396" s="416"/>
      <c r="E1396" s="416"/>
      <c r="F1396" s="416"/>
      <c r="G1396" s="417" t="s">
        <v>567</v>
      </c>
      <c r="H1396" s="157">
        <f>'Process (4)'!H34</f>
        <v>3000</v>
      </c>
      <c r="I1396" s="418" t="s">
        <v>49</v>
      </c>
    </row>
    <row r="1397" spans="1:9" ht="18.75" customHeight="1" x14ac:dyDescent="0.25">
      <c r="A1397" s="457"/>
      <c r="B1397" s="416" t="s">
        <v>441</v>
      </c>
      <c r="C1397" s="416"/>
      <c r="D1397" s="416"/>
      <c r="E1397" s="416"/>
      <c r="F1397" s="416"/>
      <c r="G1397" s="417" t="s">
        <v>442</v>
      </c>
      <c r="H1397" s="157">
        <f>'Process (4)'!H35</f>
        <v>450</v>
      </c>
      <c r="I1397" s="418" t="s">
        <v>49</v>
      </c>
    </row>
    <row r="1398" spans="1:9" ht="18.75" customHeight="1" x14ac:dyDescent="0.25">
      <c r="A1398" s="457"/>
      <c r="B1398" s="416" t="s">
        <v>443</v>
      </c>
      <c r="C1398" s="416"/>
      <c r="D1398" s="416"/>
      <c r="E1398" s="416"/>
      <c r="F1398" s="416"/>
      <c r="G1398" s="417" t="s">
        <v>245</v>
      </c>
      <c r="H1398" s="157">
        <f>'Process (4)'!H36</f>
        <v>56.407669431035259</v>
      </c>
      <c r="I1398" s="418" t="s">
        <v>49</v>
      </c>
    </row>
    <row r="1399" spans="1:9" ht="18.75" customHeight="1" x14ac:dyDescent="0.25">
      <c r="A1399" s="457"/>
      <c r="B1399" s="416" t="s">
        <v>444</v>
      </c>
      <c r="C1399" s="416"/>
      <c r="D1399" s="416"/>
      <c r="E1399" s="416"/>
      <c r="F1399" s="416"/>
      <c r="G1399" s="417" t="s">
        <v>245</v>
      </c>
      <c r="H1399" s="232">
        <f>'Process (4)'!H37</f>
        <v>50</v>
      </c>
      <c r="I1399" s="418" t="s">
        <v>49</v>
      </c>
    </row>
    <row r="1400" spans="1:9" ht="18.75" customHeight="1" x14ac:dyDescent="0.25">
      <c r="A1400" s="457"/>
      <c r="B1400" s="416" t="s">
        <v>445</v>
      </c>
      <c r="C1400" s="416"/>
      <c r="D1400" s="416"/>
      <c r="E1400" s="416"/>
      <c r="F1400" s="416"/>
      <c r="G1400" s="233">
        <f>'Process (4)'!G38</f>
        <v>19</v>
      </c>
      <c r="H1400" s="234">
        <f>'Process (4)'!H38</f>
        <v>50</v>
      </c>
      <c r="I1400" s="418"/>
    </row>
    <row r="1401" spans="1:9" ht="18.75" customHeight="1" x14ac:dyDescent="0.25">
      <c r="A1401" s="457"/>
      <c r="B1401" s="416" t="s">
        <v>568</v>
      </c>
      <c r="C1401" s="416"/>
      <c r="D1401" s="416"/>
      <c r="E1401" s="416"/>
      <c r="F1401" s="416"/>
      <c r="G1401" s="417" t="s">
        <v>569</v>
      </c>
      <c r="H1401" s="235">
        <f>'Process (4)'!H39</f>
        <v>98100.942997321676</v>
      </c>
      <c r="I1401" s="418" t="s">
        <v>439</v>
      </c>
    </row>
    <row r="1402" spans="1:9" ht="18.75" customHeight="1" x14ac:dyDescent="0.25">
      <c r="A1402" s="457"/>
      <c r="B1402" s="416"/>
      <c r="C1402" s="416"/>
      <c r="D1402" s="416"/>
      <c r="E1402" s="416"/>
      <c r="F1402" s="416"/>
      <c r="G1402" s="416"/>
      <c r="H1402" s="416"/>
      <c r="I1402" s="418"/>
    </row>
    <row r="1403" spans="1:9" ht="18.75" customHeight="1" x14ac:dyDescent="0.25">
      <c r="A1403" s="457"/>
      <c r="B1403" s="416" t="s">
        <v>570</v>
      </c>
      <c r="C1403" s="416"/>
      <c r="D1403" s="416"/>
      <c r="E1403" s="416"/>
      <c r="F1403" s="416"/>
      <c r="G1403" s="417" t="s">
        <v>571</v>
      </c>
      <c r="H1403" s="154">
        <f>'Process (4)'!H41</f>
        <v>39240.377198928669</v>
      </c>
      <c r="I1403" s="428" t="s">
        <v>115</v>
      </c>
    </row>
    <row r="1404" spans="1:9" ht="18.75" customHeight="1" x14ac:dyDescent="0.25">
      <c r="A1404" s="457"/>
      <c r="B1404" s="416" t="s">
        <v>572</v>
      </c>
      <c r="C1404" s="416"/>
      <c r="D1404" s="416"/>
      <c r="E1404" s="416"/>
      <c r="F1404" s="420"/>
      <c r="G1404" s="417" t="s">
        <v>573</v>
      </c>
      <c r="H1404" s="237">
        <f>'Process (4)'!H42</f>
        <v>368.67535714285714</v>
      </c>
      <c r="I1404" s="418" t="s">
        <v>115</v>
      </c>
    </row>
    <row r="1405" spans="1:9" ht="18.75" customHeight="1" x14ac:dyDescent="0.25">
      <c r="A1405" s="457"/>
      <c r="B1405" s="423"/>
      <c r="C1405" s="421"/>
      <c r="D1405" s="420"/>
      <c r="E1405" s="416"/>
      <c r="F1405" s="429"/>
      <c r="G1405" s="416"/>
      <c r="H1405" s="416"/>
      <c r="I1405" s="416"/>
    </row>
    <row r="1406" spans="1:9" ht="18.75" customHeight="1" x14ac:dyDescent="0.25">
      <c r="A1406" s="457"/>
      <c r="B1406" s="423" t="s">
        <v>574</v>
      </c>
      <c r="C1406" s="416"/>
      <c r="D1406" s="416"/>
      <c r="E1406" s="416"/>
      <c r="F1406" s="416"/>
      <c r="G1406" s="417" t="s">
        <v>575</v>
      </c>
      <c r="H1406" s="423" t="s">
        <v>576</v>
      </c>
      <c r="I1406" s="416"/>
    </row>
    <row r="1407" spans="1:9" ht="18.75" customHeight="1" x14ac:dyDescent="0.25">
      <c r="A1407" s="457"/>
      <c r="B1407" s="423"/>
      <c r="C1407" s="416"/>
      <c r="D1407" s="416"/>
      <c r="E1407" s="416"/>
      <c r="F1407" s="416"/>
      <c r="G1407" s="430">
        <f>'Process (4)'!G45</f>
        <v>368.67535714285714</v>
      </c>
      <c r="H1407" s="431">
        <f>'Process (4)'!H45</f>
        <v>39240.377198928669</v>
      </c>
      <c r="I1407" s="416"/>
    </row>
    <row r="1408" spans="1:9" ht="18.75" customHeight="1" x14ac:dyDescent="0.25">
      <c r="A1408" s="457"/>
      <c r="B1408" s="416"/>
      <c r="C1408" s="416"/>
      <c r="D1408" s="416"/>
      <c r="E1408" s="416"/>
      <c r="F1408" s="416"/>
      <c r="G1408" s="417"/>
      <c r="H1408" s="431"/>
      <c r="I1408" s="428"/>
    </row>
    <row r="1409" spans="1:9" ht="18.75" customHeight="1" x14ac:dyDescent="0.25">
      <c r="A1409" s="457"/>
      <c r="B1409" s="423" t="s">
        <v>577</v>
      </c>
      <c r="C1409" s="416"/>
      <c r="D1409" s="417"/>
      <c r="E1409" s="416"/>
      <c r="F1409" s="420"/>
      <c r="G1409" s="417" t="s">
        <v>578</v>
      </c>
      <c r="H1409" s="155">
        <f>'Process (4)'!H47</f>
        <v>106.43612717441135</v>
      </c>
      <c r="I1409" s="428" t="s">
        <v>49</v>
      </c>
    </row>
    <row r="1410" spans="1:9" ht="18.75" customHeight="1" x14ac:dyDescent="0.25">
      <c r="A1410" s="457"/>
      <c r="B1410" s="416" t="s">
        <v>572</v>
      </c>
      <c r="C1410" s="417"/>
      <c r="D1410" s="420"/>
      <c r="E1410" s="416"/>
      <c r="F1410" s="420"/>
      <c r="G1410" s="417" t="s">
        <v>579</v>
      </c>
      <c r="H1410" s="154">
        <f>'Process (4)'!H48</f>
        <v>39240.377198928669</v>
      </c>
      <c r="I1410" s="428" t="s">
        <v>115</v>
      </c>
    </row>
    <row r="1411" spans="1:9" ht="18.75" customHeight="1" x14ac:dyDescent="0.25">
      <c r="A1411" s="457"/>
      <c r="B1411" s="416" t="s">
        <v>570</v>
      </c>
      <c r="C1411" s="417"/>
      <c r="D1411" s="420"/>
      <c r="E1411" s="416"/>
      <c r="F1411" s="420"/>
      <c r="G1411" s="417" t="s">
        <v>580</v>
      </c>
      <c r="H1411" s="154">
        <f>'Process (4)'!H49</f>
        <v>39240.377198928669</v>
      </c>
      <c r="I1411" s="428" t="s">
        <v>115</v>
      </c>
    </row>
    <row r="1412" spans="1:9" ht="18.75" customHeight="1" x14ac:dyDescent="0.25">
      <c r="A1412" s="457"/>
      <c r="B1412" s="423"/>
      <c r="C1412" s="416"/>
      <c r="D1412" s="416"/>
      <c r="E1412" s="416"/>
      <c r="F1412" s="416"/>
      <c r="G1412" s="420"/>
      <c r="H1412" s="418"/>
      <c r="I1412" s="426"/>
    </row>
    <row r="1413" spans="1:9" ht="18.75" customHeight="1" x14ac:dyDescent="0.25">
      <c r="A1413" s="457"/>
      <c r="B1413" s="423" t="s">
        <v>581</v>
      </c>
      <c r="C1413" s="416"/>
      <c r="D1413" s="416"/>
      <c r="E1413" s="416"/>
      <c r="F1413" s="416"/>
      <c r="G1413" s="420"/>
      <c r="H1413" s="418"/>
      <c r="I1413" s="426"/>
    </row>
    <row r="1414" spans="1:9" ht="18.75" customHeight="1" x14ac:dyDescent="0.25">
      <c r="A1414" s="457"/>
      <c r="B1414" s="416"/>
      <c r="C1414" s="423" t="s">
        <v>582</v>
      </c>
      <c r="D1414" s="416"/>
      <c r="E1414" s="417"/>
      <c r="F1414" s="420"/>
      <c r="G1414" s="418"/>
      <c r="H1414" s="416"/>
      <c r="I1414" s="416"/>
    </row>
    <row r="1415" spans="1:9" ht="18.75" customHeight="1" x14ac:dyDescent="0.25">
      <c r="A1415" s="457"/>
      <c r="B1415" s="423"/>
      <c r="C1415" s="416"/>
      <c r="D1415" s="416" t="s">
        <v>583</v>
      </c>
      <c r="E1415" s="416"/>
      <c r="F1415" s="416" t="s">
        <v>584</v>
      </c>
      <c r="G1415" s="417"/>
      <c r="H1415" s="420"/>
      <c r="I1415" s="416"/>
    </row>
    <row r="1416" spans="1:9" ht="18.75" customHeight="1" x14ac:dyDescent="0.25">
      <c r="A1416" s="457"/>
      <c r="B1416" s="416"/>
      <c r="C1416" s="416"/>
      <c r="D1416" s="425">
        <f>'Process (4)'!D54</f>
        <v>2.1648585679005464E-2</v>
      </c>
      <c r="E1416" s="420" t="str">
        <f>IF(D1416&lt;F1416,"&lt;","&gt;")</f>
        <v>&gt;</v>
      </c>
      <c r="F1416" s="420">
        <f>'Process (4)'!F54</f>
        <v>2E-3</v>
      </c>
      <c r="G1416" s="416"/>
      <c r="H1416" s="416"/>
      <c r="I1416" s="416"/>
    </row>
    <row r="1417" spans="1:9" ht="18.75" customHeight="1" x14ac:dyDescent="0.25">
      <c r="A1417" s="457"/>
      <c r="B1417" s="423" t="s">
        <v>585</v>
      </c>
      <c r="C1417" s="416"/>
      <c r="D1417" s="416"/>
      <c r="E1417" s="416"/>
      <c r="F1417" s="416"/>
      <c r="G1417" s="419" t="s">
        <v>338</v>
      </c>
      <c r="H1417" s="432" t="str">
        <f>IF(D1416&lt;=F1416,"Tekanan Terkontrol",IF(D1416&lt;0.005,"Transisi",IF(D1416&gt;0.005,"Tegangan Terkontrol","EROR")))</f>
        <v>Tegangan Terkontrol</v>
      </c>
      <c r="I1417" s="418"/>
    </row>
    <row r="1418" spans="1:9" ht="18.75" customHeight="1" x14ac:dyDescent="0.25">
      <c r="A1418" s="457"/>
      <c r="B1418" s="423"/>
      <c r="C1418" s="416"/>
      <c r="D1418" s="416"/>
      <c r="E1418" s="416"/>
      <c r="F1418" s="416"/>
      <c r="G1418" s="419"/>
      <c r="H1418" s="432"/>
      <c r="I1418" s="418"/>
    </row>
    <row r="1419" spans="1:9" ht="18.75" customHeight="1" x14ac:dyDescent="0.25">
      <c r="A1419" s="457"/>
      <c r="B1419" s="423" t="s">
        <v>586</v>
      </c>
      <c r="C1419" s="416"/>
      <c r="D1419" s="416"/>
      <c r="E1419" s="416"/>
      <c r="F1419" s="416"/>
      <c r="G1419" s="417" t="str">
        <f>IF(D1416&lt;=F1416,"φ =",IF(D1416&lt;0.005,"φ = 0,65 + 0,25 * (εs' - εs-yield)/(0,005 - εs-yield) =",IF(D1416&gt;0.005,"φ =","EROR")))</f>
        <v>φ =</v>
      </c>
      <c r="H1419" s="155">
        <f>'Process (4)'!H57</f>
        <v>0.9</v>
      </c>
      <c r="I1419" s="418"/>
    </row>
    <row r="1420" spans="1:9" ht="18.75" customHeight="1" x14ac:dyDescent="0.25">
      <c r="A1420" s="457"/>
      <c r="B1420" s="423" t="s">
        <v>587</v>
      </c>
      <c r="C1420" s="416"/>
      <c r="D1420" s="416"/>
      <c r="E1420" s="416"/>
      <c r="F1420" s="416"/>
      <c r="G1420" s="417" t="s">
        <v>588</v>
      </c>
      <c r="H1420" s="154">
        <f>'Process (4)'!H58</f>
        <v>32570.490317547785</v>
      </c>
      <c r="I1420" s="418" t="s">
        <v>145</v>
      </c>
    </row>
    <row r="1421" spans="1:9" ht="18.75" customHeight="1" x14ac:dyDescent="0.25">
      <c r="A1421" s="457"/>
      <c r="B1421" s="423"/>
      <c r="C1421" s="416"/>
      <c r="D1421" s="416"/>
      <c r="E1421" s="416"/>
      <c r="F1421" s="416"/>
      <c r="G1421" s="417"/>
      <c r="H1421" s="431"/>
      <c r="I1421" s="418"/>
    </row>
    <row r="1422" spans="1:9" ht="18.75" customHeight="1" x14ac:dyDescent="0.25">
      <c r="A1422" s="457"/>
      <c r="B1422" s="416"/>
      <c r="C1422" s="416" t="s">
        <v>334</v>
      </c>
      <c r="D1422" s="242" t="s">
        <v>589</v>
      </c>
      <c r="E1422" s="420" t="s">
        <v>449</v>
      </c>
      <c r="F1422" s="242" t="s">
        <v>590</v>
      </c>
      <c r="G1422" s="416"/>
      <c r="H1422" s="416"/>
      <c r="I1422" s="416"/>
    </row>
    <row r="1423" spans="1:9" ht="18.75" customHeight="1" x14ac:dyDescent="0.25">
      <c r="A1423" s="457"/>
      <c r="B1423" s="416"/>
      <c r="C1423" s="416"/>
      <c r="D1423" s="154">
        <f>'Process (4)'!D61</f>
        <v>29313.441285793007</v>
      </c>
      <c r="E1423" s="420" t="str">
        <f>IF(D1423&gt;F1423,"&gt;","&lt;")</f>
        <v>&gt;</v>
      </c>
      <c r="F1423" s="154">
        <f>'Process (4)'!F61</f>
        <v>24689.398702802995</v>
      </c>
      <c r="G1423" s="419" t="s">
        <v>338</v>
      </c>
      <c r="H1423" s="427" t="str">
        <f>IF(D1423&gt;=F1423,"[ OK ]","[ NOT OK ]")</f>
        <v>[ OK ]</v>
      </c>
      <c r="I1423" s="416"/>
    </row>
    <row r="1424" spans="1:9" ht="18.75" customHeight="1" x14ac:dyDescent="0.25">
      <c r="A1424" s="456"/>
      <c r="B1424" s="433"/>
      <c r="C1424" s="410"/>
      <c r="D1424" s="410"/>
      <c r="E1424" s="413"/>
      <c r="F1424" s="413"/>
      <c r="G1424" s="413"/>
      <c r="H1424" s="410"/>
      <c r="I1424" s="410"/>
    </row>
    <row r="1425" spans="1:9" ht="18.75" customHeight="1" x14ac:dyDescent="0.25">
      <c r="A1425" s="455"/>
      <c r="B1425" s="408" t="s">
        <v>705</v>
      </c>
      <c r="C1425" s="409"/>
      <c r="D1425" s="409"/>
      <c r="E1425" s="409"/>
      <c r="F1425" s="409"/>
      <c r="G1425" s="409"/>
      <c r="H1425" s="409"/>
      <c r="I1425" s="409"/>
    </row>
    <row r="1426" spans="1:9" ht="18.75" customHeight="1" x14ac:dyDescent="0.25">
      <c r="A1426" s="456"/>
      <c r="B1426" s="410" t="s">
        <v>494</v>
      </c>
      <c r="C1426" s="410"/>
      <c r="D1426" s="410"/>
      <c r="E1426" s="410"/>
      <c r="F1426" s="413"/>
      <c r="G1426" s="411" t="s">
        <v>706</v>
      </c>
      <c r="H1426" s="170">
        <f>'Process (4)'!H64</f>
        <v>7178.5394379740947</v>
      </c>
      <c r="I1426" s="412" t="s">
        <v>487</v>
      </c>
    </row>
    <row r="1427" spans="1:9" ht="18.75" customHeight="1" x14ac:dyDescent="0.25">
      <c r="A1427" s="456"/>
      <c r="B1427" s="410" t="s">
        <v>512</v>
      </c>
      <c r="C1427" s="410"/>
      <c r="D1427" s="410"/>
      <c r="E1427" s="410"/>
      <c r="F1427" s="410"/>
      <c r="G1427" s="411" t="s">
        <v>604</v>
      </c>
      <c r="H1427" s="67">
        <f>'Process (4)'!H65</f>
        <v>17300</v>
      </c>
      <c r="I1427" s="412" t="s">
        <v>49</v>
      </c>
    </row>
    <row r="1428" spans="1:9" ht="18.75" customHeight="1" x14ac:dyDescent="0.25">
      <c r="A1428" s="456"/>
      <c r="B1428" s="410" t="s">
        <v>481</v>
      </c>
      <c r="C1428" s="410"/>
      <c r="D1428" s="410"/>
      <c r="E1428" s="410"/>
      <c r="F1428" s="413"/>
      <c r="G1428" s="411" t="s">
        <v>482</v>
      </c>
      <c r="H1428" s="170">
        <f>'Process (4)'!H66</f>
        <v>125.5</v>
      </c>
      <c r="I1428" s="412" t="s">
        <v>0</v>
      </c>
    </row>
    <row r="1429" spans="1:9" ht="18.75" customHeight="1" x14ac:dyDescent="0.25">
      <c r="A1429" s="456"/>
      <c r="B1429" s="410" t="s">
        <v>605</v>
      </c>
      <c r="C1429" s="410"/>
      <c r="D1429" s="410"/>
      <c r="E1429" s="410"/>
      <c r="F1429" s="410"/>
      <c r="G1429" s="411" t="s">
        <v>707</v>
      </c>
      <c r="H1429" s="170">
        <f>'Process (4)'!H67</f>
        <v>874.5</v>
      </c>
      <c r="I1429" s="412" t="s">
        <v>49</v>
      </c>
    </row>
    <row r="1430" spans="1:9" ht="18.75" customHeight="1" x14ac:dyDescent="0.25">
      <c r="A1430" s="456"/>
      <c r="B1430" s="410" t="s">
        <v>513</v>
      </c>
      <c r="C1430" s="410"/>
      <c r="D1430" s="410"/>
      <c r="E1430" s="410"/>
      <c r="F1430" s="410"/>
      <c r="G1430" s="411" t="s">
        <v>514</v>
      </c>
      <c r="H1430" s="67">
        <f>'Process (4)'!H68</f>
        <v>17.3</v>
      </c>
      <c r="I1430" s="412"/>
    </row>
    <row r="1431" spans="1:9" ht="18.75" customHeight="1" x14ac:dyDescent="0.25">
      <c r="A1431" s="456"/>
      <c r="B1431" s="413"/>
      <c r="C1431" s="410"/>
      <c r="D1431" s="410"/>
      <c r="E1431" s="410"/>
      <c r="F1431" s="410"/>
      <c r="G1431" s="413"/>
      <c r="H1431" s="434"/>
      <c r="I1431" s="412"/>
    </row>
    <row r="1432" spans="1:9" ht="18.75" customHeight="1" x14ac:dyDescent="0.25">
      <c r="A1432" s="456"/>
      <c r="B1432" s="410" t="s">
        <v>515</v>
      </c>
      <c r="C1432" s="410"/>
      <c r="D1432" s="410"/>
      <c r="E1432" s="410"/>
      <c r="F1432" s="410"/>
      <c r="G1432" s="411" t="s">
        <v>516</v>
      </c>
      <c r="H1432" s="170">
        <f>'Process (4)'!H70</f>
        <v>15407.298611980945</v>
      </c>
      <c r="I1432" s="412" t="s">
        <v>115</v>
      </c>
    </row>
    <row r="1433" spans="1:9" ht="18.75" customHeight="1" x14ac:dyDescent="0.25">
      <c r="A1433" s="456"/>
      <c r="B1433" s="410"/>
      <c r="C1433" s="410"/>
      <c r="D1433" s="410"/>
      <c r="E1433" s="410"/>
      <c r="F1433" s="410"/>
      <c r="G1433" s="411" t="s">
        <v>517</v>
      </c>
      <c r="H1433" s="170">
        <f>'Process (4)'!H71</f>
        <v>27773.052782943894</v>
      </c>
      <c r="I1433" s="412" t="s">
        <v>115</v>
      </c>
    </row>
    <row r="1434" spans="1:9" ht="18.75" customHeight="1" x14ac:dyDescent="0.25">
      <c r="A1434" s="456"/>
      <c r="B1434" s="410"/>
      <c r="C1434" s="410"/>
      <c r="D1434" s="410"/>
      <c r="E1434" s="410"/>
      <c r="F1434" s="410"/>
      <c r="G1434" s="411" t="s">
        <v>518</v>
      </c>
      <c r="H1434" s="170">
        <f>'Process (4)'!H72</f>
        <v>27621.374713706773</v>
      </c>
      <c r="I1434" s="412" t="s">
        <v>115</v>
      </c>
    </row>
    <row r="1435" spans="1:9" ht="18.75" customHeight="1" x14ac:dyDescent="0.25">
      <c r="A1435" s="456"/>
      <c r="B1435" s="410" t="s">
        <v>519</v>
      </c>
      <c r="C1435" s="410"/>
      <c r="D1435" s="410"/>
      <c r="E1435" s="410"/>
      <c r="F1435" s="410"/>
      <c r="G1435" s="411" t="s">
        <v>520</v>
      </c>
      <c r="H1435" s="170">
        <f>'Process (4)'!H73</f>
        <v>15407.298611980945</v>
      </c>
      <c r="I1435" s="412" t="s">
        <v>115</v>
      </c>
    </row>
    <row r="1436" spans="1:9" ht="18.75" customHeight="1" x14ac:dyDescent="0.25">
      <c r="A1436" s="456"/>
      <c r="B1436" s="410" t="s">
        <v>446</v>
      </c>
      <c r="C1436" s="410"/>
      <c r="D1436" s="410"/>
      <c r="E1436" s="410"/>
      <c r="F1436" s="410"/>
      <c r="G1436" s="411" t="s">
        <v>433</v>
      </c>
      <c r="H1436" s="67">
        <f>'Process (4)'!H74</f>
        <v>0.75</v>
      </c>
      <c r="I1436" s="412"/>
    </row>
    <row r="1437" spans="1:9" ht="18.75" customHeight="1" x14ac:dyDescent="0.25">
      <c r="A1437" s="456"/>
      <c r="B1437" s="410" t="s">
        <v>521</v>
      </c>
      <c r="C1437" s="410"/>
      <c r="D1437" s="410"/>
      <c r="E1437" s="410"/>
      <c r="F1437" s="410"/>
      <c r="G1437" s="411" t="s">
        <v>448</v>
      </c>
      <c r="H1437" s="170">
        <f>'Process (4)'!H75</f>
        <v>11555.473958985709</v>
      </c>
      <c r="I1437" s="412" t="s">
        <v>115</v>
      </c>
    </row>
    <row r="1438" spans="1:9" ht="18.75" customHeight="1" x14ac:dyDescent="0.25">
      <c r="A1438" s="456"/>
      <c r="B1438" s="410" t="s">
        <v>522</v>
      </c>
      <c r="C1438" s="410"/>
      <c r="D1438" s="410"/>
      <c r="E1438" s="413"/>
      <c r="F1438" s="413"/>
      <c r="G1438" s="413"/>
      <c r="H1438" s="413"/>
      <c r="I1438" s="410"/>
    </row>
    <row r="1439" spans="1:9" ht="18.75" customHeight="1" x14ac:dyDescent="0.25">
      <c r="A1439" s="456"/>
      <c r="B1439" s="410"/>
      <c r="C1439" s="410" t="s">
        <v>523</v>
      </c>
      <c r="D1439" s="212" t="s">
        <v>524</v>
      </c>
      <c r="E1439" s="435" t="s">
        <v>449</v>
      </c>
      <c r="F1439" s="212" t="s">
        <v>525</v>
      </c>
      <c r="G1439" s="410"/>
      <c r="H1439" s="413"/>
      <c r="I1439" s="413"/>
    </row>
    <row r="1440" spans="1:9" ht="18.75" customHeight="1" x14ac:dyDescent="0.25">
      <c r="A1440" s="456"/>
      <c r="B1440" s="410"/>
      <c r="C1440" s="410"/>
      <c r="D1440" s="170">
        <f>'Process (4)'!D78</f>
        <v>11555.473958985709</v>
      </c>
      <c r="E1440" s="436" t="str">
        <f>IF(D1440&lt;=F1440,"&lt;","&gt;")</f>
        <v>&gt;</v>
      </c>
      <c r="F1440" s="170">
        <f>'Process (4)'!F78</f>
        <v>7178.5394379740947</v>
      </c>
      <c r="G1440" s="437" t="s">
        <v>338</v>
      </c>
      <c r="H1440" s="562" t="str">
        <f>IF(D1440&gt;F1440,"[ OK ]","[ NOT OK ]")</f>
        <v>[ OK ]</v>
      </c>
      <c r="I1440" s="413"/>
    </row>
    <row r="1441" spans="1:9" ht="18.75" customHeight="1" x14ac:dyDescent="0.25">
      <c r="A1441" s="456"/>
      <c r="B1441" s="410"/>
      <c r="C1441" s="410"/>
      <c r="D1441" s="410"/>
      <c r="E1441" s="410"/>
      <c r="F1441" s="413"/>
      <c r="G1441" s="413"/>
      <c r="H1441" s="413"/>
      <c r="I1441" s="413"/>
    </row>
    <row r="1442" spans="1:9" ht="18.75" customHeight="1" x14ac:dyDescent="0.25">
      <c r="A1442" s="456"/>
      <c r="B1442" s="410"/>
      <c r="C1442" s="410"/>
      <c r="D1442" s="410"/>
      <c r="E1442" s="410"/>
      <c r="F1442" s="410"/>
      <c r="G1442" s="413"/>
      <c r="H1442" s="413"/>
      <c r="I1442" s="413"/>
    </row>
    <row r="1443" spans="1:9" ht="18.75" customHeight="1" x14ac:dyDescent="0.25">
      <c r="A1443" s="454" t="s">
        <v>848</v>
      </c>
      <c r="B1443" s="406" t="s">
        <v>708</v>
      </c>
      <c r="C1443" s="407"/>
      <c r="D1443" s="407"/>
      <c r="E1443" s="407"/>
      <c r="F1443" s="407"/>
      <c r="G1443" s="407"/>
      <c r="H1443" s="407"/>
      <c r="I1443" s="407"/>
    </row>
    <row r="1444" spans="1:9" ht="18.75" customHeight="1" x14ac:dyDescent="0.25">
      <c r="A1444" s="455"/>
      <c r="B1444" s="408" t="s">
        <v>704</v>
      </c>
      <c r="C1444" s="409"/>
      <c r="D1444" s="409"/>
      <c r="E1444" s="409"/>
      <c r="F1444" s="409"/>
      <c r="G1444" s="409"/>
      <c r="H1444" s="409"/>
      <c r="I1444" s="409"/>
    </row>
    <row r="1445" spans="1:9" ht="18.75" customHeight="1" x14ac:dyDescent="0.25">
      <c r="A1445" s="456"/>
      <c r="B1445" s="410" t="s">
        <v>539</v>
      </c>
      <c r="C1445" s="410"/>
      <c r="D1445" s="410"/>
      <c r="E1445" s="410"/>
      <c r="F1445" s="410"/>
      <c r="G1445" s="411" t="s">
        <v>702</v>
      </c>
      <c r="H1445" s="170">
        <f>'Process (4)'!H83</f>
        <v>1429.5025264229694</v>
      </c>
      <c r="I1445" s="412" t="s">
        <v>417</v>
      </c>
    </row>
    <row r="1446" spans="1:9" ht="18.75" customHeight="1" x14ac:dyDescent="0.25">
      <c r="A1446" s="456"/>
      <c r="B1446" s="410" t="s">
        <v>541</v>
      </c>
      <c r="C1446" s="410"/>
      <c r="D1446" s="410"/>
      <c r="E1446" s="413"/>
      <c r="F1446" s="413"/>
      <c r="G1446" s="411" t="s">
        <v>243</v>
      </c>
      <c r="H1446" s="67">
        <f>'Process (4)'!H84</f>
        <v>17300</v>
      </c>
      <c r="I1446" s="412" t="s">
        <v>49</v>
      </c>
    </row>
    <row r="1447" spans="1:9" ht="18.75" customHeight="1" x14ac:dyDescent="0.25">
      <c r="A1447" s="456"/>
      <c r="B1447" s="410" t="s">
        <v>253</v>
      </c>
      <c r="C1447" s="410"/>
      <c r="D1447" s="410"/>
      <c r="E1447" s="413"/>
      <c r="F1447" s="413"/>
      <c r="G1447" s="411" t="s">
        <v>709</v>
      </c>
      <c r="H1447" s="67">
        <f>'Process (4)'!H85</f>
        <v>550</v>
      </c>
      <c r="I1447" s="412" t="s">
        <v>49</v>
      </c>
    </row>
    <row r="1448" spans="1:9" ht="18.75" customHeight="1" x14ac:dyDescent="0.25">
      <c r="A1448" s="456"/>
      <c r="B1448" s="410" t="s">
        <v>542</v>
      </c>
      <c r="C1448" s="410"/>
      <c r="D1448" s="410"/>
      <c r="E1448" s="413"/>
      <c r="F1448" s="413"/>
      <c r="G1448" s="411" t="s">
        <v>482</v>
      </c>
      <c r="H1448" s="209">
        <f>'Process (4)'!H86</f>
        <v>121</v>
      </c>
      <c r="I1448" s="412" t="s">
        <v>49</v>
      </c>
    </row>
    <row r="1449" spans="1:9" ht="18.75" customHeight="1" x14ac:dyDescent="0.25">
      <c r="A1449" s="456"/>
      <c r="B1449" s="410" t="s">
        <v>543</v>
      </c>
      <c r="C1449" s="410"/>
      <c r="D1449" s="410"/>
      <c r="E1449" s="413"/>
      <c r="F1449" s="413"/>
      <c r="G1449" s="411" t="s">
        <v>484</v>
      </c>
      <c r="H1449" s="209">
        <f>'Process (4)'!H87</f>
        <v>429</v>
      </c>
      <c r="I1449" s="412" t="s">
        <v>49</v>
      </c>
    </row>
    <row r="1450" spans="1:9" ht="18.75" customHeight="1" x14ac:dyDescent="0.25">
      <c r="A1450" s="456"/>
      <c r="B1450" s="410" t="s">
        <v>544</v>
      </c>
      <c r="C1450" s="410"/>
      <c r="D1450" s="410"/>
      <c r="E1450" s="413"/>
      <c r="F1450" s="413"/>
      <c r="G1450" s="414" t="s">
        <v>545</v>
      </c>
      <c r="H1450" s="209">
        <f>'Process (4)'!H88</f>
        <v>30</v>
      </c>
      <c r="I1450" s="412" t="s">
        <v>7</v>
      </c>
    </row>
    <row r="1451" spans="1:9" ht="18.75" customHeight="1" x14ac:dyDescent="0.25">
      <c r="A1451" s="456"/>
      <c r="B1451" s="410" t="s">
        <v>546</v>
      </c>
      <c r="C1451" s="410"/>
      <c r="D1451" s="410"/>
      <c r="E1451" s="413"/>
      <c r="F1451" s="413"/>
      <c r="G1451" s="411" t="s">
        <v>447</v>
      </c>
      <c r="H1451" s="209">
        <f>'Process (4)'!H89</f>
        <v>400</v>
      </c>
      <c r="I1451" s="412" t="s">
        <v>7</v>
      </c>
    </row>
    <row r="1452" spans="1:9" ht="18.75" customHeight="1" x14ac:dyDescent="0.25">
      <c r="A1452" s="456"/>
      <c r="B1452" s="415" t="s">
        <v>9</v>
      </c>
      <c r="C1452" s="410"/>
      <c r="D1452" s="410"/>
      <c r="E1452" s="413"/>
      <c r="F1452" s="413"/>
      <c r="G1452" s="411" t="s">
        <v>547</v>
      </c>
      <c r="H1452" s="221">
        <f>'Process (4)'!H90</f>
        <v>200000</v>
      </c>
      <c r="I1452" s="412" t="s">
        <v>7</v>
      </c>
    </row>
    <row r="1453" spans="1:9" ht="18.75" customHeight="1" x14ac:dyDescent="0.25">
      <c r="A1453" s="457"/>
      <c r="B1453" s="416" t="s">
        <v>548</v>
      </c>
      <c r="C1453" s="416"/>
      <c r="D1453" s="416"/>
      <c r="E1453" s="416"/>
      <c r="F1453" s="416"/>
      <c r="G1453" s="417" t="s">
        <v>549</v>
      </c>
      <c r="H1453" s="153" t="str">
        <f>'Process (4)'!H91</f>
        <v>-</v>
      </c>
      <c r="I1453" s="418"/>
    </row>
    <row r="1454" spans="1:9" ht="18.75" customHeight="1" x14ac:dyDescent="0.25">
      <c r="A1454" s="457"/>
      <c r="B1454" s="416" t="s">
        <v>550</v>
      </c>
      <c r="C1454" s="416"/>
      <c r="D1454" s="416"/>
      <c r="E1454" s="416"/>
      <c r="F1454" s="416"/>
      <c r="G1454" s="417" t="s">
        <v>551</v>
      </c>
      <c r="H1454" s="154">
        <f>'Process (4)'!H92</f>
        <v>0.83571428571428574</v>
      </c>
      <c r="I1454" s="418"/>
    </row>
    <row r="1455" spans="1:9" ht="18.75" customHeight="1" x14ac:dyDescent="0.25">
      <c r="A1455" s="457"/>
      <c r="B1455" s="416" t="s">
        <v>552</v>
      </c>
      <c r="C1455" s="416"/>
      <c r="D1455" s="416"/>
      <c r="E1455" s="416"/>
      <c r="F1455" s="416"/>
      <c r="G1455" s="417" t="s">
        <v>549</v>
      </c>
      <c r="H1455" s="154" t="str">
        <f>'Process (4)'!H93</f>
        <v>-</v>
      </c>
      <c r="I1455" s="418"/>
    </row>
    <row r="1456" spans="1:9" ht="18.75" customHeight="1" x14ac:dyDescent="0.25">
      <c r="A1456" s="457"/>
      <c r="B1456" s="416" t="s">
        <v>427</v>
      </c>
      <c r="C1456" s="416"/>
      <c r="D1456" s="416"/>
      <c r="E1456" s="416"/>
      <c r="F1456" s="419" t="s">
        <v>338</v>
      </c>
      <c r="G1456" s="417" t="s">
        <v>549</v>
      </c>
      <c r="H1456" s="154">
        <f>'Process (4)'!H94</f>
        <v>0.83571428571428574</v>
      </c>
      <c r="I1456" s="418"/>
    </row>
    <row r="1457" spans="1:9" ht="18.75" customHeight="1" x14ac:dyDescent="0.25">
      <c r="A1457" s="457"/>
      <c r="B1457" s="416" t="s">
        <v>428</v>
      </c>
      <c r="C1457" s="416"/>
      <c r="D1457" s="416"/>
      <c r="E1457" s="416"/>
      <c r="F1457" s="419"/>
      <c r="G1457" s="417"/>
      <c r="H1457" s="420"/>
      <c r="I1457" s="418"/>
    </row>
    <row r="1458" spans="1:9" ht="18.75" customHeight="1" x14ac:dyDescent="0.25">
      <c r="A1458" s="457"/>
      <c r="B1458" s="416"/>
      <c r="C1458" s="421"/>
      <c r="D1458" s="416"/>
      <c r="E1458" s="416"/>
      <c r="F1458" s="416"/>
      <c r="G1458" s="417" t="s">
        <v>429</v>
      </c>
      <c r="H1458" s="224">
        <f>'Process (4)'!H96</f>
        <v>3.1966071428571427E-2</v>
      </c>
      <c r="I1458" s="418"/>
    </row>
    <row r="1459" spans="1:9" ht="18.75" customHeight="1" x14ac:dyDescent="0.25">
      <c r="A1459" s="457"/>
      <c r="B1459" s="416" t="s">
        <v>430</v>
      </c>
      <c r="C1459" s="416"/>
      <c r="D1459" s="422"/>
      <c r="E1459" s="420"/>
      <c r="F1459" s="423"/>
      <c r="G1459" s="417" t="s">
        <v>431</v>
      </c>
      <c r="H1459" s="224">
        <f>'Process (4)'!H97</f>
        <v>2.397455357142857E-2</v>
      </c>
      <c r="I1459" s="418"/>
    </row>
    <row r="1460" spans="1:9" ht="18.75" customHeight="1" x14ac:dyDescent="0.25">
      <c r="A1460" s="457"/>
      <c r="B1460" s="416" t="s">
        <v>432</v>
      </c>
      <c r="C1460" s="416"/>
      <c r="D1460" s="416"/>
      <c r="E1460" s="423"/>
      <c r="F1460" s="416"/>
      <c r="G1460" s="411" t="s">
        <v>594</v>
      </c>
      <c r="H1460" s="224">
        <f>'Process (4)'!H98</f>
        <v>2E-3</v>
      </c>
      <c r="I1460" s="418"/>
    </row>
    <row r="1461" spans="1:9" ht="18.75" customHeight="1" x14ac:dyDescent="0.25">
      <c r="A1461" s="457"/>
      <c r="B1461" s="416"/>
      <c r="C1461" s="416"/>
      <c r="D1461" s="416"/>
      <c r="E1461" s="416"/>
      <c r="F1461" s="416"/>
      <c r="G1461" s="417"/>
      <c r="H1461" s="225"/>
      <c r="I1461" s="418"/>
    </row>
    <row r="1462" spans="1:9" ht="18.75" customHeight="1" x14ac:dyDescent="0.25">
      <c r="A1462" s="457"/>
      <c r="B1462" s="416" t="s">
        <v>553</v>
      </c>
      <c r="C1462" s="416"/>
      <c r="D1462" s="416"/>
      <c r="E1462" s="416"/>
      <c r="F1462" s="417"/>
      <c r="G1462" s="417" t="s">
        <v>554</v>
      </c>
      <c r="H1462" s="155">
        <f>'Process (4)'!H100</f>
        <v>0.85</v>
      </c>
      <c r="I1462" s="418"/>
    </row>
    <row r="1463" spans="1:9" ht="18.75" customHeight="1" x14ac:dyDescent="0.25">
      <c r="A1463" s="457"/>
      <c r="B1463" s="416" t="s">
        <v>555</v>
      </c>
      <c r="C1463" s="416"/>
      <c r="D1463" s="416"/>
      <c r="E1463" s="416"/>
      <c r="F1463" s="417"/>
      <c r="G1463" s="417" t="s">
        <v>556</v>
      </c>
      <c r="H1463" s="154">
        <f>'Process (4)'!H101</f>
        <v>1681.7676781446698</v>
      </c>
      <c r="I1463" s="418" t="s">
        <v>145</v>
      </c>
    </row>
    <row r="1464" spans="1:9" ht="18.75" customHeight="1" x14ac:dyDescent="0.25">
      <c r="A1464" s="457"/>
      <c r="B1464" s="416" t="s">
        <v>557</v>
      </c>
      <c r="C1464" s="421"/>
      <c r="D1464" s="416"/>
      <c r="E1464" s="416"/>
      <c r="F1464" s="416"/>
      <c r="G1464" s="424" t="s">
        <v>558</v>
      </c>
      <c r="H1464" s="154">
        <f>'Process (4)'!H102</f>
        <v>0.52820841289187159</v>
      </c>
      <c r="I1464" s="354"/>
    </row>
    <row r="1465" spans="1:9" ht="18.75" customHeight="1" x14ac:dyDescent="0.25">
      <c r="A1465" s="457"/>
      <c r="B1465" s="416" t="s">
        <v>559</v>
      </c>
      <c r="C1465" s="416"/>
      <c r="D1465" s="416"/>
      <c r="E1465" s="416"/>
      <c r="F1465" s="416"/>
      <c r="I1465" s="355"/>
    </row>
    <row r="1466" spans="1:9" ht="18.75" customHeight="1" x14ac:dyDescent="0.25">
      <c r="A1466" s="457"/>
      <c r="B1466" s="416"/>
      <c r="C1466" s="416"/>
      <c r="D1466" s="416"/>
      <c r="E1466" s="416"/>
      <c r="F1466" s="416"/>
      <c r="G1466" s="417" t="s">
        <v>560</v>
      </c>
      <c r="H1466" s="154">
        <f>'Process (4)'!H103</f>
        <v>15.686274509803921</v>
      </c>
      <c r="I1466" s="355"/>
    </row>
    <row r="1467" spans="1:9" ht="18.75" customHeight="1" x14ac:dyDescent="0.25">
      <c r="A1467" s="457"/>
      <c r="B1467" s="416" t="s">
        <v>561</v>
      </c>
      <c r="C1467" s="421"/>
      <c r="D1467" s="416"/>
      <c r="E1467" s="416"/>
      <c r="F1467" s="416"/>
      <c r="G1467" s="424" t="s">
        <v>562</v>
      </c>
      <c r="H1467" s="224">
        <f>'Process (4)'!H104</f>
        <v>1.3344885594076348E-3</v>
      </c>
      <c r="I1467" s="354"/>
    </row>
    <row r="1468" spans="1:9" ht="18.75" customHeight="1" x14ac:dyDescent="0.25">
      <c r="A1468" s="457"/>
      <c r="B1468" s="416" t="s">
        <v>434</v>
      </c>
      <c r="C1468" s="416"/>
      <c r="D1468" s="416"/>
      <c r="E1468" s="416"/>
      <c r="F1468" s="416"/>
      <c r="G1468" s="425"/>
      <c r="H1468" s="418"/>
      <c r="I1468" s="426"/>
    </row>
    <row r="1469" spans="1:9" ht="18.75" customHeight="1" x14ac:dyDescent="0.25">
      <c r="A1469" s="457"/>
      <c r="B1469" s="416"/>
      <c r="C1469" s="416" t="s">
        <v>334</v>
      </c>
      <c r="D1469" s="420" t="s">
        <v>435</v>
      </c>
      <c r="E1469" s="420" t="s">
        <v>436</v>
      </c>
      <c r="F1469" s="420" t="s">
        <v>437</v>
      </c>
      <c r="G1469" s="417"/>
      <c r="H1469" s="425"/>
      <c r="I1469" s="416"/>
    </row>
    <row r="1470" spans="1:9" ht="18.75" customHeight="1" x14ac:dyDescent="0.25">
      <c r="A1470" s="457"/>
      <c r="B1470" s="416"/>
      <c r="C1470" s="416"/>
      <c r="D1470" s="425">
        <f>'Process (4)'!D107</f>
        <v>2E-3</v>
      </c>
      <c r="E1470" s="425">
        <f>'Process (4)'!E107</f>
        <v>1.3344885594076348E-3</v>
      </c>
      <c r="F1470" s="425">
        <f>'Process (4)'!F107</f>
        <v>2.397455357142857E-2</v>
      </c>
      <c r="G1470" s="419" t="s">
        <v>338</v>
      </c>
      <c r="H1470" s="427" t="str">
        <f>IF(D1470&lt;E1470,(IF(E1470&lt;F1470,"[ OK ]","[ NOT OK ]")),"[ Pakai ρmin ]")</f>
        <v>[ Pakai ρmin ]</v>
      </c>
      <c r="I1470" s="416"/>
    </row>
    <row r="1471" spans="1:9" ht="18.75" customHeight="1" x14ac:dyDescent="0.25">
      <c r="A1471" s="457"/>
      <c r="B1471" s="416"/>
      <c r="C1471" s="416"/>
      <c r="D1471" s="416"/>
      <c r="E1471" s="416"/>
      <c r="F1471" s="416"/>
      <c r="G1471" s="417"/>
      <c r="H1471" s="420"/>
      <c r="I1471" s="426"/>
    </row>
    <row r="1472" spans="1:9" ht="18.75" customHeight="1" x14ac:dyDescent="0.25">
      <c r="A1472" s="457"/>
      <c r="B1472" s="416" t="s">
        <v>563</v>
      </c>
      <c r="C1472" s="416"/>
      <c r="D1472" s="416"/>
      <c r="E1472" s="416"/>
      <c r="F1472" s="416"/>
      <c r="G1472" s="417" t="s">
        <v>564</v>
      </c>
      <c r="H1472" s="224">
        <f>'Process (4)'!H109</f>
        <v>2E-3</v>
      </c>
      <c r="I1472" s="355"/>
    </row>
    <row r="1473" spans="1:9" ht="18.75" customHeight="1" x14ac:dyDescent="0.25">
      <c r="A1473" s="457"/>
      <c r="B1473" s="416" t="s">
        <v>438</v>
      </c>
      <c r="C1473" s="416"/>
      <c r="D1473" s="416"/>
      <c r="E1473" s="416"/>
      <c r="F1473" s="416"/>
      <c r="G1473" s="417" t="s">
        <v>565</v>
      </c>
      <c r="H1473" s="231">
        <f>'Process (4)'!H111</f>
        <v>14843.400000000001</v>
      </c>
      <c r="I1473" s="418" t="s">
        <v>439</v>
      </c>
    </row>
    <row r="1474" spans="1:9" ht="18.75" customHeight="1" x14ac:dyDescent="0.25">
      <c r="A1474" s="457"/>
      <c r="B1474" s="416" t="s">
        <v>440</v>
      </c>
      <c r="C1474" s="416"/>
      <c r="D1474" s="416"/>
      <c r="E1474" s="416"/>
      <c r="F1474" s="416"/>
      <c r="G1474" s="417" t="s">
        <v>566</v>
      </c>
      <c r="H1474" s="157">
        <f>'Process (4)'!H112</f>
        <v>234.33791355448338</v>
      </c>
      <c r="I1474" s="418" t="s">
        <v>49</v>
      </c>
    </row>
    <row r="1475" spans="1:9" ht="18.75" customHeight="1" x14ac:dyDescent="0.25">
      <c r="A1475" s="457"/>
      <c r="B1475" s="416" t="s">
        <v>441</v>
      </c>
      <c r="C1475" s="416"/>
      <c r="D1475" s="416"/>
      <c r="E1475" s="416"/>
      <c r="F1475" s="416"/>
      <c r="G1475" s="417" t="s">
        <v>567</v>
      </c>
      <c r="H1475" s="157">
        <f>'Process (4)'!H113</f>
        <v>1650</v>
      </c>
      <c r="I1475" s="418" t="s">
        <v>49</v>
      </c>
    </row>
    <row r="1476" spans="1:9" ht="18.75" customHeight="1" x14ac:dyDescent="0.25">
      <c r="A1476" s="457"/>
      <c r="B1476" s="416" t="s">
        <v>441</v>
      </c>
      <c r="C1476" s="416"/>
      <c r="D1476" s="416"/>
      <c r="E1476" s="416"/>
      <c r="F1476" s="416"/>
      <c r="G1476" s="417" t="s">
        <v>442</v>
      </c>
      <c r="H1476" s="157">
        <f>'Process (4)'!H114</f>
        <v>450</v>
      </c>
      <c r="I1476" s="418" t="s">
        <v>49</v>
      </c>
    </row>
    <row r="1477" spans="1:9" ht="18.75" customHeight="1" x14ac:dyDescent="0.25">
      <c r="A1477" s="457"/>
      <c r="B1477" s="416" t="s">
        <v>443</v>
      </c>
      <c r="C1477" s="416"/>
      <c r="D1477" s="416"/>
      <c r="E1477" s="416"/>
      <c r="F1477" s="416"/>
      <c r="G1477" s="417" t="s">
        <v>245</v>
      </c>
      <c r="H1477" s="157">
        <f>'Process (4)'!H115</f>
        <v>234.33791355448338</v>
      </c>
      <c r="I1477" s="418" t="s">
        <v>49</v>
      </c>
    </row>
    <row r="1478" spans="1:9" ht="18.75" customHeight="1" x14ac:dyDescent="0.25">
      <c r="A1478" s="457"/>
      <c r="B1478" s="416" t="s">
        <v>444</v>
      </c>
      <c r="C1478" s="416"/>
      <c r="D1478" s="416"/>
      <c r="E1478" s="416"/>
      <c r="F1478" s="416"/>
      <c r="G1478" s="417" t="s">
        <v>245</v>
      </c>
      <c r="H1478" s="232">
        <f>'Process (4)'!H116</f>
        <v>225</v>
      </c>
      <c r="I1478" s="418" t="s">
        <v>49</v>
      </c>
    </row>
    <row r="1479" spans="1:9" ht="18.75" customHeight="1" x14ac:dyDescent="0.25">
      <c r="A1479" s="457"/>
      <c r="B1479" s="416" t="s">
        <v>445</v>
      </c>
      <c r="C1479" s="416"/>
      <c r="D1479" s="416"/>
      <c r="E1479" s="416"/>
      <c r="F1479" s="416"/>
      <c r="G1479" s="233">
        <f>'Process (4)'!G117</f>
        <v>16</v>
      </c>
      <c r="H1479" s="234">
        <f>'Process (4)'!H117</f>
        <v>225</v>
      </c>
      <c r="I1479" s="418"/>
    </row>
    <row r="1480" spans="1:9" ht="18.75" customHeight="1" x14ac:dyDescent="0.25">
      <c r="A1480" s="457"/>
      <c r="B1480" s="416" t="s">
        <v>568</v>
      </c>
      <c r="C1480" s="416"/>
      <c r="D1480" s="416"/>
      <c r="E1480" s="416"/>
      <c r="F1480" s="416"/>
      <c r="G1480" s="417" t="s">
        <v>569</v>
      </c>
      <c r="H1480" s="235">
        <f>'Process (4)'!H118</f>
        <v>15459.428382464972</v>
      </c>
      <c r="I1480" s="418" t="s">
        <v>439</v>
      </c>
    </row>
    <row r="1481" spans="1:9" ht="18.75" customHeight="1" x14ac:dyDescent="0.25">
      <c r="A1481" s="457"/>
      <c r="B1481" s="416"/>
      <c r="C1481" s="416"/>
      <c r="D1481" s="416"/>
      <c r="E1481" s="416"/>
      <c r="F1481" s="416"/>
      <c r="G1481" s="416"/>
      <c r="H1481" s="416"/>
      <c r="I1481" s="418"/>
    </row>
    <row r="1482" spans="1:9" ht="18.75" customHeight="1" x14ac:dyDescent="0.25">
      <c r="A1482" s="457"/>
      <c r="B1482" s="416" t="s">
        <v>570</v>
      </c>
      <c r="C1482" s="416"/>
      <c r="D1482" s="416"/>
      <c r="E1482" s="416"/>
      <c r="F1482" s="416"/>
      <c r="G1482" s="417" t="s">
        <v>571</v>
      </c>
      <c r="H1482" s="154">
        <f>'Process (4)'!H120</f>
        <v>6183.7713529859884</v>
      </c>
      <c r="I1482" s="428" t="s">
        <v>115</v>
      </c>
    </row>
    <row r="1483" spans="1:9" ht="18.75" customHeight="1" x14ac:dyDescent="0.25">
      <c r="A1483" s="457"/>
      <c r="B1483" s="416" t="s">
        <v>572</v>
      </c>
      <c r="C1483" s="416"/>
      <c r="D1483" s="416"/>
      <c r="E1483" s="416"/>
      <c r="F1483" s="420"/>
      <c r="G1483" s="417" t="s">
        <v>573</v>
      </c>
      <c r="H1483" s="237">
        <f>'Process (4)'!H121</f>
        <v>368.67535714285714</v>
      </c>
      <c r="I1483" s="418" t="s">
        <v>115</v>
      </c>
    </row>
    <row r="1484" spans="1:9" ht="18.75" customHeight="1" x14ac:dyDescent="0.25">
      <c r="A1484" s="457"/>
      <c r="B1484" s="423"/>
      <c r="C1484" s="421"/>
      <c r="D1484" s="420"/>
      <c r="E1484" s="416"/>
      <c r="F1484" s="429"/>
      <c r="G1484" s="416"/>
      <c r="H1484" s="416"/>
      <c r="I1484" s="416"/>
    </row>
    <row r="1485" spans="1:9" ht="18.75" customHeight="1" x14ac:dyDescent="0.25">
      <c r="A1485" s="457"/>
      <c r="B1485" s="423" t="s">
        <v>574</v>
      </c>
      <c r="C1485" s="416"/>
      <c r="D1485" s="416"/>
      <c r="E1485" s="416"/>
      <c r="F1485" s="416"/>
      <c r="G1485" s="417" t="s">
        <v>575</v>
      </c>
      <c r="H1485" s="423" t="s">
        <v>576</v>
      </c>
      <c r="I1485" s="416"/>
    </row>
    <row r="1486" spans="1:9" ht="18.75" customHeight="1" x14ac:dyDescent="0.25">
      <c r="A1486" s="457"/>
      <c r="B1486" s="423"/>
      <c r="C1486" s="416"/>
      <c r="D1486" s="416"/>
      <c r="E1486" s="416"/>
      <c r="F1486" s="416"/>
      <c r="G1486" s="430">
        <f>'Process (4)'!G124</f>
        <v>368.67535714285714</v>
      </c>
      <c r="H1486" s="431">
        <f>'Process (4)'!H124</f>
        <v>6183.7713529859884</v>
      </c>
      <c r="I1486" s="416"/>
    </row>
    <row r="1487" spans="1:9" ht="18.75" customHeight="1" x14ac:dyDescent="0.25">
      <c r="A1487" s="457"/>
      <c r="B1487" s="416"/>
      <c r="C1487" s="416"/>
      <c r="D1487" s="416"/>
      <c r="E1487" s="416"/>
      <c r="F1487" s="416"/>
      <c r="G1487" s="417"/>
      <c r="H1487" s="431"/>
      <c r="I1487" s="428"/>
    </row>
    <row r="1488" spans="1:9" ht="18.75" customHeight="1" x14ac:dyDescent="0.25">
      <c r="A1488" s="457"/>
      <c r="B1488" s="423" t="s">
        <v>577</v>
      </c>
      <c r="C1488" s="416"/>
      <c r="D1488" s="417"/>
      <c r="E1488" s="416"/>
      <c r="F1488" s="420"/>
      <c r="G1488" s="417" t="s">
        <v>578</v>
      </c>
      <c r="H1488" s="155">
        <f>'Process (4)'!H126</f>
        <v>16.772944633209789</v>
      </c>
      <c r="I1488" s="428" t="s">
        <v>49</v>
      </c>
    </row>
    <row r="1489" spans="1:9" ht="18.75" customHeight="1" x14ac:dyDescent="0.25">
      <c r="A1489" s="457"/>
      <c r="B1489" s="416" t="s">
        <v>572</v>
      </c>
      <c r="C1489" s="417"/>
      <c r="D1489" s="420"/>
      <c r="E1489" s="416"/>
      <c r="F1489" s="420"/>
      <c r="G1489" s="417" t="s">
        <v>579</v>
      </c>
      <c r="H1489" s="154">
        <f>'Process (4)'!H127</f>
        <v>6183.7713529859884</v>
      </c>
      <c r="I1489" s="428" t="s">
        <v>115</v>
      </c>
    </row>
    <row r="1490" spans="1:9" ht="18.75" customHeight="1" x14ac:dyDescent="0.25">
      <c r="A1490" s="457"/>
      <c r="B1490" s="416" t="s">
        <v>570</v>
      </c>
      <c r="C1490" s="417"/>
      <c r="D1490" s="420"/>
      <c r="E1490" s="416"/>
      <c r="F1490" s="420"/>
      <c r="G1490" s="417" t="s">
        <v>580</v>
      </c>
      <c r="H1490" s="154">
        <f>'Process (4)'!H128</f>
        <v>6183.7713529859884</v>
      </c>
      <c r="I1490" s="428" t="s">
        <v>115</v>
      </c>
    </row>
    <row r="1491" spans="1:9" ht="18.75" customHeight="1" x14ac:dyDescent="0.25">
      <c r="A1491" s="457"/>
      <c r="B1491" s="423"/>
      <c r="C1491" s="416"/>
      <c r="D1491" s="416"/>
      <c r="E1491" s="416"/>
      <c r="F1491" s="416"/>
      <c r="G1491" s="420"/>
      <c r="H1491" s="418"/>
      <c r="I1491" s="426"/>
    </row>
    <row r="1492" spans="1:9" ht="18.75" customHeight="1" x14ac:dyDescent="0.25">
      <c r="A1492" s="457"/>
      <c r="B1492" s="423" t="s">
        <v>581</v>
      </c>
      <c r="C1492" s="416"/>
      <c r="D1492" s="416"/>
      <c r="E1492" s="416"/>
      <c r="F1492" s="416"/>
      <c r="G1492" s="420"/>
      <c r="H1492" s="418"/>
      <c r="I1492" s="426"/>
    </row>
    <row r="1493" spans="1:9" ht="18.75" customHeight="1" x14ac:dyDescent="0.25">
      <c r="A1493" s="457"/>
      <c r="B1493" s="416"/>
      <c r="C1493" s="423" t="s">
        <v>582</v>
      </c>
      <c r="D1493" s="416"/>
      <c r="E1493" s="417"/>
      <c r="F1493" s="420"/>
      <c r="G1493" s="418"/>
      <c r="H1493" s="416"/>
      <c r="I1493" s="416"/>
    </row>
    <row r="1494" spans="1:9" ht="18.75" customHeight="1" x14ac:dyDescent="0.25">
      <c r="A1494" s="457"/>
      <c r="B1494" s="423"/>
      <c r="C1494" s="416"/>
      <c r="D1494" s="416" t="s">
        <v>583</v>
      </c>
      <c r="E1494" s="416"/>
      <c r="F1494" s="416" t="s">
        <v>584</v>
      </c>
      <c r="G1494" s="417"/>
      <c r="H1494" s="420"/>
      <c r="I1494" s="416"/>
    </row>
    <row r="1495" spans="1:9" ht="18.75" customHeight="1" x14ac:dyDescent="0.25">
      <c r="A1495" s="457"/>
      <c r="B1495" s="416"/>
      <c r="C1495" s="416"/>
      <c r="D1495" s="425">
        <f>'Process (4)'!D133</f>
        <v>7.3730712951367475E-2</v>
      </c>
      <c r="E1495" s="420" t="str">
        <f>IF(D1495&lt;F1495,"&lt;","&gt;")</f>
        <v>&gt;</v>
      </c>
      <c r="F1495" s="420">
        <f>'Process (4)'!F133</f>
        <v>2E-3</v>
      </c>
      <c r="G1495" s="416"/>
      <c r="H1495" s="416"/>
      <c r="I1495" s="416"/>
    </row>
    <row r="1496" spans="1:9" ht="18.75" customHeight="1" x14ac:dyDescent="0.25">
      <c r="A1496" s="457"/>
      <c r="B1496" s="423" t="s">
        <v>585</v>
      </c>
      <c r="C1496" s="416"/>
      <c r="D1496" s="416"/>
      <c r="E1496" s="416"/>
      <c r="F1496" s="416"/>
      <c r="G1496" s="419" t="s">
        <v>338</v>
      </c>
      <c r="H1496" s="432" t="str">
        <f>IF(D1495&lt;=F1495,"Tekanan Terkontrol",IF(D1495&lt;0.005,"Transisi",IF(D1495&gt;0.005,"Tegangan Terkontrol","EROR")))</f>
        <v>Tegangan Terkontrol</v>
      </c>
      <c r="I1496" s="418"/>
    </row>
    <row r="1497" spans="1:9" ht="18.75" customHeight="1" x14ac:dyDescent="0.25">
      <c r="A1497" s="457"/>
      <c r="B1497" s="423"/>
      <c r="C1497" s="416"/>
      <c r="D1497" s="416"/>
      <c r="E1497" s="416"/>
      <c r="F1497" s="416"/>
      <c r="G1497" s="419"/>
      <c r="H1497" s="432"/>
      <c r="I1497" s="418"/>
    </row>
    <row r="1498" spans="1:9" ht="18.75" customHeight="1" x14ac:dyDescent="0.25">
      <c r="A1498" s="457"/>
      <c r="B1498" s="423" t="s">
        <v>586</v>
      </c>
      <c r="C1498" s="416"/>
      <c r="D1498" s="416"/>
      <c r="E1498" s="416"/>
      <c r="F1498" s="416"/>
      <c r="G1498" s="417" t="str">
        <f>IF(D1495&lt;=F1495,"φ =",IF(D1495&lt;0.005,"φ = 0,65 + 0,25 * (εs' - εs-yield)/(0,005 - εs-yield) =",IF(D1495&gt;0.005,"φ =","EROR")))</f>
        <v>φ =</v>
      </c>
      <c r="H1498" s="155">
        <f>'Process (4)'!H136</f>
        <v>0.9</v>
      </c>
      <c r="I1498" s="418"/>
    </row>
    <row r="1499" spans="1:9" ht="18.75" customHeight="1" x14ac:dyDescent="0.25">
      <c r="A1499" s="457"/>
      <c r="B1499" s="423" t="s">
        <v>587</v>
      </c>
      <c r="C1499" s="416"/>
      <c r="D1499" s="416"/>
      <c r="E1499" s="416"/>
      <c r="F1499" s="416"/>
      <c r="G1499" s="417" t="s">
        <v>588</v>
      </c>
      <c r="H1499" s="154">
        <f>'Process (4)'!H137</f>
        <v>2609.4977447889055</v>
      </c>
      <c r="I1499" s="418" t="s">
        <v>145</v>
      </c>
    </row>
    <row r="1500" spans="1:9" ht="18.75" customHeight="1" x14ac:dyDescent="0.25">
      <c r="A1500" s="457"/>
      <c r="B1500" s="423"/>
      <c r="C1500" s="416"/>
      <c r="D1500" s="416"/>
      <c r="E1500" s="416"/>
      <c r="F1500" s="416"/>
      <c r="G1500" s="417"/>
      <c r="H1500" s="431"/>
      <c r="I1500" s="418"/>
    </row>
    <row r="1501" spans="1:9" ht="18.75" customHeight="1" x14ac:dyDescent="0.25">
      <c r="A1501" s="457"/>
      <c r="B1501" s="416"/>
      <c r="C1501" s="416" t="s">
        <v>334</v>
      </c>
      <c r="D1501" s="242" t="s">
        <v>589</v>
      </c>
      <c r="E1501" s="420" t="s">
        <v>449</v>
      </c>
      <c r="F1501" s="242" t="s">
        <v>590</v>
      </c>
      <c r="G1501" s="416"/>
      <c r="H1501" s="416"/>
      <c r="I1501" s="416"/>
    </row>
    <row r="1502" spans="1:9" ht="18.75" customHeight="1" x14ac:dyDescent="0.25">
      <c r="A1502" s="457"/>
      <c r="B1502" s="416"/>
      <c r="C1502" s="416"/>
      <c r="D1502" s="154">
        <f>'Process (4)'!D140</f>
        <v>2348.547970310015</v>
      </c>
      <c r="E1502" s="420" t="str">
        <f>IF(D1502&gt;F1502,"&gt;","&lt;")</f>
        <v>&gt;</v>
      </c>
      <c r="F1502" s="154">
        <f>'Process (4)'!F140</f>
        <v>1429.5025264229694</v>
      </c>
      <c r="G1502" s="419" t="s">
        <v>338</v>
      </c>
      <c r="H1502" s="427" t="str">
        <f>IF(D1502&gt;=F1502,"[ OK ]","[ NOT OK ]")</f>
        <v>[ OK ]</v>
      </c>
      <c r="I1502" s="416"/>
    </row>
    <row r="1503" spans="1:9" ht="18.75" customHeight="1" x14ac:dyDescent="0.25">
      <c r="A1503" s="456"/>
      <c r="B1503" s="433"/>
      <c r="C1503" s="410"/>
      <c r="D1503" s="410"/>
      <c r="E1503" s="413"/>
      <c r="F1503" s="413"/>
      <c r="G1503" s="413"/>
      <c r="H1503" s="410"/>
      <c r="I1503" s="410"/>
    </row>
    <row r="1504" spans="1:9" ht="18.75" customHeight="1" x14ac:dyDescent="0.25">
      <c r="A1504" s="455"/>
      <c r="B1504" s="408" t="s">
        <v>705</v>
      </c>
      <c r="C1504" s="409"/>
      <c r="D1504" s="409"/>
      <c r="E1504" s="409"/>
      <c r="F1504" s="409"/>
      <c r="G1504" s="409"/>
      <c r="H1504" s="409"/>
      <c r="I1504" s="409"/>
    </row>
    <row r="1505" spans="1:9" ht="18.75" customHeight="1" x14ac:dyDescent="0.25">
      <c r="A1505" s="456"/>
      <c r="B1505" s="410" t="s">
        <v>494</v>
      </c>
      <c r="C1505" s="410"/>
      <c r="D1505" s="410"/>
      <c r="E1505" s="410"/>
      <c r="F1505" s="413"/>
      <c r="G1505" s="411" t="s">
        <v>706</v>
      </c>
      <c r="H1505" s="170">
        <f>'Process (4)'!H143</f>
        <v>1186.3415677816974</v>
      </c>
      <c r="I1505" s="412" t="s">
        <v>487</v>
      </c>
    </row>
    <row r="1506" spans="1:9" ht="18.75" customHeight="1" x14ac:dyDescent="0.25">
      <c r="A1506" s="456"/>
      <c r="B1506" s="410" t="s">
        <v>512</v>
      </c>
      <c r="C1506" s="410"/>
      <c r="D1506" s="410"/>
      <c r="E1506" s="410"/>
      <c r="F1506" s="410"/>
      <c r="G1506" s="411" t="s">
        <v>604</v>
      </c>
      <c r="H1506" s="67">
        <f>'Process (4)'!H144</f>
        <v>17300</v>
      </c>
      <c r="I1506" s="412" t="s">
        <v>49</v>
      </c>
    </row>
    <row r="1507" spans="1:9" ht="18.75" customHeight="1" x14ac:dyDescent="0.25">
      <c r="A1507" s="456"/>
      <c r="B1507" s="410" t="s">
        <v>481</v>
      </c>
      <c r="C1507" s="410"/>
      <c r="D1507" s="410"/>
      <c r="E1507" s="410"/>
      <c r="F1507" s="413"/>
      <c r="G1507" s="411" t="s">
        <v>482</v>
      </c>
      <c r="H1507" s="170">
        <f>'Process (4)'!H145</f>
        <v>121</v>
      </c>
      <c r="I1507" s="412" t="s">
        <v>0</v>
      </c>
    </row>
    <row r="1508" spans="1:9" ht="18.75" customHeight="1" x14ac:dyDescent="0.25">
      <c r="A1508" s="456"/>
      <c r="B1508" s="410" t="s">
        <v>605</v>
      </c>
      <c r="C1508" s="410"/>
      <c r="D1508" s="410"/>
      <c r="E1508" s="410"/>
      <c r="F1508" s="410"/>
      <c r="G1508" s="411" t="s">
        <v>707</v>
      </c>
      <c r="H1508" s="170">
        <f>'Process (4)'!H146</f>
        <v>429</v>
      </c>
      <c r="I1508" s="412" t="s">
        <v>49</v>
      </c>
    </row>
    <row r="1509" spans="1:9" ht="18.75" customHeight="1" x14ac:dyDescent="0.25">
      <c r="A1509" s="456"/>
      <c r="B1509" s="410" t="s">
        <v>513</v>
      </c>
      <c r="C1509" s="410"/>
      <c r="D1509" s="410"/>
      <c r="E1509" s="410"/>
      <c r="F1509" s="410"/>
      <c r="G1509" s="411" t="s">
        <v>514</v>
      </c>
      <c r="H1509" s="67">
        <f>'Process (4)'!H147</f>
        <v>31.454545454545453</v>
      </c>
      <c r="I1509" s="412"/>
    </row>
    <row r="1510" spans="1:9" ht="18.75" customHeight="1" x14ac:dyDescent="0.25">
      <c r="A1510" s="456"/>
      <c r="B1510" s="410" t="s">
        <v>515</v>
      </c>
      <c r="C1510" s="410"/>
      <c r="D1510" s="410"/>
      <c r="E1510" s="410"/>
      <c r="F1510" s="410"/>
      <c r="G1510" s="411" t="s">
        <v>516</v>
      </c>
      <c r="H1510" s="170">
        <f>'Process (4)'!H149</f>
        <v>7205.8379665379643</v>
      </c>
      <c r="I1510" s="412" t="s">
        <v>115</v>
      </c>
    </row>
    <row r="1511" spans="1:9" ht="18.75" customHeight="1" x14ac:dyDescent="0.25">
      <c r="A1511" s="456"/>
      <c r="B1511" s="410"/>
      <c r="C1511" s="410"/>
      <c r="D1511" s="410"/>
      <c r="E1511" s="410"/>
      <c r="F1511" s="410"/>
      <c r="G1511" s="411" t="s">
        <v>517</v>
      </c>
      <c r="H1511" s="170">
        <f>'Process (4)'!H150</f>
        <v>10135.167748587097</v>
      </c>
      <c r="I1511" s="412" t="s">
        <v>115</v>
      </c>
    </row>
    <row r="1512" spans="1:9" ht="18.75" customHeight="1" x14ac:dyDescent="0.25">
      <c r="A1512" s="456"/>
      <c r="B1512" s="410"/>
      <c r="C1512" s="410"/>
      <c r="D1512" s="410"/>
      <c r="E1512" s="410"/>
      <c r="F1512" s="410"/>
      <c r="G1512" s="411" t="s">
        <v>518</v>
      </c>
      <c r="H1512" s="170">
        <f>'Process (4)'!H151</f>
        <v>13550.108350120303</v>
      </c>
      <c r="I1512" s="412" t="s">
        <v>115</v>
      </c>
    </row>
    <row r="1513" spans="1:9" ht="18.75" customHeight="1" x14ac:dyDescent="0.25">
      <c r="A1513" s="456"/>
      <c r="B1513" s="410" t="s">
        <v>519</v>
      </c>
      <c r="C1513" s="410"/>
      <c r="D1513" s="410"/>
      <c r="E1513" s="410"/>
      <c r="F1513" s="410"/>
      <c r="G1513" s="411" t="s">
        <v>520</v>
      </c>
      <c r="H1513" s="170">
        <f>'Process (4)'!H152</f>
        <v>7205.8379665379643</v>
      </c>
      <c r="I1513" s="412" t="s">
        <v>115</v>
      </c>
    </row>
    <row r="1514" spans="1:9" ht="18.75" customHeight="1" x14ac:dyDescent="0.25">
      <c r="A1514" s="456"/>
      <c r="B1514" s="410" t="s">
        <v>446</v>
      </c>
      <c r="C1514" s="410"/>
      <c r="D1514" s="410"/>
      <c r="E1514" s="410"/>
      <c r="F1514" s="410"/>
      <c r="G1514" s="411" t="s">
        <v>433</v>
      </c>
      <c r="H1514" s="67">
        <f>'Process (4)'!H153</f>
        <v>0.75</v>
      </c>
      <c r="I1514" s="412"/>
    </row>
    <row r="1515" spans="1:9" ht="18.75" customHeight="1" x14ac:dyDescent="0.25">
      <c r="A1515" s="456"/>
      <c r="B1515" s="410" t="s">
        <v>521</v>
      </c>
      <c r="C1515" s="410"/>
      <c r="D1515" s="410"/>
      <c r="E1515" s="410"/>
      <c r="F1515" s="410"/>
      <c r="G1515" s="411" t="s">
        <v>448</v>
      </c>
      <c r="H1515" s="170">
        <f>'Process (4)'!H154</f>
        <v>5404.378474903473</v>
      </c>
      <c r="I1515" s="412" t="s">
        <v>115</v>
      </c>
    </row>
    <row r="1516" spans="1:9" ht="18.75" customHeight="1" x14ac:dyDescent="0.25">
      <c r="A1516" s="456"/>
      <c r="B1516" s="410" t="s">
        <v>522</v>
      </c>
      <c r="C1516" s="410"/>
      <c r="D1516" s="410"/>
      <c r="E1516" s="413"/>
      <c r="F1516" s="413"/>
      <c r="G1516" s="413"/>
      <c r="H1516" s="413"/>
      <c r="I1516" s="410"/>
    </row>
    <row r="1517" spans="1:9" ht="18.75" customHeight="1" x14ac:dyDescent="0.25">
      <c r="A1517" s="456"/>
      <c r="B1517" s="410"/>
      <c r="C1517" s="410" t="s">
        <v>523</v>
      </c>
      <c r="D1517" s="212" t="s">
        <v>524</v>
      </c>
      <c r="E1517" s="435" t="s">
        <v>449</v>
      </c>
      <c r="F1517" s="212" t="s">
        <v>525</v>
      </c>
      <c r="G1517" s="410"/>
      <c r="H1517" s="413"/>
      <c r="I1517" s="413"/>
    </row>
    <row r="1518" spans="1:9" ht="18.75" customHeight="1" x14ac:dyDescent="0.25">
      <c r="A1518" s="456"/>
      <c r="B1518" s="410"/>
      <c r="C1518" s="410"/>
      <c r="D1518" s="170">
        <f>'Process (4)'!D157</f>
        <v>5404.378474903473</v>
      </c>
      <c r="E1518" s="436" t="str">
        <f>IF(D1518&lt;=F1518,"&lt;","&gt;")</f>
        <v>&gt;</v>
      </c>
      <c r="F1518" s="170">
        <f>'Process (4)'!F157</f>
        <v>1186.3415677816974</v>
      </c>
      <c r="G1518" s="437" t="s">
        <v>338</v>
      </c>
      <c r="H1518" s="562" t="str">
        <f>IF(D1518&gt;F1518,"[ OK ]","[ NOT OK ]")</f>
        <v>[ OK ]</v>
      </c>
      <c r="I1518" s="413"/>
    </row>
    <row r="1519" spans="1:9" ht="18.75" customHeight="1" x14ac:dyDescent="0.25">
      <c r="A1519" s="456"/>
      <c r="B1519" s="410"/>
      <c r="C1519" s="410"/>
      <c r="D1519" s="410"/>
      <c r="E1519" s="410"/>
      <c r="F1519" s="413"/>
      <c r="G1519" s="413"/>
      <c r="H1519" s="413"/>
      <c r="I1519" s="413"/>
    </row>
    <row r="1520" spans="1:9" ht="18.75" customHeight="1" x14ac:dyDescent="0.25">
      <c r="A1520" s="456"/>
      <c r="B1520" s="410"/>
      <c r="C1520" s="410"/>
      <c r="D1520" s="410"/>
      <c r="E1520" s="410"/>
      <c r="F1520" s="410"/>
      <c r="G1520" s="413"/>
      <c r="H1520" s="413"/>
      <c r="I1520" s="413"/>
    </row>
    <row r="1521" spans="1:9" ht="18.75" customHeight="1" x14ac:dyDescent="0.25">
      <c r="A1521" s="454" t="s">
        <v>849</v>
      </c>
      <c r="B1521" s="406" t="s">
        <v>712</v>
      </c>
      <c r="C1521" s="407"/>
      <c r="D1521" s="407"/>
      <c r="E1521" s="407"/>
      <c r="F1521" s="407"/>
      <c r="G1521" s="407"/>
      <c r="H1521" s="407"/>
      <c r="I1521" s="407"/>
    </row>
    <row r="1522" spans="1:9" ht="18.75" customHeight="1" x14ac:dyDescent="0.25">
      <c r="A1522" s="455"/>
      <c r="B1522" s="408" t="s">
        <v>704</v>
      </c>
      <c r="C1522" s="409"/>
      <c r="D1522" s="409"/>
      <c r="E1522" s="409"/>
      <c r="F1522" s="409"/>
      <c r="G1522" s="409"/>
      <c r="H1522" s="409"/>
      <c r="I1522" s="409"/>
    </row>
    <row r="1523" spans="1:9" ht="18.75" customHeight="1" x14ac:dyDescent="0.25">
      <c r="A1523" s="456"/>
      <c r="B1523" s="410" t="s">
        <v>539</v>
      </c>
      <c r="C1523" s="410"/>
      <c r="D1523" s="410"/>
      <c r="E1523" s="410"/>
      <c r="F1523" s="410"/>
      <c r="G1523" s="411" t="s">
        <v>702</v>
      </c>
      <c r="H1523" s="170">
        <f>'Process (4)'!H162</f>
        <v>161.87734059757756</v>
      </c>
      <c r="I1523" s="412" t="s">
        <v>417</v>
      </c>
    </row>
    <row r="1524" spans="1:9" ht="18.75" customHeight="1" x14ac:dyDescent="0.25">
      <c r="A1524" s="456"/>
      <c r="B1524" s="410" t="s">
        <v>541</v>
      </c>
      <c r="C1524" s="410"/>
      <c r="D1524" s="410"/>
      <c r="E1524" s="413"/>
      <c r="F1524" s="413"/>
      <c r="G1524" s="411" t="s">
        <v>243</v>
      </c>
      <c r="H1524" s="67">
        <f>'Process (4)'!H163</f>
        <v>17300</v>
      </c>
      <c r="I1524" s="412" t="s">
        <v>49</v>
      </c>
    </row>
    <row r="1525" spans="1:9" ht="18.75" customHeight="1" x14ac:dyDescent="0.25">
      <c r="A1525" s="456"/>
      <c r="B1525" s="410" t="s">
        <v>253</v>
      </c>
      <c r="C1525" s="410"/>
      <c r="D1525" s="410"/>
      <c r="E1525" s="413"/>
      <c r="F1525" s="413"/>
      <c r="G1525" s="411" t="s">
        <v>713</v>
      </c>
      <c r="H1525" s="67">
        <f>'Process (4)'!H164</f>
        <v>350</v>
      </c>
      <c r="I1525" s="412" t="s">
        <v>49</v>
      </c>
    </row>
    <row r="1526" spans="1:9" ht="18.75" customHeight="1" x14ac:dyDescent="0.25">
      <c r="A1526" s="456"/>
      <c r="B1526" s="410" t="s">
        <v>542</v>
      </c>
      <c r="C1526" s="410"/>
      <c r="D1526" s="410"/>
      <c r="E1526" s="413"/>
      <c r="F1526" s="413"/>
      <c r="G1526" s="411" t="s">
        <v>482</v>
      </c>
      <c r="H1526" s="209">
        <f>'Process (4)'!H165</f>
        <v>116.5</v>
      </c>
      <c r="I1526" s="412" t="s">
        <v>49</v>
      </c>
    </row>
    <row r="1527" spans="1:9" ht="18.75" customHeight="1" x14ac:dyDescent="0.25">
      <c r="A1527" s="456"/>
      <c r="B1527" s="410" t="s">
        <v>543</v>
      </c>
      <c r="C1527" s="410"/>
      <c r="D1527" s="410"/>
      <c r="E1527" s="413"/>
      <c r="F1527" s="413"/>
      <c r="G1527" s="411" t="s">
        <v>484</v>
      </c>
      <c r="H1527" s="209">
        <f>'Process (4)'!H166</f>
        <v>233.5</v>
      </c>
      <c r="I1527" s="412" t="s">
        <v>49</v>
      </c>
    </row>
    <row r="1528" spans="1:9" ht="18.75" customHeight="1" x14ac:dyDescent="0.25">
      <c r="A1528" s="456"/>
      <c r="B1528" s="410" t="s">
        <v>544</v>
      </c>
      <c r="C1528" s="410"/>
      <c r="D1528" s="410"/>
      <c r="E1528" s="413"/>
      <c r="F1528" s="413"/>
      <c r="G1528" s="414" t="s">
        <v>545</v>
      </c>
      <c r="H1528" s="209">
        <f>'Process (4)'!H167</f>
        <v>30</v>
      </c>
      <c r="I1528" s="412" t="s">
        <v>7</v>
      </c>
    </row>
    <row r="1529" spans="1:9" ht="18.75" customHeight="1" x14ac:dyDescent="0.25">
      <c r="A1529" s="456"/>
      <c r="B1529" s="410" t="s">
        <v>546</v>
      </c>
      <c r="C1529" s="410"/>
      <c r="D1529" s="410"/>
      <c r="E1529" s="413"/>
      <c r="F1529" s="413"/>
      <c r="G1529" s="411" t="s">
        <v>447</v>
      </c>
      <c r="H1529" s="209">
        <f>'Process (4)'!H168</f>
        <v>400</v>
      </c>
      <c r="I1529" s="412" t="s">
        <v>7</v>
      </c>
    </row>
    <row r="1530" spans="1:9" ht="18.75" customHeight="1" x14ac:dyDescent="0.25">
      <c r="A1530" s="456"/>
      <c r="B1530" s="415" t="s">
        <v>9</v>
      </c>
      <c r="C1530" s="410"/>
      <c r="D1530" s="410"/>
      <c r="E1530" s="413"/>
      <c r="F1530" s="413"/>
      <c r="G1530" s="411" t="s">
        <v>547</v>
      </c>
      <c r="H1530" s="221">
        <f>'Process (4)'!H169</f>
        <v>200000</v>
      </c>
      <c r="I1530" s="412" t="s">
        <v>7</v>
      </c>
    </row>
    <row r="1531" spans="1:9" ht="18.75" customHeight="1" x14ac:dyDescent="0.25">
      <c r="A1531" s="457"/>
      <c r="B1531" s="416" t="s">
        <v>548</v>
      </c>
      <c r="C1531" s="416"/>
      <c r="D1531" s="416"/>
      <c r="E1531" s="416"/>
      <c r="F1531" s="416"/>
      <c r="G1531" s="417" t="s">
        <v>549</v>
      </c>
      <c r="H1531" s="153" t="str">
        <f>'Process (4)'!H170</f>
        <v>-</v>
      </c>
      <c r="I1531" s="418"/>
    </row>
    <row r="1532" spans="1:9" ht="18.75" customHeight="1" x14ac:dyDescent="0.25">
      <c r="A1532" s="457"/>
      <c r="B1532" s="416" t="s">
        <v>550</v>
      </c>
      <c r="C1532" s="416"/>
      <c r="D1532" s="416"/>
      <c r="E1532" s="416"/>
      <c r="F1532" s="416"/>
      <c r="G1532" s="417" t="s">
        <v>551</v>
      </c>
      <c r="H1532" s="154">
        <f>'Process (4)'!H171</f>
        <v>0.83571428571428574</v>
      </c>
      <c r="I1532" s="418"/>
    </row>
    <row r="1533" spans="1:9" ht="18.75" customHeight="1" x14ac:dyDescent="0.25">
      <c r="A1533" s="457"/>
      <c r="B1533" s="416" t="s">
        <v>552</v>
      </c>
      <c r="C1533" s="416"/>
      <c r="D1533" s="416"/>
      <c r="E1533" s="416"/>
      <c r="F1533" s="416"/>
      <c r="G1533" s="417" t="s">
        <v>549</v>
      </c>
      <c r="H1533" s="154" t="str">
        <f>'Process (4)'!H172</f>
        <v>-</v>
      </c>
      <c r="I1533" s="418"/>
    </row>
    <row r="1534" spans="1:9" ht="18.75" customHeight="1" x14ac:dyDescent="0.25">
      <c r="A1534" s="457"/>
      <c r="B1534" s="416" t="s">
        <v>427</v>
      </c>
      <c r="C1534" s="416"/>
      <c r="D1534" s="416"/>
      <c r="E1534" s="416"/>
      <c r="F1534" s="419" t="s">
        <v>338</v>
      </c>
      <c r="G1534" s="417" t="s">
        <v>549</v>
      </c>
      <c r="H1534" s="154">
        <f>'Process (4)'!H173</f>
        <v>0.83571428571428574</v>
      </c>
      <c r="I1534" s="418"/>
    </row>
    <row r="1535" spans="1:9" ht="18.75" customHeight="1" x14ac:dyDescent="0.25">
      <c r="A1535" s="457"/>
      <c r="B1535" s="416" t="s">
        <v>428</v>
      </c>
      <c r="C1535" s="416"/>
      <c r="D1535" s="416"/>
      <c r="E1535" s="416"/>
      <c r="F1535" s="419"/>
      <c r="G1535" s="417"/>
      <c r="H1535" s="420"/>
      <c r="I1535" s="418"/>
    </row>
    <row r="1536" spans="1:9" ht="18.75" customHeight="1" x14ac:dyDescent="0.25">
      <c r="A1536" s="457"/>
      <c r="B1536" s="416"/>
      <c r="C1536" s="421"/>
      <c r="D1536" s="416"/>
      <c r="E1536" s="416"/>
      <c r="F1536" s="416"/>
      <c r="G1536" s="417" t="s">
        <v>429</v>
      </c>
      <c r="H1536" s="224">
        <f>'Process (4)'!H175</f>
        <v>3.1966071428571427E-2</v>
      </c>
      <c r="I1536" s="418"/>
    </row>
    <row r="1537" spans="1:9" ht="18.75" customHeight="1" x14ac:dyDescent="0.25">
      <c r="A1537" s="457"/>
      <c r="B1537" s="416" t="s">
        <v>430</v>
      </c>
      <c r="C1537" s="416"/>
      <c r="D1537" s="422"/>
      <c r="E1537" s="420"/>
      <c r="F1537" s="423"/>
      <c r="G1537" s="417" t="s">
        <v>431</v>
      </c>
      <c r="H1537" s="224">
        <f>'Process (4)'!H176</f>
        <v>2.397455357142857E-2</v>
      </c>
      <c r="I1537" s="418"/>
    </row>
    <row r="1538" spans="1:9" ht="18.75" customHeight="1" x14ac:dyDescent="0.25">
      <c r="A1538" s="457"/>
      <c r="B1538" s="416" t="s">
        <v>432</v>
      </c>
      <c r="C1538" s="416"/>
      <c r="D1538" s="416"/>
      <c r="E1538" s="423"/>
      <c r="F1538" s="416"/>
      <c r="G1538" s="411" t="s">
        <v>594</v>
      </c>
      <c r="H1538" s="224">
        <f>'Process (4)'!H177</f>
        <v>2E-3</v>
      </c>
      <c r="I1538" s="418"/>
    </row>
    <row r="1539" spans="1:9" ht="18.75" customHeight="1" x14ac:dyDescent="0.25">
      <c r="A1539" s="457"/>
      <c r="B1539" s="416"/>
      <c r="C1539" s="416"/>
      <c r="D1539" s="416"/>
      <c r="E1539" s="416"/>
      <c r="F1539" s="416"/>
      <c r="G1539" s="417"/>
      <c r="H1539" s="225"/>
      <c r="I1539" s="418"/>
    </row>
    <row r="1540" spans="1:9" ht="18.75" customHeight="1" x14ac:dyDescent="0.25">
      <c r="A1540" s="457"/>
      <c r="B1540" s="416" t="s">
        <v>553</v>
      </c>
      <c r="C1540" s="416"/>
      <c r="D1540" s="416"/>
      <c r="E1540" s="416"/>
      <c r="F1540" s="417"/>
      <c r="G1540" s="417" t="s">
        <v>554</v>
      </c>
      <c r="H1540" s="155">
        <f>'Process (4)'!H179</f>
        <v>0.85</v>
      </c>
      <c r="I1540" s="418"/>
    </row>
    <row r="1541" spans="1:9" ht="18.75" customHeight="1" x14ac:dyDescent="0.25">
      <c r="A1541" s="457"/>
      <c r="B1541" s="416" t="s">
        <v>555</v>
      </c>
      <c r="C1541" s="416"/>
      <c r="D1541" s="416"/>
      <c r="E1541" s="416"/>
      <c r="F1541" s="417"/>
      <c r="G1541" s="417" t="s">
        <v>556</v>
      </c>
      <c r="H1541" s="154">
        <f>'Process (4)'!H180</f>
        <v>190.44393011479713</v>
      </c>
      <c r="I1541" s="418" t="s">
        <v>145</v>
      </c>
    </row>
    <row r="1542" spans="1:9" ht="18.75" customHeight="1" x14ac:dyDescent="0.25">
      <c r="A1542" s="457"/>
      <c r="B1542" s="416" t="s">
        <v>557</v>
      </c>
      <c r="C1542" s="421"/>
      <c r="D1542" s="416"/>
      <c r="E1542" s="416"/>
      <c r="F1542" s="416"/>
      <c r="G1542" s="424" t="s">
        <v>558</v>
      </c>
      <c r="H1542" s="154">
        <f>'Process (4)'!H181</f>
        <v>0.20190508755260214</v>
      </c>
      <c r="I1542" s="354"/>
    </row>
    <row r="1543" spans="1:9" ht="18.75" customHeight="1" x14ac:dyDescent="0.25">
      <c r="A1543" s="457"/>
      <c r="B1543" s="416" t="s">
        <v>559</v>
      </c>
      <c r="C1543" s="416"/>
      <c r="D1543" s="416"/>
      <c r="E1543" s="416"/>
      <c r="F1543" s="416"/>
      <c r="I1543" s="355"/>
    </row>
    <row r="1544" spans="1:9" ht="18.75" customHeight="1" x14ac:dyDescent="0.25">
      <c r="A1544" s="457"/>
      <c r="B1544" s="416"/>
      <c r="C1544" s="416"/>
      <c r="D1544" s="416"/>
      <c r="E1544" s="416"/>
      <c r="F1544" s="416"/>
      <c r="G1544" s="417" t="s">
        <v>560</v>
      </c>
      <c r="H1544" s="154">
        <f>'Process (4)'!H182</f>
        <v>15.686274509803921</v>
      </c>
      <c r="I1544" s="355"/>
    </row>
    <row r="1545" spans="1:9" ht="18.75" customHeight="1" x14ac:dyDescent="0.25">
      <c r="A1545" s="457"/>
      <c r="B1545" s="416" t="s">
        <v>561</v>
      </c>
      <c r="C1545" s="421"/>
      <c r="D1545" s="416"/>
      <c r="E1545" s="416"/>
      <c r="F1545" s="416"/>
      <c r="G1545" s="424" t="s">
        <v>562</v>
      </c>
      <c r="H1545" s="224">
        <f>'Process (4)'!H183</f>
        <v>5.0677701648493628E-4</v>
      </c>
      <c r="I1545" s="354"/>
    </row>
    <row r="1546" spans="1:9" ht="18.75" customHeight="1" x14ac:dyDescent="0.25">
      <c r="A1546" s="457"/>
      <c r="B1546" s="416"/>
      <c r="C1546" s="421"/>
      <c r="D1546" s="416"/>
      <c r="E1546" s="416"/>
      <c r="F1546" s="416"/>
      <c r="G1546" s="424"/>
      <c r="H1546" s="425"/>
      <c r="I1546" s="487"/>
    </row>
    <row r="1547" spans="1:9" ht="18.75" customHeight="1" x14ac:dyDescent="0.25">
      <c r="A1547" s="457"/>
      <c r="B1547" s="416" t="s">
        <v>434</v>
      </c>
      <c r="C1547" s="416"/>
      <c r="D1547" s="416"/>
      <c r="E1547" s="416"/>
      <c r="F1547" s="416"/>
      <c r="G1547" s="425"/>
      <c r="H1547" s="418"/>
      <c r="I1547" s="426"/>
    </row>
    <row r="1548" spans="1:9" ht="18.75" customHeight="1" x14ac:dyDescent="0.25">
      <c r="A1548" s="457"/>
      <c r="B1548" s="416"/>
      <c r="C1548" s="416" t="s">
        <v>334</v>
      </c>
      <c r="D1548" s="420" t="s">
        <v>435</v>
      </c>
      <c r="E1548" s="420" t="s">
        <v>436</v>
      </c>
      <c r="F1548" s="420" t="s">
        <v>437</v>
      </c>
      <c r="G1548" s="417"/>
      <c r="H1548" s="425"/>
      <c r="I1548" s="416"/>
    </row>
    <row r="1549" spans="1:9" ht="18.75" customHeight="1" x14ac:dyDescent="0.25">
      <c r="A1549" s="457"/>
      <c r="B1549" s="416"/>
      <c r="C1549" s="416"/>
      <c r="D1549" s="425">
        <f>'Process (4)'!D186</f>
        <v>2E-3</v>
      </c>
      <c r="E1549" s="425">
        <f>'Process (4)'!E186</f>
        <v>5.0677701648493628E-4</v>
      </c>
      <c r="F1549" s="425">
        <f>'Process (4)'!F186</f>
        <v>2.397455357142857E-2</v>
      </c>
      <c r="G1549" s="419" t="s">
        <v>338</v>
      </c>
      <c r="H1549" s="427" t="str">
        <f>IF(D1549&lt;E1549,(IF(E1549&lt;F1549,"[ OK ]","[ NOT OK ]")),"[ Pakai ρmin ]")</f>
        <v>[ Pakai ρmin ]</v>
      </c>
      <c r="I1549" s="416"/>
    </row>
    <row r="1550" spans="1:9" ht="18.75" customHeight="1" x14ac:dyDescent="0.25">
      <c r="A1550" s="457"/>
      <c r="B1550" s="416"/>
      <c r="C1550" s="416"/>
      <c r="D1550" s="416"/>
      <c r="E1550" s="416"/>
      <c r="F1550" s="416"/>
      <c r="G1550" s="417"/>
      <c r="H1550" s="420"/>
      <c r="I1550" s="426"/>
    </row>
    <row r="1551" spans="1:9" ht="18.75" customHeight="1" x14ac:dyDescent="0.25">
      <c r="A1551" s="457"/>
      <c r="B1551" s="416" t="s">
        <v>563</v>
      </c>
      <c r="C1551" s="416"/>
      <c r="D1551" s="416"/>
      <c r="E1551" s="416"/>
      <c r="F1551" s="416"/>
      <c r="G1551" s="417" t="s">
        <v>564</v>
      </c>
      <c r="H1551" s="224">
        <f>'Process (4)'!H188</f>
        <v>2E-3</v>
      </c>
      <c r="I1551" s="355"/>
    </row>
    <row r="1552" spans="1:9" ht="18.75" customHeight="1" x14ac:dyDescent="0.25">
      <c r="A1552" s="457"/>
      <c r="B1552" s="416"/>
      <c r="C1552" s="416"/>
      <c r="D1552" s="425"/>
      <c r="E1552" s="425"/>
      <c r="F1552" s="425"/>
      <c r="G1552" s="427"/>
      <c r="H1552" s="418"/>
      <c r="I1552" s="426"/>
    </row>
    <row r="1553" spans="1:9" ht="18.75" customHeight="1" x14ac:dyDescent="0.25">
      <c r="A1553" s="457"/>
      <c r="B1553" s="416" t="s">
        <v>438</v>
      </c>
      <c r="C1553" s="416"/>
      <c r="D1553" s="416"/>
      <c r="E1553" s="416"/>
      <c r="F1553" s="416"/>
      <c r="G1553" s="417" t="s">
        <v>565</v>
      </c>
      <c r="H1553" s="231">
        <f>'Process (4)'!H190</f>
        <v>8079.1</v>
      </c>
      <c r="I1553" s="418" t="s">
        <v>439</v>
      </c>
    </row>
    <row r="1554" spans="1:9" ht="18.75" customHeight="1" x14ac:dyDescent="0.25">
      <c r="A1554" s="457"/>
      <c r="B1554" s="416" t="s">
        <v>440</v>
      </c>
      <c r="C1554" s="416"/>
      <c r="D1554" s="416"/>
      <c r="E1554" s="416"/>
      <c r="F1554" s="416"/>
      <c r="G1554" s="417" t="s">
        <v>566</v>
      </c>
      <c r="H1554" s="157">
        <f>'Process (4)'!H191</f>
        <v>284.22331823162472</v>
      </c>
      <c r="I1554" s="418" t="s">
        <v>49</v>
      </c>
    </row>
    <row r="1555" spans="1:9" ht="18.75" customHeight="1" x14ac:dyDescent="0.25">
      <c r="A1555" s="457"/>
      <c r="B1555" s="416" t="s">
        <v>441</v>
      </c>
      <c r="C1555" s="416"/>
      <c r="D1555" s="416"/>
      <c r="E1555" s="416"/>
      <c r="F1555" s="416"/>
      <c r="G1555" s="417" t="s">
        <v>567</v>
      </c>
      <c r="H1555" s="157">
        <f>'Process (4)'!H192</f>
        <v>1050</v>
      </c>
      <c r="I1555" s="418" t="s">
        <v>49</v>
      </c>
    </row>
    <row r="1556" spans="1:9" ht="18.75" customHeight="1" x14ac:dyDescent="0.25">
      <c r="A1556" s="457"/>
      <c r="B1556" s="416" t="s">
        <v>441</v>
      </c>
      <c r="C1556" s="416"/>
      <c r="D1556" s="416"/>
      <c r="E1556" s="416"/>
      <c r="F1556" s="416"/>
      <c r="G1556" s="417" t="s">
        <v>442</v>
      </c>
      <c r="H1556" s="157">
        <f>'Process (4)'!H193</f>
        <v>450</v>
      </c>
      <c r="I1556" s="418" t="s">
        <v>49</v>
      </c>
    </row>
    <row r="1557" spans="1:9" ht="18.75" customHeight="1" x14ac:dyDescent="0.25">
      <c r="A1557" s="457"/>
      <c r="B1557" s="416" t="s">
        <v>443</v>
      </c>
      <c r="C1557" s="416"/>
      <c r="D1557" s="416"/>
      <c r="E1557" s="416"/>
      <c r="F1557" s="416"/>
      <c r="G1557" s="417" t="s">
        <v>245</v>
      </c>
      <c r="H1557" s="157">
        <f>'Process (4)'!H194</f>
        <v>284.22331823162472</v>
      </c>
      <c r="I1557" s="418" t="s">
        <v>49</v>
      </c>
    </row>
    <row r="1558" spans="1:9" ht="18.75" customHeight="1" x14ac:dyDescent="0.25">
      <c r="A1558" s="457"/>
      <c r="B1558" s="416" t="s">
        <v>444</v>
      </c>
      <c r="C1558" s="416"/>
      <c r="D1558" s="416"/>
      <c r="E1558" s="416"/>
      <c r="F1558" s="416"/>
      <c r="G1558" s="417" t="s">
        <v>245</v>
      </c>
      <c r="H1558" s="232">
        <f>'Process (4)'!H195</f>
        <v>275</v>
      </c>
      <c r="I1558" s="418" t="s">
        <v>49</v>
      </c>
    </row>
    <row r="1559" spans="1:9" ht="18.75" customHeight="1" x14ac:dyDescent="0.25">
      <c r="A1559" s="457"/>
      <c r="B1559" s="416" t="s">
        <v>445</v>
      </c>
      <c r="C1559" s="416"/>
      <c r="D1559" s="416"/>
      <c r="E1559" s="416"/>
      <c r="F1559" s="416"/>
      <c r="G1559" s="233">
        <f>'Process (4)'!G196</f>
        <v>13</v>
      </c>
      <c r="H1559" s="234">
        <f>'Process (4)'!H196</f>
        <v>275</v>
      </c>
      <c r="I1559" s="418"/>
    </row>
    <row r="1560" spans="1:9" ht="18.75" customHeight="1" x14ac:dyDescent="0.25">
      <c r="A1560" s="457"/>
      <c r="B1560" s="416" t="s">
        <v>568</v>
      </c>
      <c r="C1560" s="416"/>
      <c r="D1560" s="416"/>
      <c r="E1560" s="416"/>
      <c r="F1560" s="416"/>
      <c r="G1560" s="417" t="s">
        <v>569</v>
      </c>
      <c r="H1560" s="235">
        <f>'Process (4)'!H197</f>
        <v>8350.0676739095252</v>
      </c>
      <c r="I1560" s="418" t="s">
        <v>439</v>
      </c>
    </row>
    <row r="1561" spans="1:9" ht="18.75" customHeight="1" x14ac:dyDescent="0.25">
      <c r="A1561" s="457"/>
      <c r="B1561" s="416"/>
      <c r="C1561" s="416"/>
      <c r="D1561" s="416"/>
      <c r="E1561" s="416"/>
      <c r="F1561" s="416"/>
      <c r="G1561" s="416"/>
      <c r="H1561" s="416"/>
      <c r="I1561" s="418"/>
    </row>
    <row r="1562" spans="1:9" ht="18.75" customHeight="1" x14ac:dyDescent="0.25">
      <c r="A1562" s="457"/>
      <c r="B1562" s="416" t="s">
        <v>570</v>
      </c>
      <c r="C1562" s="416"/>
      <c r="D1562" s="416"/>
      <c r="E1562" s="416"/>
      <c r="F1562" s="416"/>
      <c r="G1562" s="417" t="s">
        <v>571</v>
      </c>
      <c r="H1562" s="154">
        <f>'Process (4)'!H199</f>
        <v>3340.0270695638101</v>
      </c>
      <c r="I1562" s="428" t="s">
        <v>115</v>
      </c>
    </row>
    <row r="1563" spans="1:9" ht="18.75" customHeight="1" x14ac:dyDescent="0.25">
      <c r="A1563" s="457"/>
      <c r="B1563" s="416" t="s">
        <v>572</v>
      </c>
      <c r="C1563" s="416"/>
      <c r="D1563" s="416"/>
      <c r="E1563" s="416"/>
      <c r="F1563" s="420"/>
      <c r="G1563" s="417" t="s">
        <v>573</v>
      </c>
      <c r="H1563" s="237">
        <f>'Process (4)'!H200</f>
        <v>368.67535714285714</v>
      </c>
      <c r="I1563" s="418" t="s">
        <v>115</v>
      </c>
    </row>
    <row r="1564" spans="1:9" ht="18.75" customHeight="1" x14ac:dyDescent="0.25">
      <c r="A1564" s="457"/>
      <c r="B1564" s="423"/>
      <c r="C1564" s="421"/>
      <c r="D1564" s="420"/>
      <c r="E1564" s="416"/>
      <c r="F1564" s="429"/>
      <c r="G1564" s="416"/>
      <c r="H1564" s="416"/>
      <c r="I1564" s="416"/>
    </row>
    <row r="1565" spans="1:9" ht="18.75" customHeight="1" x14ac:dyDescent="0.25">
      <c r="A1565" s="457"/>
      <c r="B1565" s="423" t="s">
        <v>574</v>
      </c>
      <c r="C1565" s="416"/>
      <c r="D1565" s="416"/>
      <c r="E1565" s="416"/>
      <c r="F1565" s="416"/>
      <c r="G1565" s="417" t="s">
        <v>575</v>
      </c>
      <c r="H1565" s="423" t="s">
        <v>576</v>
      </c>
      <c r="I1565" s="416"/>
    </row>
    <row r="1566" spans="1:9" ht="18.75" customHeight="1" x14ac:dyDescent="0.25">
      <c r="A1566" s="457"/>
      <c r="B1566" s="423"/>
      <c r="C1566" s="416"/>
      <c r="D1566" s="416"/>
      <c r="E1566" s="416"/>
      <c r="F1566" s="416"/>
      <c r="G1566" s="430">
        <f>'Process (4)'!G203</f>
        <v>368.67535714285714</v>
      </c>
      <c r="H1566" s="431">
        <f>'Process (4)'!H203</f>
        <v>3340.0270695638101</v>
      </c>
      <c r="I1566" s="416"/>
    </row>
    <row r="1567" spans="1:9" ht="18.75" customHeight="1" x14ac:dyDescent="0.25">
      <c r="A1567" s="457"/>
      <c r="B1567" s="416"/>
      <c r="C1567" s="416"/>
      <c r="D1567" s="416"/>
      <c r="E1567" s="416"/>
      <c r="F1567" s="416"/>
      <c r="G1567" s="417"/>
      <c r="H1567" s="431"/>
      <c r="I1567" s="428"/>
    </row>
    <row r="1568" spans="1:9" ht="18.75" customHeight="1" x14ac:dyDescent="0.25">
      <c r="A1568" s="457"/>
      <c r="B1568" s="423" t="s">
        <v>577</v>
      </c>
      <c r="C1568" s="416"/>
      <c r="D1568" s="417"/>
      <c r="E1568" s="416"/>
      <c r="F1568" s="420"/>
      <c r="G1568" s="417" t="s">
        <v>578</v>
      </c>
      <c r="H1568" s="155">
        <f>'Process (4)'!H205</f>
        <v>9.0595343704233287</v>
      </c>
      <c r="I1568" s="428" t="s">
        <v>49</v>
      </c>
    </row>
    <row r="1569" spans="1:9" ht="18.75" customHeight="1" x14ac:dyDescent="0.25">
      <c r="A1569" s="457"/>
      <c r="B1569" s="416" t="s">
        <v>572</v>
      </c>
      <c r="C1569" s="417"/>
      <c r="D1569" s="420"/>
      <c r="E1569" s="416"/>
      <c r="F1569" s="420"/>
      <c r="G1569" s="417" t="s">
        <v>579</v>
      </c>
      <c r="H1569" s="154">
        <f>'Process (4)'!H206</f>
        <v>3340.0270695638101</v>
      </c>
      <c r="I1569" s="428" t="s">
        <v>115</v>
      </c>
    </row>
    <row r="1570" spans="1:9" ht="18.75" customHeight="1" x14ac:dyDescent="0.25">
      <c r="A1570" s="457"/>
      <c r="B1570" s="416" t="s">
        <v>570</v>
      </c>
      <c r="C1570" s="417"/>
      <c r="D1570" s="420"/>
      <c r="E1570" s="416"/>
      <c r="F1570" s="420"/>
      <c r="G1570" s="417" t="s">
        <v>580</v>
      </c>
      <c r="H1570" s="154">
        <f>'Process (4)'!H207</f>
        <v>3340.0270695638101</v>
      </c>
      <c r="I1570" s="428" t="s">
        <v>115</v>
      </c>
    </row>
    <row r="1571" spans="1:9" ht="18.75" customHeight="1" x14ac:dyDescent="0.25">
      <c r="A1571" s="457"/>
      <c r="B1571" s="423"/>
      <c r="C1571" s="416"/>
      <c r="D1571" s="416"/>
      <c r="E1571" s="416"/>
      <c r="F1571" s="416"/>
      <c r="G1571" s="420"/>
      <c r="H1571" s="418"/>
      <c r="I1571" s="426"/>
    </row>
    <row r="1572" spans="1:9" ht="18.75" customHeight="1" x14ac:dyDescent="0.25">
      <c r="A1572" s="457"/>
      <c r="B1572" s="423" t="s">
        <v>581</v>
      </c>
      <c r="C1572" s="416"/>
      <c r="D1572" s="416"/>
      <c r="E1572" s="416"/>
      <c r="F1572" s="416"/>
      <c r="G1572" s="420"/>
      <c r="H1572" s="418"/>
      <c r="I1572" s="426"/>
    </row>
    <row r="1573" spans="1:9" ht="18.75" customHeight="1" x14ac:dyDescent="0.25">
      <c r="A1573" s="457"/>
      <c r="B1573" s="416"/>
      <c r="C1573" s="423" t="s">
        <v>582</v>
      </c>
      <c r="D1573" s="416"/>
      <c r="E1573" s="417"/>
      <c r="F1573" s="420"/>
      <c r="G1573" s="418"/>
      <c r="H1573" s="416"/>
      <c r="I1573" s="416"/>
    </row>
    <row r="1574" spans="1:9" ht="18.75" customHeight="1" x14ac:dyDescent="0.25">
      <c r="A1574" s="457"/>
      <c r="B1574" s="423"/>
      <c r="C1574" s="416"/>
      <c r="D1574" s="420" t="s">
        <v>583</v>
      </c>
      <c r="E1574" s="416"/>
      <c r="F1574" s="416" t="s">
        <v>584</v>
      </c>
      <c r="G1574" s="417"/>
      <c r="H1574" s="420"/>
      <c r="I1574" s="416"/>
    </row>
    <row r="1575" spans="1:9" ht="18.75" customHeight="1" x14ac:dyDescent="0.25">
      <c r="A1575" s="457"/>
      <c r="B1575" s="416"/>
      <c r="C1575" s="416"/>
      <c r="D1575" s="425">
        <f>'Process (4)'!D212</f>
        <v>7.4321854673560617E-2</v>
      </c>
      <c r="E1575" s="420" t="str">
        <f>IF(D1575&lt;F1575,"&lt;","&gt;")</f>
        <v>&gt;</v>
      </c>
      <c r="F1575" s="420">
        <f>'Process (4)'!F212</f>
        <v>2E-3</v>
      </c>
      <c r="G1575" s="416"/>
      <c r="H1575" s="416"/>
      <c r="I1575" s="416"/>
    </row>
    <row r="1576" spans="1:9" ht="18.75" customHeight="1" x14ac:dyDescent="0.25">
      <c r="A1576" s="457"/>
      <c r="B1576" s="423" t="s">
        <v>585</v>
      </c>
      <c r="C1576" s="416"/>
      <c r="D1576" s="416"/>
      <c r="E1576" s="416"/>
      <c r="F1576" s="416"/>
      <c r="G1576" s="419" t="s">
        <v>338</v>
      </c>
      <c r="H1576" s="432" t="str">
        <f>IF(D1575&lt;=F1575,"Tekanan Terkontrol",IF(D1575&lt;0.005,"Transisi",IF(D1575&gt;0.005,"Tegangan Terkontrol","EROR")))</f>
        <v>Tegangan Terkontrol</v>
      </c>
      <c r="I1576" s="418"/>
    </row>
    <row r="1577" spans="1:9" ht="18.75" customHeight="1" x14ac:dyDescent="0.25">
      <c r="A1577" s="457"/>
      <c r="B1577" s="423"/>
      <c r="C1577" s="416"/>
      <c r="D1577" s="416"/>
      <c r="E1577" s="416"/>
      <c r="F1577" s="416"/>
      <c r="G1577" s="419"/>
      <c r="H1577" s="432"/>
      <c r="I1577" s="418"/>
    </row>
    <row r="1578" spans="1:9" ht="18.75" customHeight="1" x14ac:dyDescent="0.25">
      <c r="A1578" s="457"/>
      <c r="B1578" s="423" t="s">
        <v>586</v>
      </c>
      <c r="C1578" s="416"/>
      <c r="D1578" s="416"/>
      <c r="E1578" s="416"/>
      <c r="F1578" s="416"/>
      <c r="G1578" s="417" t="str">
        <f>IF(D1575&lt;=F1575,"φ =",IF(D1575&lt;0.005,"φ = 0,65 + 0,25 * (εs' - εs-yield)/(0,005 - εs-yield) =",IF(D1575&gt;0.005,"φ =","EROR")))</f>
        <v>φ =</v>
      </c>
      <c r="H1578" s="155">
        <f>'Process (4)'!H215</f>
        <v>0.9</v>
      </c>
      <c r="I1578" s="418"/>
    </row>
    <row r="1579" spans="1:9" ht="18.75" customHeight="1" x14ac:dyDescent="0.25">
      <c r="A1579" s="457"/>
      <c r="B1579" s="423" t="s">
        <v>587</v>
      </c>
      <c r="C1579" s="416"/>
      <c r="D1579" s="416"/>
      <c r="E1579" s="416"/>
      <c r="F1579" s="416"/>
      <c r="G1579" s="417" t="s">
        <v>588</v>
      </c>
      <c r="H1579" s="154">
        <f>'Process (4)'!H216</f>
        <v>767.25234383572695</v>
      </c>
      <c r="I1579" s="418" t="s">
        <v>145</v>
      </c>
    </row>
    <row r="1580" spans="1:9" ht="18.75" customHeight="1" x14ac:dyDescent="0.25">
      <c r="A1580" s="457"/>
      <c r="B1580" s="423"/>
      <c r="C1580" s="416"/>
      <c r="D1580" s="416"/>
      <c r="E1580" s="416"/>
      <c r="F1580" s="416"/>
      <c r="G1580" s="417"/>
      <c r="H1580" s="431"/>
      <c r="I1580" s="418"/>
    </row>
    <row r="1581" spans="1:9" ht="18.75" customHeight="1" x14ac:dyDescent="0.25">
      <c r="A1581" s="457"/>
      <c r="B1581" s="416"/>
      <c r="C1581" s="416" t="s">
        <v>334</v>
      </c>
      <c r="D1581" s="242" t="s">
        <v>589</v>
      </c>
      <c r="E1581" s="420" t="s">
        <v>449</v>
      </c>
      <c r="F1581" s="242" t="s">
        <v>590</v>
      </c>
      <c r="G1581" s="416"/>
      <c r="H1581" s="416"/>
      <c r="I1581" s="416"/>
    </row>
    <row r="1582" spans="1:9" ht="18.75" customHeight="1" x14ac:dyDescent="0.25">
      <c r="A1582" s="457"/>
      <c r="B1582" s="416"/>
      <c r="C1582" s="416"/>
      <c r="D1582" s="154">
        <f>'Process (4)'!D219</f>
        <v>690.52710945215426</v>
      </c>
      <c r="E1582" s="420" t="str">
        <f>IF(D1582&gt;F1582,"&gt;","&lt;")</f>
        <v>&gt;</v>
      </c>
      <c r="F1582" s="154">
        <f>'Process (4)'!F219</f>
        <v>161.87734059757756</v>
      </c>
      <c r="G1582" s="419" t="s">
        <v>338</v>
      </c>
      <c r="H1582" s="427" t="str">
        <f>IF(D1582&gt;=F1582,"[ OK ]","[ NOT OK ]")</f>
        <v>[ OK ]</v>
      </c>
      <c r="I1582" s="416"/>
    </row>
    <row r="1583" spans="1:9" ht="18.75" customHeight="1" x14ac:dyDescent="0.25">
      <c r="A1583" s="456"/>
      <c r="B1583" s="433"/>
      <c r="C1583" s="410"/>
      <c r="D1583" s="410"/>
      <c r="E1583" s="413"/>
      <c r="F1583" s="413"/>
      <c r="G1583" s="413"/>
      <c r="H1583" s="410"/>
      <c r="I1583" s="410"/>
    </row>
    <row r="1584" spans="1:9" ht="18.75" customHeight="1" x14ac:dyDescent="0.25">
      <c r="A1584" s="455"/>
      <c r="B1584" s="408" t="s">
        <v>705</v>
      </c>
      <c r="C1584" s="409"/>
      <c r="D1584" s="409"/>
      <c r="E1584" s="409"/>
      <c r="F1584" s="409"/>
      <c r="G1584" s="409"/>
      <c r="H1584" s="409"/>
      <c r="I1584" s="409"/>
    </row>
    <row r="1585" spans="1:9" ht="18.75" customHeight="1" x14ac:dyDescent="0.25">
      <c r="A1585" s="456"/>
      <c r="B1585" s="410" t="s">
        <v>494</v>
      </c>
      <c r="C1585" s="410"/>
      <c r="D1585" s="410"/>
      <c r="E1585" s="410"/>
      <c r="F1585" s="413"/>
      <c r="G1585" s="411" t="s">
        <v>706</v>
      </c>
      <c r="H1585" s="170">
        <f>'Process (4)'!H222</f>
        <v>369.51287863194693</v>
      </c>
      <c r="I1585" s="412" t="s">
        <v>487</v>
      </c>
    </row>
    <row r="1586" spans="1:9" ht="18.75" customHeight="1" x14ac:dyDescent="0.25">
      <c r="A1586" s="456"/>
      <c r="B1586" s="410" t="s">
        <v>512</v>
      </c>
      <c r="C1586" s="410"/>
      <c r="D1586" s="410"/>
      <c r="E1586" s="410"/>
      <c r="F1586" s="410"/>
      <c r="G1586" s="411" t="s">
        <v>604</v>
      </c>
      <c r="H1586" s="67">
        <f>'Process (4)'!H223</f>
        <v>17300</v>
      </c>
      <c r="I1586" s="412" t="s">
        <v>49</v>
      </c>
    </row>
    <row r="1587" spans="1:9" ht="18.75" customHeight="1" x14ac:dyDescent="0.25">
      <c r="A1587" s="456"/>
      <c r="B1587" s="410" t="s">
        <v>481</v>
      </c>
      <c r="C1587" s="410"/>
      <c r="D1587" s="410"/>
      <c r="E1587" s="410"/>
      <c r="F1587" s="413"/>
      <c r="G1587" s="411" t="s">
        <v>482</v>
      </c>
      <c r="H1587" s="170">
        <f>'Process (4)'!H224</f>
        <v>116.5</v>
      </c>
      <c r="I1587" s="412" t="s">
        <v>0</v>
      </c>
    </row>
    <row r="1588" spans="1:9" ht="18.75" customHeight="1" x14ac:dyDescent="0.25">
      <c r="A1588" s="456"/>
      <c r="B1588" s="410" t="s">
        <v>605</v>
      </c>
      <c r="C1588" s="410"/>
      <c r="D1588" s="410"/>
      <c r="E1588" s="410"/>
      <c r="F1588" s="410"/>
      <c r="G1588" s="411" t="s">
        <v>707</v>
      </c>
      <c r="H1588" s="170">
        <f>'Process (4)'!H225</f>
        <v>233.5</v>
      </c>
      <c r="I1588" s="412" t="s">
        <v>49</v>
      </c>
    </row>
    <row r="1589" spans="1:9" ht="18.75" customHeight="1" x14ac:dyDescent="0.25">
      <c r="A1589" s="456"/>
      <c r="B1589" s="410" t="s">
        <v>513</v>
      </c>
      <c r="C1589" s="410"/>
      <c r="D1589" s="410"/>
      <c r="E1589" s="410"/>
      <c r="F1589" s="410"/>
      <c r="G1589" s="411" t="s">
        <v>514</v>
      </c>
      <c r="H1589" s="67">
        <f>'Process (4)'!H226</f>
        <v>49.428571428571431</v>
      </c>
      <c r="I1589" s="412"/>
    </row>
    <row r="1590" spans="1:9" ht="18.75" customHeight="1" x14ac:dyDescent="0.25">
      <c r="A1590" s="456"/>
      <c r="B1590" s="413"/>
      <c r="C1590" s="410"/>
      <c r="D1590" s="410"/>
      <c r="E1590" s="410"/>
      <c r="F1590" s="410"/>
      <c r="G1590" s="413"/>
      <c r="H1590" s="434"/>
      <c r="I1590" s="412"/>
    </row>
    <row r="1591" spans="1:9" ht="18.75" customHeight="1" x14ac:dyDescent="0.25">
      <c r="A1591" s="456"/>
      <c r="B1591" s="410" t="s">
        <v>515</v>
      </c>
      <c r="C1591" s="410"/>
      <c r="D1591" s="410"/>
      <c r="E1591" s="410"/>
      <c r="F1591" s="410"/>
      <c r="G1591" s="411" t="s">
        <v>516</v>
      </c>
      <c r="H1591" s="170">
        <f>'Process (4)'!H228</f>
        <v>3836.7965153236887</v>
      </c>
      <c r="I1591" s="412" t="s">
        <v>115</v>
      </c>
    </row>
    <row r="1592" spans="1:9" ht="18.75" customHeight="1" x14ac:dyDescent="0.25">
      <c r="A1592" s="456"/>
      <c r="B1592" s="410"/>
      <c r="C1592" s="410"/>
      <c r="D1592" s="410"/>
      <c r="E1592" s="410"/>
      <c r="F1592" s="410"/>
      <c r="G1592" s="411" t="s">
        <v>517</v>
      </c>
      <c r="H1592" s="170">
        <f>'Process (4)'!H229</f>
        <v>4683.0233023145247</v>
      </c>
      <c r="I1592" s="412" t="s">
        <v>115</v>
      </c>
    </row>
    <row r="1593" spans="1:9" ht="18.75" customHeight="1" x14ac:dyDescent="0.25">
      <c r="A1593" s="456"/>
      <c r="B1593" s="410"/>
      <c r="C1593" s="410"/>
      <c r="D1593" s="410"/>
      <c r="E1593" s="410"/>
      <c r="F1593" s="410"/>
      <c r="G1593" s="411" t="s">
        <v>518</v>
      </c>
      <c r="H1593" s="170">
        <f>'Process (4)'!H230</f>
        <v>7375.1755238999785</v>
      </c>
      <c r="I1593" s="412" t="s">
        <v>115</v>
      </c>
    </row>
    <row r="1594" spans="1:9" ht="18.75" customHeight="1" x14ac:dyDescent="0.25">
      <c r="A1594" s="456"/>
      <c r="B1594" s="410" t="s">
        <v>519</v>
      </c>
      <c r="C1594" s="410"/>
      <c r="D1594" s="410"/>
      <c r="E1594" s="410"/>
      <c r="F1594" s="410"/>
      <c r="G1594" s="411" t="s">
        <v>520</v>
      </c>
      <c r="H1594" s="170">
        <f>'Process (4)'!H231</f>
        <v>3836.7965153236887</v>
      </c>
      <c r="I1594" s="412" t="s">
        <v>115</v>
      </c>
    </row>
    <row r="1595" spans="1:9" ht="18.75" customHeight="1" x14ac:dyDescent="0.25">
      <c r="A1595" s="456"/>
      <c r="B1595" s="410" t="s">
        <v>446</v>
      </c>
      <c r="C1595" s="410"/>
      <c r="D1595" s="410"/>
      <c r="E1595" s="410"/>
      <c r="F1595" s="410"/>
      <c r="G1595" s="411" t="s">
        <v>433</v>
      </c>
      <c r="H1595" s="67">
        <f>'Process (4)'!H232</f>
        <v>0.75</v>
      </c>
      <c r="I1595" s="412"/>
    </row>
    <row r="1596" spans="1:9" ht="18.75" customHeight="1" x14ac:dyDescent="0.25">
      <c r="A1596" s="456"/>
      <c r="B1596" s="410" t="s">
        <v>521</v>
      </c>
      <c r="C1596" s="410"/>
      <c r="D1596" s="410"/>
      <c r="E1596" s="410"/>
      <c r="F1596" s="410"/>
      <c r="G1596" s="411" t="s">
        <v>448</v>
      </c>
      <c r="H1596" s="170">
        <f>'Process (4)'!H233</f>
        <v>2877.5973864927664</v>
      </c>
      <c r="I1596" s="412" t="s">
        <v>115</v>
      </c>
    </row>
    <row r="1597" spans="1:9" ht="18.75" customHeight="1" x14ac:dyDescent="0.25">
      <c r="A1597" s="456"/>
      <c r="B1597" s="410" t="s">
        <v>522</v>
      </c>
      <c r="C1597" s="410"/>
      <c r="D1597" s="410"/>
      <c r="E1597" s="413"/>
      <c r="F1597" s="413"/>
      <c r="G1597" s="413"/>
      <c r="H1597" s="413"/>
      <c r="I1597" s="410"/>
    </row>
    <row r="1598" spans="1:9" ht="18.75" customHeight="1" x14ac:dyDescent="0.25">
      <c r="A1598" s="456"/>
      <c r="B1598" s="410"/>
      <c r="C1598" s="410" t="s">
        <v>523</v>
      </c>
      <c r="D1598" s="212" t="s">
        <v>524</v>
      </c>
      <c r="E1598" s="435" t="s">
        <v>449</v>
      </c>
      <c r="F1598" s="212" t="s">
        <v>525</v>
      </c>
      <c r="G1598" s="410"/>
      <c r="H1598" s="413"/>
      <c r="I1598" s="413"/>
    </row>
    <row r="1599" spans="1:9" ht="18.75" customHeight="1" x14ac:dyDescent="0.25">
      <c r="A1599" s="456"/>
      <c r="B1599" s="410"/>
      <c r="C1599" s="410"/>
      <c r="D1599" s="170">
        <f>'Process (4)'!D236</f>
        <v>2877.5973864927664</v>
      </c>
      <c r="E1599" s="436" t="str">
        <f>IF(D1599&lt;=F1599,"&lt;","&gt;")</f>
        <v>&gt;</v>
      </c>
      <c r="F1599" s="170">
        <f>'Process (4)'!F236</f>
        <v>369.51287863194693</v>
      </c>
      <c r="G1599" s="437" t="s">
        <v>338</v>
      </c>
      <c r="H1599" s="562" t="str">
        <f>IF(D1599&gt;F1599,"[ OK ]","[ NOT OK ]")</f>
        <v>[ OK ]</v>
      </c>
      <c r="I1599" s="413"/>
    </row>
    <row r="1600" spans="1:9" ht="18.75" customHeight="1" x14ac:dyDescent="0.25">
      <c r="A1600" s="456"/>
      <c r="B1600" s="410"/>
      <c r="C1600" s="410"/>
      <c r="D1600" s="410"/>
      <c r="E1600" s="410"/>
      <c r="F1600" s="413"/>
      <c r="G1600" s="413"/>
      <c r="H1600" s="413"/>
      <c r="I1600" s="413"/>
    </row>
    <row r="1601" spans="1:9" ht="18.75" customHeight="1" x14ac:dyDescent="0.25">
      <c r="A1601" s="456"/>
      <c r="B1601" s="410"/>
      <c r="C1601" s="410"/>
      <c r="D1601" s="410"/>
      <c r="E1601" s="410"/>
      <c r="F1601" s="410"/>
      <c r="G1601" s="413"/>
      <c r="H1601" s="413"/>
      <c r="I1601" s="413"/>
    </row>
    <row r="1602" spans="1:9" ht="18.75" customHeight="1" x14ac:dyDescent="0.25">
      <c r="A1602" s="454" t="s">
        <v>850</v>
      </c>
      <c r="B1602" s="406" t="s">
        <v>718</v>
      </c>
      <c r="C1602" s="407"/>
      <c r="D1602" s="407"/>
      <c r="E1602" s="407"/>
      <c r="F1602" s="407"/>
      <c r="G1602" s="407"/>
      <c r="H1602" s="407"/>
      <c r="I1602" s="407"/>
    </row>
    <row r="1603" spans="1:9" ht="18.75" customHeight="1" x14ac:dyDescent="0.25">
      <c r="A1603" s="455"/>
      <c r="B1603" s="408" t="s">
        <v>704</v>
      </c>
      <c r="C1603" s="409"/>
      <c r="D1603" s="409"/>
      <c r="E1603" s="409"/>
      <c r="F1603" s="409"/>
      <c r="G1603" s="409"/>
      <c r="H1603" s="409"/>
      <c r="I1603" s="409"/>
    </row>
    <row r="1604" spans="1:9" ht="18.75" customHeight="1" x14ac:dyDescent="0.25">
      <c r="A1604" s="456"/>
      <c r="B1604" s="410" t="s">
        <v>539</v>
      </c>
      <c r="C1604" s="410"/>
      <c r="D1604" s="410"/>
      <c r="E1604" s="410"/>
      <c r="F1604" s="410"/>
      <c r="G1604" s="411" t="s">
        <v>702</v>
      </c>
      <c r="H1604" s="170">
        <f>'Process (4)'!H241</f>
        <v>724.12481288466506</v>
      </c>
      <c r="I1604" s="412" t="s">
        <v>417</v>
      </c>
    </row>
    <row r="1605" spans="1:9" ht="18.75" customHeight="1" x14ac:dyDescent="0.25">
      <c r="A1605" s="456"/>
      <c r="B1605" s="410" t="s">
        <v>541</v>
      </c>
      <c r="C1605" s="410"/>
      <c r="D1605" s="410"/>
      <c r="E1605" s="413"/>
      <c r="F1605" s="413"/>
      <c r="G1605" s="411" t="s">
        <v>734</v>
      </c>
      <c r="H1605" s="67">
        <f>'Process (4)'!H242</f>
        <v>3000</v>
      </c>
      <c r="I1605" s="412" t="s">
        <v>49</v>
      </c>
    </row>
    <row r="1606" spans="1:9" ht="18.75" customHeight="1" x14ac:dyDescent="0.25">
      <c r="A1606" s="456"/>
      <c r="B1606" s="410" t="s">
        <v>253</v>
      </c>
      <c r="C1606" s="410"/>
      <c r="D1606" s="410"/>
      <c r="E1606" s="413"/>
      <c r="F1606" s="413"/>
      <c r="G1606" s="411" t="s">
        <v>720</v>
      </c>
      <c r="H1606" s="67">
        <f>'Process (4)'!H243</f>
        <v>500</v>
      </c>
      <c r="I1606" s="412" t="s">
        <v>49</v>
      </c>
    </row>
    <row r="1607" spans="1:9" ht="18.75" customHeight="1" x14ac:dyDescent="0.25">
      <c r="A1607" s="456"/>
      <c r="B1607" s="410" t="s">
        <v>542</v>
      </c>
      <c r="C1607" s="410"/>
      <c r="D1607" s="410"/>
      <c r="E1607" s="413"/>
      <c r="F1607" s="413"/>
      <c r="G1607" s="411" t="s">
        <v>482</v>
      </c>
      <c r="H1607" s="209">
        <f>'Process (4)'!H244</f>
        <v>119.5</v>
      </c>
      <c r="I1607" s="412" t="s">
        <v>49</v>
      </c>
    </row>
    <row r="1608" spans="1:9" ht="18.75" customHeight="1" x14ac:dyDescent="0.25">
      <c r="A1608" s="456"/>
      <c r="B1608" s="410" t="s">
        <v>543</v>
      </c>
      <c r="C1608" s="410"/>
      <c r="D1608" s="410"/>
      <c r="E1608" s="413"/>
      <c r="F1608" s="413"/>
      <c r="G1608" s="411" t="s">
        <v>484</v>
      </c>
      <c r="H1608" s="209">
        <f>'Process (4)'!H245</f>
        <v>380.5</v>
      </c>
      <c r="I1608" s="412" t="s">
        <v>49</v>
      </c>
    </row>
    <row r="1609" spans="1:9" ht="18.75" customHeight="1" x14ac:dyDescent="0.25">
      <c r="A1609" s="456"/>
      <c r="B1609" s="410" t="s">
        <v>544</v>
      </c>
      <c r="C1609" s="410"/>
      <c r="D1609" s="410"/>
      <c r="E1609" s="413"/>
      <c r="F1609" s="413"/>
      <c r="G1609" s="414" t="s">
        <v>545</v>
      </c>
      <c r="H1609" s="209">
        <f>'Process (4)'!H246</f>
        <v>30</v>
      </c>
      <c r="I1609" s="412" t="s">
        <v>7</v>
      </c>
    </row>
    <row r="1610" spans="1:9" ht="18.75" customHeight="1" x14ac:dyDescent="0.25">
      <c r="A1610" s="456"/>
      <c r="B1610" s="410" t="s">
        <v>546</v>
      </c>
      <c r="C1610" s="410"/>
      <c r="D1610" s="410"/>
      <c r="E1610" s="413"/>
      <c r="F1610" s="413"/>
      <c r="G1610" s="411" t="s">
        <v>447</v>
      </c>
      <c r="H1610" s="209">
        <f>'Process (4)'!H247</f>
        <v>400</v>
      </c>
      <c r="I1610" s="412" t="s">
        <v>7</v>
      </c>
    </row>
    <row r="1611" spans="1:9" ht="18.75" customHeight="1" x14ac:dyDescent="0.25">
      <c r="A1611" s="456"/>
      <c r="B1611" s="415" t="s">
        <v>9</v>
      </c>
      <c r="C1611" s="410"/>
      <c r="D1611" s="410"/>
      <c r="E1611" s="413"/>
      <c r="F1611" s="413"/>
      <c r="G1611" s="411" t="s">
        <v>547</v>
      </c>
      <c r="H1611" s="221">
        <f>'Process (4)'!H248</f>
        <v>200000</v>
      </c>
      <c r="I1611" s="412" t="s">
        <v>7</v>
      </c>
    </row>
    <row r="1612" spans="1:9" ht="18.75" customHeight="1" x14ac:dyDescent="0.25">
      <c r="A1612" s="457"/>
      <c r="B1612" s="416" t="s">
        <v>548</v>
      </c>
      <c r="C1612" s="416"/>
      <c r="D1612" s="416"/>
      <c r="E1612" s="416"/>
      <c r="F1612" s="416"/>
      <c r="G1612" s="417" t="s">
        <v>549</v>
      </c>
      <c r="H1612" s="153" t="str">
        <f>'Process (4)'!H249</f>
        <v>-</v>
      </c>
      <c r="I1612" s="418"/>
    </row>
    <row r="1613" spans="1:9" ht="18.75" customHeight="1" x14ac:dyDescent="0.25">
      <c r="A1613" s="457"/>
      <c r="B1613" s="416" t="s">
        <v>550</v>
      </c>
      <c r="C1613" s="416"/>
      <c r="D1613" s="416"/>
      <c r="E1613" s="416"/>
      <c r="F1613" s="416"/>
      <c r="G1613" s="417" t="s">
        <v>551</v>
      </c>
      <c r="H1613" s="154">
        <f>'Process (4)'!H250</f>
        <v>0.83571428571428574</v>
      </c>
      <c r="I1613" s="418"/>
    </row>
    <row r="1614" spans="1:9" ht="18.75" customHeight="1" x14ac:dyDescent="0.25">
      <c r="A1614" s="457"/>
      <c r="B1614" s="416" t="s">
        <v>552</v>
      </c>
      <c r="C1614" s="416"/>
      <c r="D1614" s="416"/>
      <c r="E1614" s="416"/>
      <c r="F1614" s="416"/>
      <c r="G1614" s="417" t="s">
        <v>549</v>
      </c>
      <c r="H1614" s="154" t="str">
        <f>'Process (4)'!H251</f>
        <v>-</v>
      </c>
      <c r="I1614" s="418"/>
    </row>
    <row r="1615" spans="1:9" ht="18.75" customHeight="1" x14ac:dyDescent="0.25">
      <c r="A1615" s="457"/>
      <c r="B1615" s="416" t="s">
        <v>427</v>
      </c>
      <c r="C1615" s="416"/>
      <c r="D1615" s="416"/>
      <c r="E1615" s="416"/>
      <c r="F1615" s="419" t="s">
        <v>338</v>
      </c>
      <c r="G1615" s="417" t="s">
        <v>549</v>
      </c>
      <c r="H1615" s="154">
        <f>'Process (4)'!H252</f>
        <v>0.83571428571428574</v>
      </c>
      <c r="I1615" s="418"/>
    </row>
    <row r="1616" spans="1:9" ht="18.75" customHeight="1" x14ac:dyDescent="0.25">
      <c r="A1616" s="457"/>
      <c r="B1616" s="416" t="s">
        <v>428</v>
      </c>
      <c r="C1616" s="416"/>
      <c r="D1616" s="416"/>
      <c r="E1616" s="416"/>
      <c r="F1616" s="419"/>
      <c r="G1616" s="417"/>
      <c r="H1616" s="420"/>
      <c r="I1616" s="418"/>
    </row>
    <row r="1617" spans="1:9" ht="18.75" customHeight="1" x14ac:dyDescent="0.25">
      <c r="A1617" s="457"/>
      <c r="B1617" s="416"/>
      <c r="C1617" s="421"/>
      <c r="D1617" s="416"/>
      <c r="E1617" s="416"/>
      <c r="F1617" s="416"/>
      <c r="G1617" s="417" t="s">
        <v>429</v>
      </c>
      <c r="H1617" s="224">
        <f>'Process (4)'!H254</f>
        <v>3.1966071428571427E-2</v>
      </c>
      <c r="I1617" s="418"/>
    </row>
    <row r="1618" spans="1:9" ht="18.75" customHeight="1" x14ac:dyDescent="0.25">
      <c r="A1618" s="457"/>
      <c r="B1618" s="416" t="s">
        <v>430</v>
      </c>
      <c r="C1618" s="416"/>
      <c r="D1618" s="422"/>
      <c r="E1618" s="420"/>
      <c r="F1618" s="423"/>
      <c r="G1618" s="417" t="s">
        <v>431</v>
      </c>
      <c r="H1618" s="224">
        <f>'Process (4)'!H255</f>
        <v>2.397455357142857E-2</v>
      </c>
      <c r="I1618" s="418"/>
    </row>
    <row r="1619" spans="1:9" ht="18.75" customHeight="1" x14ac:dyDescent="0.25">
      <c r="A1619" s="457"/>
      <c r="B1619" s="416" t="s">
        <v>432</v>
      </c>
      <c r="C1619" s="416"/>
      <c r="D1619" s="416"/>
      <c r="E1619" s="423"/>
      <c r="F1619" s="416"/>
      <c r="G1619" s="411" t="s">
        <v>594</v>
      </c>
      <c r="H1619" s="224">
        <f>'Process (4)'!H256</f>
        <v>2E-3</v>
      </c>
      <c r="I1619" s="418"/>
    </row>
    <row r="1620" spans="1:9" ht="18.75" customHeight="1" x14ac:dyDescent="0.25">
      <c r="A1620" s="457"/>
      <c r="B1620" s="416"/>
      <c r="C1620" s="416"/>
      <c r="D1620" s="416"/>
      <c r="E1620" s="416"/>
      <c r="F1620" s="416"/>
      <c r="G1620" s="417"/>
      <c r="H1620" s="225"/>
      <c r="I1620" s="418"/>
    </row>
    <row r="1621" spans="1:9" ht="18.75" customHeight="1" x14ac:dyDescent="0.25">
      <c r="A1621" s="457"/>
      <c r="B1621" s="416" t="s">
        <v>553</v>
      </c>
      <c r="C1621" s="416"/>
      <c r="D1621" s="416"/>
      <c r="E1621" s="416"/>
      <c r="F1621" s="417"/>
      <c r="G1621" s="417" t="s">
        <v>554</v>
      </c>
      <c r="H1621" s="155">
        <f>'Process (4)'!H258</f>
        <v>0.85</v>
      </c>
      <c r="I1621" s="418"/>
    </row>
    <row r="1622" spans="1:9" ht="18.75" customHeight="1" x14ac:dyDescent="0.25">
      <c r="A1622" s="457"/>
      <c r="B1622" s="416" t="s">
        <v>555</v>
      </c>
      <c r="C1622" s="416"/>
      <c r="D1622" s="416"/>
      <c r="E1622" s="416"/>
      <c r="F1622" s="417"/>
      <c r="G1622" s="417" t="s">
        <v>556</v>
      </c>
      <c r="H1622" s="154">
        <f>'Process (4)'!H259</f>
        <v>851.91154457019422</v>
      </c>
      <c r="I1622" s="418" t="s">
        <v>145</v>
      </c>
    </row>
    <row r="1623" spans="1:9" ht="18.75" customHeight="1" x14ac:dyDescent="0.25">
      <c r="A1623" s="457"/>
      <c r="B1623" s="416" t="s">
        <v>557</v>
      </c>
      <c r="C1623" s="421"/>
      <c r="D1623" s="416"/>
      <c r="E1623" s="416"/>
      <c r="F1623" s="416"/>
      <c r="G1623" s="424" t="s">
        <v>558</v>
      </c>
      <c r="H1623" s="154">
        <f>'Process (4)'!H260</f>
        <v>1.9613898639954788</v>
      </c>
      <c r="I1623" s="354"/>
    </row>
    <row r="1624" spans="1:9" ht="18.75" customHeight="1" x14ac:dyDescent="0.25">
      <c r="A1624" s="457"/>
      <c r="B1624" s="416" t="s">
        <v>559</v>
      </c>
      <c r="C1624" s="416"/>
      <c r="D1624" s="416"/>
      <c r="E1624" s="416"/>
      <c r="F1624" s="416"/>
      <c r="I1624" s="355"/>
    </row>
    <row r="1625" spans="1:9" ht="18.75" customHeight="1" x14ac:dyDescent="0.25">
      <c r="A1625" s="457"/>
      <c r="B1625" s="416"/>
      <c r="C1625" s="416"/>
      <c r="D1625" s="416"/>
      <c r="E1625" s="416"/>
      <c r="F1625" s="416"/>
      <c r="G1625" s="417" t="s">
        <v>560</v>
      </c>
      <c r="H1625" s="154">
        <f>'Process (4)'!H261</f>
        <v>15.686274509803921</v>
      </c>
      <c r="I1625" s="355"/>
    </row>
    <row r="1626" spans="1:9" ht="18.75" customHeight="1" x14ac:dyDescent="0.25">
      <c r="A1626" s="457"/>
      <c r="B1626" s="416" t="s">
        <v>561</v>
      </c>
      <c r="C1626" s="421"/>
      <c r="D1626" s="416"/>
      <c r="E1626" s="416"/>
      <c r="F1626" s="416"/>
      <c r="G1626" s="424" t="s">
        <v>562</v>
      </c>
      <c r="H1626" s="224">
        <f>'Process (4)'!H262</f>
        <v>5.1081251932423195E-3</v>
      </c>
      <c r="I1626" s="354"/>
    </row>
    <row r="1627" spans="1:9" ht="18.75" customHeight="1" x14ac:dyDescent="0.25">
      <c r="A1627" s="457"/>
      <c r="B1627" s="416" t="s">
        <v>434</v>
      </c>
      <c r="C1627" s="416"/>
      <c r="D1627" s="416"/>
      <c r="E1627" s="416"/>
      <c r="F1627" s="416"/>
      <c r="G1627" s="425"/>
      <c r="H1627" s="418"/>
      <c r="I1627" s="426"/>
    </row>
    <row r="1628" spans="1:9" ht="18.75" customHeight="1" x14ac:dyDescent="0.25">
      <c r="A1628" s="457"/>
      <c r="B1628" s="416"/>
      <c r="C1628" s="416" t="s">
        <v>334</v>
      </c>
      <c r="D1628" s="420" t="s">
        <v>435</v>
      </c>
      <c r="E1628" s="420" t="s">
        <v>436</v>
      </c>
      <c r="F1628" s="420" t="s">
        <v>437</v>
      </c>
      <c r="G1628" s="417"/>
      <c r="H1628" s="425"/>
      <c r="I1628" s="416"/>
    </row>
    <row r="1629" spans="1:9" ht="18.75" customHeight="1" x14ac:dyDescent="0.25">
      <c r="A1629" s="457"/>
      <c r="B1629" s="416"/>
      <c r="C1629" s="416"/>
      <c r="D1629" s="425">
        <f>'Process (4)'!D265</f>
        <v>2E-3</v>
      </c>
      <c r="E1629" s="425">
        <f>H1626</f>
        <v>5.1081251932423195E-3</v>
      </c>
      <c r="F1629" s="425">
        <f>'Process (4)'!F265</f>
        <v>2.397455357142857E-2</v>
      </c>
      <c r="G1629" s="419" t="s">
        <v>338</v>
      </c>
      <c r="H1629" s="427" t="str">
        <f>IF(D1629&lt;E1629,(IF(E1629&lt;F1629,"[ OK ]","[ NOT OK ]")),"[ Pakai ρmin ]")</f>
        <v>[ OK ]</v>
      </c>
      <c r="I1629" s="416"/>
    </row>
    <row r="1630" spans="1:9" ht="18.75" customHeight="1" x14ac:dyDescent="0.25">
      <c r="A1630" s="457"/>
      <c r="B1630" s="416"/>
      <c r="C1630" s="416"/>
      <c r="D1630" s="416"/>
      <c r="E1630" s="416"/>
      <c r="F1630" s="416"/>
      <c r="G1630" s="417"/>
      <c r="H1630" s="420"/>
      <c r="I1630" s="426"/>
    </row>
    <row r="1631" spans="1:9" ht="18.75" customHeight="1" x14ac:dyDescent="0.25">
      <c r="A1631" s="457"/>
      <c r="B1631" s="416" t="s">
        <v>563</v>
      </c>
      <c r="C1631" s="416"/>
      <c r="D1631" s="416"/>
      <c r="E1631" s="416"/>
      <c r="F1631" s="416"/>
      <c r="G1631" s="417" t="s">
        <v>564</v>
      </c>
      <c r="H1631" s="224">
        <f>'Process (4)'!H267</f>
        <v>5.1081251932423195E-3</v>
      </c>
      <c r="I1631" s="355"/>
    </row>
    <row r="1632" spans="1:9" ht="18.75" customHeight="1" x14ac:dyDescent="0.25">
      <c r="A1632" s="457"/>
      <c r="B1632" s="416"/>
      <c r="C1632" s="416"/>
      <c r="D1632" s="425"/>
      <c r="E1632" s="425"/>
      <c r="F1632" s="425"/>
      <c r="G1632" s="427"/>
      <c r="H1632" s="418"/>
      <c r="I1632" s="426"/>
    </row>
    <row r="1633" spans="1:9" ht="18.75" customHeight="1" x14ac:dyDescent="0.25">
      <c r="A1633" s="457"/>
      <c r="B1633" s="416" t="s">
        <v>438</v>
      </c>
      <c r="C1633" s="416"/>
      <c r="D1633" s="416"/>
      <c r="E1633" s="416"/>
      <c r="F1633" s="416"/>
      <c r="G1633" s="417" t="s">
        <v>565</v>
      </c>
      <c r="H1633" s="231">
        <f>'Process (4)'!H269</f>
        <v>5830.9249080861073</v>
      </c>
      <c r="I1633" s="418" t="s">
        <v>439</v>
      </c>
    </row>
    <row r="1634" spans="1:9" ht="18.75" customHeight="1" x14ac:dyDescent="0.25">
      <c r="A1634" s="457"/>
      <c r="B1634" s="416" t="s">
        <v>440</v>
      </c>
      <c r="C1634" s="416"/>
      <c r="D1634" s="416"/>
      <c r="E1634" s="416"/>
      <c r="F1634" s="416"/>
      <c r="G1634" s="417" t="s">
        <v>566</v>
      </c>
      <c r="H1634" s="157">
        <f>'Process (4)'!H270</f>
        <v>68.290515676218348</v>
      </c>
      <c r="I1634" s="418" t="s">
        <v>49</v>
      </c>
    </row>
    <row r="1635" spans="1:9" ht="18.75" customHeight="1" x14ac:dyDescent="0.25">
      <c r="A1635" s="457"/>
      <c r="B1635" s="416" t="s">
        <v>441</v>
      </c>
      <c r="C1635" s="416"/>
      <c r="D1635" s="416"/>
      <c r="E1635" s="416"/>
      <c r="F1635" s="416"/>
      <c r="G1635" s="417" t="s">
        <v>567</v>
      </c>
      <c r="H1635" s="157">
        <f>'Process (4)'!H271</f>
        <v>1500</v>
      </c>
      <c r="I1635" s="418" t="s">
        <v>49</v>
      </c>
    </row>
    <row r="1636" spans="1:9" ht="18.75" customHeight="1" x14ac:dyDescent="0.25">
      <c r="A1636" s="457"/>
      <c r="B1636" s="416" t="s">
        <v>441</v>
      </c>
      <c r="C1636" s="416"/>
      <c r="D1636" s="416"/>
      <c r="E1636" s="416"/>
      <c r="F1636" s="416"/>
      <c r="G1636" s="417" t="s">
        <v>442</v>
      </c>
      <c r="H1636" s="157">
        <f>'Process (4)'!H272</f>
        <v>450</v>
      </c>
      <c r="I1636" s="418" t="s">
        <v>49</v>
      </c>
    </row>
    <row r="1637" spans="1:9" ht="18.75" customHeight="1" x14ac:dyDescent="0.25">
      <c r="A1637" s="457"/>
      <c r="B1637" s="416" t="s">
        <v>443</v>
      </c>
      <c r="C1637" s="416"/>
      <c r="D1637" s="416"/>
      <c r="E1637" s="416"/>
      <c r="F1637" s="416"/>
      <c r="G1637" s="417" t="s">
        <v>245</v>
      </c>
      <c r="H1637" s="157">
        <f>'Process (4)'!H273</f>
        <v>68.290515676218348</v>
      </c>
      <c r="I1637" s="418" t="s">
        <v>49</v>
      </c>
    </row>
    <row r="1638" spans="1:9" ht="18.75" customHeight="1" x14ac:dyDescent="0.25">
      <c r="A1638" s="457"/>
      <c r="B1638" s="416" t="s">
        <v>444</v>
      </c>
      <c r="C1638" s="416"/>
      <c r="D1638" s="416"/>
      <c r="E1638" s="416"/>
      <c r="F1638" s="416"/>
      <c r="G1638" s="417" t="s">
        <v>245</v>
      </c>
      <c r="H1638" s="232">
        <f>'Process (4)'!H274</f>
        <v>50</v>
      </c>
      <c r="I1638" s="418" t="s">
        <v>49</v>
      </c>
    </row>
    <row r="1639" spans="1:9" ht="18.75" customHeight="1" x14ac:dyDescent="0.25">
      <c r="A1639" s="457"/>
      <c r="B1639" s="416" t="s">
        <v>445</v>
      </c>
      <c r="C1639" s="416"/>
      <c r="D1639" s="416"/>
      <c r="E1639" s="416"/>
      <c r="F1639" s="416"/>
      <c r="G1639" s="233">
        <f>'Process (4)'!G275</f>
        <v>13</v>
      </c>
      <c r="H1639" s="234">
        <f>'Process (4)'!H275</f>
        <v>50</v>
      </c>
      <c r="I1639" s="418"/>
    </row>
    <row r="1640" spans="1:9" ht="18.75" customHeight="1" x14ac:dyDescent="0.25">
      <c r="A1640" s="457"/>
      <c r="B1640" s="416" t="s">
        <v>568</v>
      </c>
      <c r="C1640" s="416"/>
      <c r="D1640" s="416"/>
      <c r="E1640" s="416"/>
      <c r="F1640" s="416"/>
      <c r="G1640" s="417" t="s">
        <v>569</v>
      </c>
      <c r="H1640" s="235">
        <f>'Process (4)'!H276</f>
        <v>7963.9373768501264</v>
      </c>
      <c r="I1640" s="418" t="s">
        <v>439</v>
      </c>
    </row>
    <row r="1641" spans="1:9" ht="18.75" customHeight="1" x14ac:dyDescent="0.25">
      <c r="A1641" s="457"/>
      <c r="B1641" s="416"/>
      <c r="C1641" s="416"/>
      <c r="D1641" s="416"/>
      <c r="E1641" s="416"/>
      <c r="F1641" s="416"/>
      <c r="G1641" s="416"/>
      <c r="H1641" s="416"/>
      <c r="I1641" s="418"/>
    </row>
    <row r="1642" spans="1:9" ht="18.75" customHeight="1" x14ac:dyDescent="0.25">
      <c r="A1642" s="457"/>
      <c r="B1642" s="416" t="s">
        <v>570</v>
      </c>
      <c r="C1642" s="416"/>
      <c r="D1642" s="416"/>
      <c r="E1642" s="416"/>
      <c r="F1642" s="416"/>
      <c r="G1642" s="417" t="s">
        <v>571</v>
      </c>
      <c r="H1642" s="154">
        <f>'Process (4)'!H278</f>
        <v>3185.5749507400506</v>
      </c>
      <c r="I1642" s="428" t="s">
        <v>115</v>
      </c>
    </row>
    <row r="1643" spans="1:9" ht="18.75" customHeight="1" x14ac:dyDescent="0.25">
      <c r="A1643" s="457"/>
      <c r="B1643" s="416" t="s">
        <v>572</v>
      </c>
      <c r="C1643" s="416"/>
      <c r="D1643" s="416"/>
      <c r="E1643" s="416"/>
      <c r="F1643" s="420"/>
      <c r="G1643" s="417" t="s">
        <v>573</v>
      </c>
      <c r="H1643" s="237">
        <f>'Process (4)'!H279</f>
        <v>63.932142857142864</v>
      </c>
      <c r="I1643" s="418" t="s">
        <v>115</v>
      </c>
    </row>
    <row r="1644" spans="1:9" ht="18.75" customHeight="1" x14ac:dyDescent="0.25">
      <c r="A1644" s="457"/>
      <c r="B1644" s="423"/>
      <c r="C1644" s="421"/>
      <c r="D1644" s="420"/>
      <c r="E1644" s="416"/>
      <c r="F1644" s="429"/>
      <c r="G1644" s="416"/>
      <c r="H1644" s="416"/>
      <c r="I1644" s="416"/>
    </row>
    <row r="1645" spans="1:9" ht="18.75" customHeight="1" x14ac:dyDescent="0.25">
      <c r="A1645" s="457"/>
      <c r="B1645" s="423" t="s">
        <v>574</v>
      </c>
      <c r="C1645" s="416"/>
      <c r="D1645" s="416"/>
      <c r="E1645" s="416"/>
      <c r="F1645" s="416"/>
      <c r="G1645" s="417" t="s">
        <v>575</v>
      </c>
      <c r="H1645" s="423" t="s">
        <v>576</v>
      </c>
      <c r="I1645" s="416"/>
    </row>
    <row r="1646" spans="1:9" ht="18.75" customHeight="1" x14ac:dyDescent="0.25">
      <c r="A1646" s="457"/>
      <c r="B1646" s="423"/>
      <c r="C1646" s="416"/>
      <c r="D1646" s="416"/>
      <c r="E1646" s="416"/>
      <c r="F1646" s="416"/>
      <c r="G1646" s="430">
        <f>'Process (4)'!G282</f>
        <v>63.932142857142864</v>
      </c>
      <c r="H1646" s="431">
        <f>'Process (4)'!H282</f>
        <v>3185.5749507400506</v>
      </c>
      <c r="I1646" s="416"/>
    </row>
    <row r="1647" spans="1:9" ht="18.75" customHeight="1" x14ac:dyDescent="0.25">
      <c r="A1647" s="457"/>
      <c r="B1647" s="416"/>
      <c r="C1647" s="416"/>
      <c r="D1647" s="416"/>
      <c r="E1647" s="416"/>
      <c r="F1647" s="416"/>
      <c r="G1647" s="417"/>
      <c r="H1647" s="431"/>
      <c r="I1647" s="428"/>
    </row>
    <row r="1648" spans="1:9" ht="18.75" customHeight="1" x14ac:dyDescent="0.25">
      <c r="A1648" s="457"/>
      <c r="B1648" s="423" t="s">
        <v>577</v>
      </c>
      <c r="C1648" s="416"/>
      <c r="D1648" s="417"/>
      <c r="E1648" s="416"/>
      <c r="F1648" s="420"/>
      <c r="G1648" s="417" t="s">
        <v>578</v>
      </c>
      <c r="H1648" s="155">
        <f>'Process (4)'!H284</f>
        <v>49.827439037328311</v>
      </c>
      <c r="I1648" s="428" t="s">
        <v>49</v>
      </c>
    </row>
    <row r="1649" spans="1:9" ht="18.75" customHeight="1" x14ac:dyDescent="0.25">
      <c r="A1649" s="457"/>
      <c r="B1649" s="416" t="s">
        <v>572</v>
      </c>
      <c r="C1649" s="417"/>
      <c r="D1649" s="420"/>
      <c r="E1649" s="416"/>
      <c r="F1649" s="420"/>
      <c r="G1649" s="417" t="s">
        <v>579</v>
      </c>
      <c r="H1649" s="154">
        <f>'Process (4)'!H285</f>
        <v>3185.5749507400506</v>
      </c>
      <c r="I1649" s="428" t="s">
        <v>115</v>
      </c>
    </row>
    <row r="1650" spans="1:9" ht="18.75" customHeight="1" x14ac:dyDescent="0.25">
      <c r="A1650" s="457"/>
      <c r="B1650" s="416" t="s">
        <v>570</v>
      </c>
      <c r="C1650" s="417"/>
      <c r="D1650" s="420"/>
      <c r="E1650" s="416"/>
      <c r="F1650" s="420"/>
      <c r="G1650" s="417" t="s">
        <v>580</v>
      </c>
      <c r="H1650" s="154">
        <f>'Process (4)'!H286</f>
        <v>3185.5749507400506</v>
      </c>
      <c r="I1650" s="428" t="s">
        <v>115</v>
      </c>
    </row>
    <row r="1651" spans="1:9" ht="18.75" customHeight="1" x14ac:dyDescent="0.25">
      <c r="A1651" s="457"/>
      <c r="B1651" s="423"/>
      <c r="C1651" s="416"/>
      <c r="D1651" s="416"/>
      <c r="E1651" s="416"/>
      <c r="F1651" s="416"/>
      <c r="G1651" s="420"/>
      <c r="H1651" s="418"/>
      <c r="I1651" s="426"/>
    </row>
    <row r="1652" spans="1:9" ht="18.75" customHeight="1" x14ac:dyDescent="0.25">
      <c r="A1652" s="457"/>
      <c r="B1652" s="423" t="s">
        <v>581</v>
      </c>
      <c r="C1652" s="416"/>
      <c r="D1652" s="416"/>
      <c r="E1652" s="416"/>
      <c r="F1652" s="416"/>
      <c r="G1652" s="420"/>
      <c r="H1652" s="418"/>
      <c r="I1652" s="426"/>
    </row>
    <row r="1653" spans="1:9" ht="18.75" customHeight="1" x14ac:dyDescent="0.25">
      <c r="A1653" s="457"/>
      <c r="B1653" s="416"/>
      <c r="C1653" s="423" t="s">
        <v>582</v>
      </c>
      <c r="D1653" s="416"/>
      <c r="E1653" s="417"/>
      <c r="F1653" s="420"/>
      <c r="G1653" s="418"/>
      <c r="H1653" s="416"/>
      <c r="I1653" s="416"/>
    </row>
    <row r="1654" spans="1:9" ht="18.75" customHeight="1" x14ac:dyDescent="0.25">
      <c r="A1654" s="457"/>
      <c r="B1654" s="423"/>
      <c r="C1654" s="416"/>
      <c r="D1654" s="416" t="s">
        <v>583</v>
      </c>
      <c r="E1654" s="416"/>
      <c r="F1654" s="416" t="s">
        <v>584</v>
      </c>
      <c r="G1654" s="417"/>
      <c r="H1654" s="420"/>
      <c r="I1654" s="416"/>
    </row>
    <row r="1655" spans="1:9" ht="18.75" customHeight="1" x14ac:dyDescent="0.25">
      <c r="A1655" s="457"/>
      <c r="B1655" s="416"/>
      <c r="C1655" s="416"/>
      <c r="D1655" s="425">
        <f>'Process (4)'!D291</f>
        <v>1.9909064203457123E-2</v>
      </c>
      <c r="E1655" s="420" t="str">
        <f>IF(D1655&lt;F1655,"&lt;","&gt;")</f>
        <v>&gt;</v>
      </c>
      <c r="F1655" s="420">
        <f>'Process (4)'!F291</f>
        <v>2E-3</v>
      </c>
      <c r="G1655" s="416"/>
      <c r="H1655" s="416"/>
      <c r="I1655" s="416"/>
    </row>
    <row r="1656" spans="1:9" ht="18.75" customHeight="1" x14ac:dyDescent="0.25">
      <c r="A1656" s="457"/>
      <c r="B1656" s="423" t="s">
        <v>585</v>
      </c>
      <c r="C1656" s="416"/>
      <c r="D1656" s="416"/>
      <c r="E1656" s="416"/>
      <c r="F1656" s="416"/>
      <c r="G1656" s="419" t="s">
        <v>338</v>
      </c>
      <c r="H1656" s="432" t="str">
        <f>IF(D1655&lt;=F1655,"Tekanan Terkontrol",IF(D1655&lt;0.005,"Transisi",IF(D1655&gt;0.005,"Tegangan Terkontrol","EROR")))</f>
        <v>Tegangan Terkontrol</v>
      </c>
      <c r="I1656" s="418"/>
    </row>
    <row r="1657" spans="1:9" ht="18.75" customHeight="1" x14ac:dyDescent="0.25">
      <c r="A1657" s="457"/>
      <c r="B1657" s="423"/>
      <c r="C1657" s="416"/>
      <c r="D1657" s="416"/>
      <c r="E1657" s="416"/>
      <c r="F1657" s="416"/>
      <c r="G1657" s="419"/>
      <c r="H1657" s="432"/>
      <c r="I1657" s="418"/>
    </row>
    <row r="1658" spans="1:9" ht="18.75" customHeight="1" x14ac:dyDescent="0.25">
      <c r="A1658" s="457"/>
      <c r="B1658" s="423" t="s">
        <v>586</v>
      </c>
      <c r="C1658" s="416"/>
      <c r="D1658" s="416"/>
      <c r="E1658" s="416"/>
      <c r="F1658" s="416"/>
      <c r="G1658" s="417" t="str">
        <f>IF(D1655&lt;=F1655,"φ =",IF(D1655&lt;0.005,"φ = 0,65 + 0,25 * (εs' - εs-yield)/(0,005 - εs-yield) =",IF(D1655&gt;0.005,"φ =","EROR")))</f>
        <v>φ =</v>
      </c>
      <c r="H1658" s="155">
        <f>'Process (4)'!H294</f>
        <v>0.9</v>
      </c>
      <c r="I1658" s="418"/>
    </row>
    <row r="1659" spans="1:9" ht="18.75" customHeight="1" x14ac:dyDescent="0.25">
      <c r="A1659" s="457"/>
      <c r="B1659" s="423" t="s">
        <v>587</v>
      </c>
      <c r="C1659" s="416"/>
      <c r="D1659" s="416"/>
      <c r="E1659" s="416"/>
      <c r="F1659" s="416"/>
      <c r="G1659" s="417" t="s">
        <v>588</v>
      </c>
      <c r="H1659" s="154">
        <f>'Process (4)'!H295</f>
        <v>1145.7852049214098</v>
      </c>
      <c r="I1659" s="418" t="s">
        <v>145</v>
      </c>
    </row>
    <row r="1660" spans="1:9" ht="18.75" customHeight="1" x14ac:dyDescent="0.25">
      <c r="A1660" s="457"/>
      <c r="B1660" s="423"/>
      <c r="C1660" s="416"/>
      <c r="D1660" s="416"/>
      <c r="E1660" s="416"/>
      <c r="F1660" s="416"/>
      <c r="G1660" s="417"/>
      <c r="H1660" s="431"/>
      <c r="I1660" s="418"/>
    </row>
    <row r="1661" spans="1:9" ht="18.75" customHeight="1" x14ac:dyDescent="0.25">
      <c r="A1661" s="457"/>
      <c r="B1661" s="416"/>
      <c r="C1661" s="416" t="s">
        <v>334</v>
      </c>
      <c r="D1661" s="242" t="s">
        <v>589</v>
      </c>
      <c r="E1661" s="420" t="s">
        <v>449</v>
      </c>
      <c r="F1661" s="242" t="s">
        <v>590</v>
      </c>
      <c r="G1661" s="416"/>
      <c r="H1661" s="416"/>
      <c r="I1661" s="416"/>
    </row>
    <row r="1662" spans="1:9" ht="18.75" customHeight="1" x14ac:dyDescent="0.25">
      <c r="A1662" s="457"/>
      <c r="B1662" s="416"/>
      <c r="C1662" s="416"/>
      <c r="D1662" s="154">
        <f>'Process (4)'!D298</f>
        <v>1031.2066844292688</v>
      </c>
      <c r="E1662" s="420" t="str">
        <f>IF(D1662&gt;F1662,"&gt;","&lt;")</f>
        <v>&gt;</v>
      </c>
      <c r="F1662" s="154">
        <f>'Process (4)'!F298</f>
        <v>724.12481288466506</v>
      </c>
      <c r="G1662" s="419" t="s">
        <v>338</v>
      </c>
      <c r="H1662" s="427" t="str">
        <f>IF(D1662&gt;=F1662,"[ OK ]","[ NOT OK ]")</f>
        <v>[ OK ]</v>
      </c>
      <c r="I1662" s="416"/>
    </row>
    <row r="1663" spans="1:9" ht="18.75" customHeight="1" x14ac:dyDescent="0.25">
      <c r="A1663" s="456"/>
      <c r="B1663" s="433"/>
      <c r="C1663" s="410"/>
      <c r="D1663" s="410"/>
      <c r="E1663" s="413"/>
      <c r="F1663" s="413"/>
      <c r="G1663" s="413"/>
      <c r="H1663" s="410"/>
      <c r="I1663" s="410"/>
    </row>
    <row r="1664" spans="1:9" ht="18.75" customHeight="1" x14ac:dyDescent="0.25">
      <c r="A1664" s="455"/>
      <c r="B1664" s="408" t="s">
        <v>705</v>
      </c>
      <c r="C1664" s="409"/>
      <c r="D1664" s="409"/>
      <c r="E1664" s="409"/>
      <c r="F1664" s="409"/>
      <c r="G1664" s="409"/>
      <c r="H1664" s="409"/>
      <c r="I1664" s="409"/>
    </row>
    <row r="1665" spans="1:9" ht="18.75" customHeight="1" x14ac:dyDescent="0.25">
      <c r="A1665" s="456"/>
      <c r="B1665" s="410" t="s">
        <v>494</v>
      </c>
      <c r="C1665" s="410"/>
      <c r="D1665" s="410"/>
      <c r="E1665" s="410"/>
      <c r="F1665" s="413"/>
      <c r="G1665" s="411" t="s">
        <v>706</v>
      </c>
      <c r="H1665" s="170">
        <f>'Process (4)'!H301</f>
        <v>259.19080322874999</v>
      </c>
      <c r="I1665" s="412" t="s">
        <v>487</v>
      </c>
    </row>
    <row r="1666" spans="1:9" ht="18.75" customHeight="1" x14ac:dyDescent="0.25">
      <c r="A1666" s="456"/>
      <c r="B1666" s="410" t="s">
        <v>512</v>
      </c>
      <c r="C1666" s="410"/>
      <c r="D1666" s="410"/>
      <c r="E1666" s="410"/>
      <c r="F1666" s="410"/>
      <c r="G1666" s="411" t="s">
        <v>734</v>
      </c>
      <c r="H1666" s="67">
        <f>'Process (4)'!H302</f>
        <v>3000</v>
      </c>
      <c r="I1666" s="412" t="s">
        <v>49</v>
      </c>
    </row>
    <row r="1667" spans="1:9" ht="18.75" customHeight="1" x14ac:dyDescent="0.25">
      <c r="A1667" s="456"/>
      <c r="B1667" s="410" t="s">
        <v>481</v>
      </c>
      <c r="C1667" s="410"/>
      <c r="D1667" s="410"/>
      <c r="E1667" s="410"/>
      <c r="F1667" s="413"/>
      <c r="G1667" s="411" t="s">
        <v>482</v>
      </c>
      <c r="H1667" s="170">
        <f>'Process (4)'!H303</f>
        <v>119.5</v>
      </c>
      <c r="I1667" s="412" t="s">
        <v>0</v>
      </c>
    </row>
    <row r="1668" spans="1:9" ht="18.75" customHeight="1" x14ac:dyDescent="0.25">
      <c r="A1668" s="456"/>
      <c r="B1668" s="410" t="s">
        <v>605</v>
      </c>
      <c r="C1668" s="410"/>
      <c r="D1668" s="410"/>
      <c r="E1668" s="410"/>
      <c r="F1668" s="410"/>
      <c r="G1668" s="411" t="s">
        <v>723</v>
      </c>
      <c r="H1668" s="170">
        <f>'Process (4)'!H304</f>
        <v>380.5</v>
      </c>
      <c r="I1668" s="412" t="s">
        <v>49</v>
      </c>
    </row>
    <row r="1669" spans="1:9" ht="18.75" customHeight="1" x14ac:dyDescent="0.25">
      <c r="A1669" s="456"/>
      <c r="B1669" s="410" t="s">
        <v>513</v>
      </c>
      <c r="C1669" s="410"/>
      <c r="D1669" s="410"/>
      <c r="E1669" s="410"/>
      <c r="F1669" s="410"/>
      <c r="G1669" s="411" t="s">
        <v>514</v>
      </c>
      <c r="H1669" s="67">
        <f>'Process (4)'!H305</f>
        <v>6</v>
      </c>
      <c r="I1669" s="412"/>
    </row>
    <row r="1670" spans="1:9" ht="18.75" customHeight="1" x14ac:dyDescent="0.25">
      <c r="A1670" s="456"/>
      <c r="B1670" s="413"/>
      <c r="C1670" s="410"/>
      <c r="D1670" s="410"/>
      <c r="E1670" s="410"/>
      <c r="F1670" s="410"/>
      <c r="G1670" s="413"/>
      <c r="H1670" s="434"/>
      <c r="I1670" s="412"/>
    </row>
    <row r="1671" spans="1:9" ht="18.75" customHeight="1" x14ac:dyDescent="0.25">
      <c r="A1671" s="456"/>
      <c r="B1671" s="410" t="s">
        <v>515</v>
      </c>
      <c r="C1671" s="410"/>
      <c r="D1671" s="410"/>
      <c r="E1671" s="410"/>
      <c r="F1671" s="410"/>
      <c r="G1671" s="411" t="s">
        <v>516</v>
      </c>
      <c r="H1671" s="170">
        <f>'Process (4)'!H307</f>
        <v>1389.3895542047712</v>
      </c>
      <c r="I1671" s="412" t="s">
        <v>115</v>
      </c>
    </row>
    <row r="1672" spans="1:9" ht="18.75" customHeight="1" x14ac:dyDescent="0.25">
      <c r="A1672" s="456"/>
      <c r="B1672" s="410"/>
      <c r="C1672" s="410"/>
      <c r="D1672" s="410"/>
      <c r="E1672" s="410"/>
      <c r="F1672" s="410"/>
      <c r="G1672" s="411" t="s">
        <v>517</v>
      </c>
      <c r="H1672" s="170">
        <f>'Process (4)'!H308</f>
        <v>3685.3557925281561</v>
      </c>
      <c r="I1672" s="412" t="s">
        <v>115</v>
      </c>
    </row>
    <row r="1673" spans="1:9" ht="18.75" customHeight="1" x14ac:dyDescent="0.25">
      <c r="A1673" s="456"/>
      <c r="B1673" s="410"/>
      <c r="C1673" s="410"/>
      <c r="D1673" s="410"/>
      <c r="E1673" s="410"/>
      <c r="F1673" s="410"/>
      <c r="G1673" s="411" t="s">
        <v>518</v>
      </c>
      <c r="H1673" s="170">
        <f>'Process (4)'!H309</f>
        <v>2084.0843313071568</v>
      </c>
      <c r="I1673" s="412" t="s">
        <v>115</v>
      </c>
    </row>
    <row r="1674" spans="1:9" ht="18.75" customHeight="1" x14ac:dyDescent="0.25">
      <c r="A1674" s="456"/>
      <c r="B1674" s="410" t="s">
        <v>519</v>
      </c>
      <c r="C1674" s="410"/>
      <c r="D1674" s="410"/>
      <c r="E1674" s="410"/>
      <c r="F1674" s="410"/>
      <c r="G1674" s="411" t="s">
        <v>520</v>
      </c>
      <c r="H1674" s="170">
        <f>'Process (4)'!H310</f>
        <v>1389.3895542047712</v>
      </c>
      <c r="I1674" s="412" t="s">
        <v>115</v>
      </c>
    </row>
    <row r="1675" spans="1:9" ht="18.75" customHeight="1" x14ac:dyDescent="0.25">
      <c r="A1675" s="456"/>
      <c r="B1675" s="410" t="s">
        <v>446</v>
      </c>
      <c r="C1675" s="410"/>
      <c r="D1675" s="410"/>
      <c r="E1675" s="410"/>
      <c r="F1675" s="410"/>
      <c r="G1675" s="411" t="s">
        <v>433</v>
      </c>
      <c r="H1675" s="67">
        <f>'Process (4)'!H311</f>
        <v>0.75</v>
      </c>
      <c r="I1675" s="412"/>
    </row>
    <row r="1676" spans="1:9" ht="18.75" customHeight="1" x14ac:dyDescent="0.25">
      <c r="A1676" s="456"/>
      <c r="B1676" s="410" t="s">
        <v>521</v>
      </c>
      <c r="C1676" s="410"/>
      <c r="D1676" s="410"/>
      <c r="E1676" s="410"/>
      <c r="F1676" s="410"/>
      <c r="G1676" s="411" t="s">
        <v>448</v>
      </c>
      <c r="H1676" s="170">
        <f>'Process (4)'!H312</f>
        <v>1042.0421656535784</v>
      </c>
      <c r="I1676" s="412" t="s">
        <v>115</v>
      </c>
    </row>
    <row r="1677" spans="1:9" ht="18.75" customHeight="1" x14ac:dyDescent="0.25">
      <c r="A1677" s="456"/>
      <c r="B1677" s="410" t="s">
        <v>522</v>
      </c>
      <c r="C1677" s="410"/>
      <c r="D1677" s="410"/>
      <c r="E1677" s="413"/>
      <c r="F1677" s="413"/>
      <c r="G1677" s="413"/>
      <c r="H1677" s="413"/>
      <c r="I1677" s="410"/>
    </row>
    <row r="1678" spans="1:9" ht="18.75" customHeight="1" x14ac:dyDescent="0.25">
      <c r="A1678" s="456"/>
      <c r="B1678" s="410"/>
      <c r="C1678" s="410" t="s">
        <v>523</v>
      </c>
      <c r="D1678" s="212" t="s">
        <v>524</v>
      </c>
      <c r="E1678" s="435" t="s">
        <v>449</v>
      </c>
      <c r="F1678" s="212" t="s">
        <v>525</v>
      </c>
      <c r="G1678" s="410"/>
      <c r="H1678" s="413"/>
      <c r="I1678" s="413"/>
    </row>
    <row r="1679" spans="1:9" ht="18.75" customHeight="1" x14ac:dyDescent="0.25">
      <c r="A1679" s="456"/>
      <c r="B1679" s="410"/>
      <c r="C1679" s="410"/>
      <c r="D1679" s="170">
        <f>'Process (4)'!D315</f>
        <v>1042.0421656535784</v>
      </c>
      <c r="E1679" s="436" t="str">
        <f>IF(D1679&lt;=F1679,"&lt;","&gt;")</f>
        <v>&gt;</v>
      </c>
      <c r="F1679" s="170">
        <f>'Process (4)'!F315</f>
        <v>259.19080322874999</v>
      </c>
      <c r="G1679" s="437" t="s">
        <v>338</v>
      </c>
      <c r="H1679" s="562" t="str">
        <f>IF(D1679&gt;F1679,"[ OK ]","[ NOT OK ]")</f>
        <v>[ OK ]</v>
      </c>
      <c r="I1679" s="413"/>
    </row>
    <row r="1680" spans="1:9" ht="18.75" customHeight="1" x14ac:dyDescent="0.25">
      <c r="A1680" s="456"/>
      <c r="B1680" s="410"/>
      <c r="C1680" s="410"/>
      <c r="D1680" s="410"/>
      <c r="E1680" s="410"/>
      <c r="F1680" s="413"/>
      <c r="G1680" s="413"/>
      <c r="H1680" s="413"/>
      <c r="I1680" s="413"/>
    </row>
    <row r="1681" spans="1:9" ht="18.75" customHeight="1" x14ac:dyDescent="0.25">
      <c r="A1681" s="456"/>
      <c r="B1681" s="410"/>
      <c r="C1681" s="410"/>
      <c r="D1681" s="410"/>
      <c r="E1681" s="410"/>
      <c r="F1681" s="410"/>
      <c r="G1681" s="413"/>
      <c r="H1681" s="413"/>
      <c r="I1681" s="413"/>
    </row>
    <row r="1682" spans="1:9" ht="18.75" customHeight="1" x14ac:dyDescent="0.25">
      <c r="A1682" s="454" t="s">
        <v>851</v>
      </c>
      <c r="B1682" s="406" t="s">
        <v>724</v>
      </c>
      <c r="C1682" s="407"/>
      <c r="D1682" s="407"/>
      <c r="E1682" s="407"/>
      <c r="F1682" s="407"/>
      <c r="G1682" s="407"/>
      <c r="H1682" s="407"/>
      <c r="I1682" s="407"/>
    </row>
    <row r="1683" spans="1:9" ht="18.75" customHeight="1" x14ac:dyDescent="0.25">
      <c r="A1683" s="455"/>
      <c r="B1683" s="408" t="s">
        <v>704</v>
      </c>
      <c r="C1683" s="409"/>
      <c r="D1683" s="409"/>
      <c r="E1683" s="409"/>
      <c r="F1683" s="409"/>
      <c r="G1683" s="409"/>
      <c r="H1683" s="409"/>
      <c r="I1683" s="409"/>
    </row>
    <row r="1684" spans="1:9" ht="18.75" customHeight="1" x14ac:dyDescent="0.25">
      <c r="A1684" s="456"/>
      <c r="B1684" s="410" t="s">
        <v>539</v>
      </c>
      <c r="C1684" s="410"/>
      <c r="D1684" s="410"/>
      <c r="E1684" s="410"/>
      <c r="F1684" s="410"/>
      <c r="G1684" s="411" t="s">
        <v>702</v>
      </c>
      <c r="H1684" s="170">
        <f>'Process (4)'!H320</f>
        <v>1321.943183703836</v>
      </c>
      <c r="I1684" s="412" t="s">
        <v>417</v>
      </c>
    </row>
    <row r="1685" spans="1:9" ht="18.75" customHeight="1" x14ac:dyDescent="0.25">
      <c r="A1685" s="456"/>
      <c r="B1685" s="410" t="s">
        <v>541</v>
      </c>
      <c r="C1685" s="410"/>
      <c r="D1685" s="410"/>
      <c r="E1685" s="413"/>
      <c r="F1685" s="413"/>
      <c r="G1685" s="411" t="s">
        <v>735</v>
      </c>
      <c r="H1685" s="67">
        <f>'Process (4)'!H321</f>
        <v>6730</v>
      </c>
      <c r="I1685" s="412" t="s">
        <v>49</v>
      </c>
    </row>
    <row r="1686" spans="1:9" ht="18.75" customHeight="1" x14ac:dyDescent="0.25">
      <c r="A1686" s="456"/>
      <c r="B1686" s="410" t="s">
        <v>253</v>
      </c>
      <c r="C1686" s="410"/>
      <c r="D1686" s="410"/>
      <c r="E1686" s="413"/>
      <c r="F1686" s="413"/>
      <c r="G1686" s="411" t="s">
        <v>720</v>
      </c>
      <c r="H1686" s="67">
        <f>'Process (4)'!H322</f>
        <v>500</v>
      </c>
      <c r="I1686" s="412" t="s">
        <v>49</v>
      </c>
    </row>
    <row r="1687" spans="1:9" ht="18.75" customHeight="1" x14ac:dyDescent="0.25">
      <c r="A1687" s="456"/>
      <c r="B1687" s="410" t="s">
        <v>542</v>
      </c>
      <c r="C1687" s="410"/>
      <c r="D1687" s="410"/>
      <c r="E1687" s="413"/>
      <c r="F1687" s="413"/>
      <c r="G1687" s="411" t="s">
        <v>482</v>
      </c>
      <c r="H1687" s="209">
        <f>'Process (4)'!H323</f>
        <v>119.5</v>
      </c>
      <c r="I1687" s="412" t="s">
        <v>49</v>
      </c>
    </row>
    <row r="1688" spans="1:9" ht="18.75" customHeight="1" x14ac:dyDescent="0.25">
      <c r="A1688" s="456"/>
      <c r="B1688" s="410" t="s">
        <v>543</v>
      </c>
      <c r="C1688" s="410"/>
      <c r="D1688" s="410"/>
      <c r="E1688" s="413"/>
      <c r="F1688" s="413"/>
      <c r="G1688" s="411" t="s">
        <v>484</v>
      </c>
      <c r="H1688" s="209">
        <f>'Process (4)'!H324</f>
        <v>380.5</v>
      </c>
      <c r="I1688" s="412" t="s">
        <v>49</v>
      </c>
    </row>
    <row r="1689" spans="1:9" ht="18.75" customHeight="1" x14ac:dyDescent="0.25">
      <c r="A1689" s="456"/>
      <c r="B1689" s="410" t="s">
        <v>544</v>
      </c>
      <c r="C1689" s="410"/>
      <c r="D1689" s="410"/>
      <c r="E1689" s="413"/>
      <c r="F1689" s="413"/>
      <c r="G1689" s="414" t="s">
        <v>545</v>
      </c>
      <c r="H1689" s="209">
        <f>'Process (4)'!H325</f>
        <v>30</v>
      </c>
      <c r="I1689" s="412" t="s">
        <v>7</v>
      </c>
    </row>
    <row r="1690" spans="1:9" ht="18.75" customHeight="1" x14ac:dyDescent="0.25">
      <c r="A1690" s="456"/>
      <c r="B1690" s="410" t="s">
        <v>546</v>
      </c>
      <c r="C1690" s="410"/>
      <c r="D1690" s="410"/>
      <c r="E1690" s="413"/>
      <c r="F1690" s="413"/>
      <c r="G1690" s="411" t="s">
        <v>447</v>
      </c>
      <c r="H1690" s="209">
        <f>'Process (4)'!H326</f>
        <v>400</v>
      </c>
      <c r="I1690" s="412" t="s">
        <v>7</v>
      </c>
    </row>
    <row r="1691" spans="1:9" ht="18.75" customHeight="1" x14ac:dyDescent="0.25">
      <c r="A1691" s="456"/>
      <c r="B1691" s="415" t="s">
        <v>9</v>
      </c>
      <c r="C1691" s="410"/>
      <c r="D1691" s="410"/>
      <c r="E1691" s="413"/>
      <c r="F1691" s="413"/>
      <c r="G1691" s="411" t="s">
        <v>547</v>
      </c>
      <c r="H1691" s="221">
        <f>'Process (4)'!H327</f>
        <v>200000</v>
      </c>
      <c r="I1691" s="412" t="s">
        <v>7</v>
      </c>
    </row>
    <row r="1692" spans="1:9" ht="18.75" customHeight="1" x14ac:dyDescent="0.25">
      <c r="A1692" s="457"/>
      <c r="B1692" s="416" t="s">
        <v>548</v>
      </c>
      <c r="C1692" s="416"/>
      <c r="D1692" s="416"/>
      <c r="E1692" s="416"/>
      <c r="F1692" s="416"/>
      <c r="G1692" s="417" t="s">
        <v>549</v>
      </c>
      <c r="H1692" s="153" t="str">
        <f>'Process (4)'!H328</f>
        <v>-</v>
      </c>
      <c r="I1692" s="418"/>
    </row>
    <row r="1693" spans="1:9" ht="18.75" customHeight="1" x14ac:dyDescent="0.25">
      <c r="A1693" s="457"/>
      <c r="B1693" s="416" t="s">
        <v>550</v>
      </c>
      <c r="C1693" s="416"/>
      <c r="D1693" s="416"/>
      <c r="E1693" s="416"/>
      <c r="F1693" s="416"/>
      <c r="G1693" s="417" t="s">
        <v>551</v>
      </c>
      <c r="H1693" s="154">
        <f>'Process (4)'!H329</f>
        <v>0.83571428571428574</v>
      </c>
      <c r="I1693" s="418"/>
    </row>
    <row r="1694" spans="1:9" ht="18.75" customHeight="1" x14ac:dyDescent="0.25">
      <c r="A1694" s="457"/>
      <c r="B1694" s="416" t="s">
        <v>552</v>
      </c>
      <c r="C1694" s="416"/>
      <c r="D1694" s="416"/>
      <c r="E1694" s="416"/>
      <c r="F1694" s="416"/>
      <c r="G1694" s="417" t="s">
        <v>549</v>
      </c>
      <c r="H1694" s="154" t="str">
        <f>'Process (4)'!H330</f>
        <v>-</v>
      </c>
      <c r="I1694" s="418"/>
    </row>
    <row r="1695" spans="1:9" ht="18.75" customHeight="1" x14ac:dyDescent="0.25">
      <c r="A1695" s="457"/>
      <c r="B1695" s="416" t="s">
        <v>427</v>
      </c>
      <c r="C1695" s="416"/>
      <c r="D1695" s="416"/>
      <c r="E1695" s="416"/>
      <c r="F1695" s="419" t="s">
        <v>338</v>
      </c>
      <c r="G1695" s="417" t="s">
        <v>549</v>
      </c>
      <c r="H1695" s="154">
        <f>'Process (4)'!H331</f>
        <v>0.83571428571428574</v>
      </c>
      <c r="I1695" s="418"/>
    </row>
    <row r="1696" spans="1:9" ht="18.75" customHeight="1" x14ac:dyDescent="0.25">
      <c r="A1696" s="457"/>
      <c r="B1696" s="416" t="s">
        <v>428</v>
      </c>
      <c r="C1696" s="416"/>
      <c r="D1696" s="416"/>
      <c r="E1696" s="416"/>
      <c r="F1696" s="419"/>
      <c r="G1696" s="417"/>
      <c r="H1696" s="420"/>
      <c r="I1696" s="418"/>
    </row>
    <row r="1697" spans="1:9" ht="18.75" customHeight="1" x14ac:dyDescent="0.25">
      <c r="A1697" s="457"/>
      <c r="B1697" s="416"/>
      <c r="C1697" s="421"/>
      <c r="D1697" s="416"/>
      <c r="E1697" s="416"/>
      <c r="F1697" s="416"/>
      <c r="G1697" s="417" t="s">
        <v>429</v>
      </c>
      <c r="H1697" s="224">
        <f>'Process (4)'!H333</f>
        <v>3.1966071428571427E-2</v>
      </c>
      <c r="I1697" s="418"/>
    </row>
    <row r="1698" spans="1:9" ht="18.75" customHeight="1" x14ac:dyDescent="0.25">
      <c r="A1698" s="457"/>
      <c r="B1698" s="416" t="s">
        <v>430</v>
      </c>
      <c r="C1698" s="416"/>
      <c r="D1698" s="422"/>
      <c r="E1698" s="420"/>
      <c r="F1698" s="423"/>
      <c r="G1698" s="417" t="s">
        <v>431</v>
      </c>
      <c r="H1698" s="224">
        <f>'Process (4)'!H334</f>
        <v>2.397455357142857E-2</v>
      </c>
      <c r="I1698" s="418"/>
    </row>
    <row r="1699" spans="1:9" ht="18.75" customHeight="1" x14ac:dyDescent="0.25">
      <c r="A1699" s="457"/>
      <c r="B1699" s="416" t="s">
        <v>432</v>
      </c>
      <c r="C1699" s="416"/>
      <c r="D1699" s="416"/>
      <c r="E1699" s="423"/>
      <c r="F1699" s="416"/>
      <c r="G1699" s="411" t="s">
        <v>594</v>
      </c>
      <c r="H1699" s="224">
        <f>'Process (4)'!H335</f>
        <v>2E-3</v>
      </c>
      <c r="I1699" s="418"/>
    </row>
    <row r="1700" spans="1:9" ht="18.75" customHeight="1" x14ac:dyDescent="0.25">
      <c r="A1700" s="457"/>
      <c r="B1700" s="416"/>
      <c r="C1700" s="416"/>
      <c r="D1700" s="416"/>
      <c r="E1700" s="416"/>
      <c r="F1700" s="416"/>
      <c r="G1700" s="417"/>
      <c r="H1700" s="225"/>
      <c r="I1700" s="418"/>
    </row>
    <row r="1701" spans="1:9" ht="18.75" customHeight="1" x14ac:dyDescent="0.25">
      <c r="A1701" s="457"/>
      <c r="B1701" s="416" t="s">
        <v>553</v>
      </c>
      <c r="C1701" s="416"/>
      <c r="D1701" s="416"/>
      <c r="E1701" s="416"/>
      <c r="F1701" s="417"/>
      <c r="G1701" s="417" t="s">
        <v>554</v>
      </c>
      <c r="H1701" s="155">
        <f>'Process (4)'!H337</f>
        <v>0.85</v>
      </c>
      <c r="I1701" s="418"/>
    </row>
    <row r="1702" spans="1:9" ht="18.75" customHeight="1" x14ac:dyDescent="0.25">
      <c r="A1702" s="457"/>
      <c r="B1702" s="416" t="s">
        <v>555</v>
      </c>
      <c r="C1702" s="416"/>
      <c r="D1702" s="416"/>
      <c r="E1702" s="416"/>
      <c r="F1702" s="417"/>
      <c r="G1702" s="417" t="s">
        <v>556</v>
      </c>
      <c r="H1702" s="154">
        <f>'Process (4)'!H338</f>
        <v>1555.2272749456895</v>
      </c>
      <c r="I1702" s="418" t="s">
        <v>145</v>
      </c>
    </row>
    <row r="1703" spans="1:9" ht="18.75" customHeight="1" x14ac:dyDescent="0.25">
      <c r="A1703" s="457"/>
      <c r="B1703" s="416" t="s">
        <v>557</v>
      </c>
      <c r="C1703" s="421"/>
      <c r="D1703" s="416"/>
      <c r="E1703" s="416"/>
      <c r="F1703" s="416"/>
      <c r="G1703" s="424" t="s">
        <v>558</v>
      </c>
      <c r="H1703" s="154">
        <f>'Process (4)'!H339</f>
        <v>1.5961344736908174</v>
      </c>
      <c r="I1703" s="354"/>
    </row>
    <row r="1704" spans="1:9" ht="18.75" customHeight="1" x14ac:dyDescent="0.25">
      <c r="A1704" s="457"/>
      <c r="B1704" s="416" t="s">
        <v>559</v>
      </c>
      <c r="C1704" s="416"/>
      <c r="D1704" s="416"/>
      <c r="E1704" s="416"/>
      <c r="F1704" s="416"/>
      <c r="I1704" s="355"/>
    </row>
    <row r="1705" spans="1:9" ht="18.75" customHeight="1" x14ac:dyDescent="0.25">
      <c r="A1705" s="457"/>
      <c r="B1705" s="416"/>
      <c r="C1705" s="416"/>
      <c r="D1705" s="416"/>
      <c r="E1705" s="416"/>
      <c r="F1705" s="416"/>
      <c r="G1705" s="417" t="s">
        <v>560</v>
      </c>
      <c r="H1705" s="154">
        <f>'Process (4)'!H340</f>
        <v>15.686274509803921</v>
      </c>
      <c r="I1705" s="355"/>
    </row>
    <row r="1706" spans="1:9" ht="18.75" customHeight="1" x14ac:dyDescent="0.25">
      <c r="A1706" s="457"/>
      <c r="B1706" s="416" t="s">
        <v>561</v>
      </c>
      <c r="C1706" s="421"/>
      <c r="D1706" s="416"/>
      <c r="E1706" s="416"/>
      <c r="F1706" s="416"/>
      <c r="G1706" s="424" t="s">
        <v>562</v>
      </c>
      <c r="H1706" s="224">
        <f>'Process (4)'!H341</f>
        <v>4.1237085128460168E-3</v>
      </c>
      <c r="I1706" s="354"/>
    </row>
    <row r="1707" spans="1:9" ht="18.75" customHeight="1" x14ac:dyDescent="0.25">
      <c r="A1707" s="457"/>
      <c r="B1707" s="416" t="s">
        <v>434</v>
      </c>
      <c r="C1707" s="416"/>
      <c r="D1707" s="416"/>
      <c r="E1707" s="416"/>
      <c r="F1707" s="416"/>
      <c r="G1707" s="425"/>
      <c r="H1707" s="418"/>
      <c r="I1707" s="426"/>
    </row>
    <row r="1708" spans="1:9" ht="18.75" customHeight="1" x14ac:dyDescent="0.25">
      <c r="A1708" s="457"/>
      <c r="B1708" s="416"/>
      <c r="C1708" s="416" t="s">
        <v>334</v>
      </c>
      <c r="D1708" s="420" t="s">
        <v>435</v>
      </c>
      <c r="E1708" s="420" t="s">
        <v>436</v>
      </c>
      <c r="F1708" s="420" t="s">
        <v>437</v>
      </c>
      <c r="G1708" s="417"/>
      <c r="H1708" s="425"/>
      <c r="I1708" s="416"/>
    </row>
    <row r="1709" spans="1:9" ht="18.75" customHeight="1" x14ac:dyDescent="0.25">
      <c r="A1709" s="457"/>
      <c r="B1709" s="416"/>
      <c r="C1709" s="416"/>
      <c r="D1709" s="425">
        <f>'Process (4)'!D344</f>
        <v>2E-3</v>
      </c>
      <c r="E1709" s="425">
        <f>'Process (4)'!E344</f>
        <v>4.1237085128460168E-3</v>
      </c>
      <c r="F1709" s="425">
        <f>'Process (4)'!F344</f>
        <v>2.397455357142857E-2</v>
      </c>
      <c r="G1709" s="419" t="s">
        <v>338</v>
      </c>
      <c r="H1709" s="427" t="str">
        <f>IF(D1709&lt;E1709,(IF(E1709&lt;F1709,"[ OK ]","[ NOT OK ]")),"[ Pakai ρmin ]")</f>
        <v>[ OK ]</v>
      </c>
      <c r="I1709" s="416"/>
    </row>
    <row r="1710" spans="1:9" ht="18.75" customHeight="1" x14ac:dyDescent="0.25">
      <c r="A1710" s="457"/>
      <c r="B1710" s="416"/>
      <c r="C1710" s="416"/>
      <c r="D1710" s="416"/>
      <c r="E1710" s="416"/>
      <c r="F1710" s="416"/>
      <c r="G1710" s="417"/>
      <c r="H1710" s="420"/>
      <c r="I1710" s="426"/>
    </row>
    <row r="1711" spans="1:9" ht="18.75" customHeight="1" x14ac:dyDescent="0.25">
      <c r="A1711" s="457"/>
      <c r="B1711" s="416" t="s">
        <v>563</v>
      </c>
      <c r="C1711" s="416"/>
      <c r="D1711" s="416"/>
      <c r="E1711" s="416"/>
      <c r="F1711" s="416"/>
      <c r="G1711" s="417" t="s">
        <v>564</v>
      </c>
      <c r="H1711" s="224">
        <f>'Process (4)'!H346</f>
        <v>4.1237085128460168E-3</v>
      </c>
      <c r="I1711" s="355"/>
    </row>
    <row r="1712" spans="1:9" ht="18.75" customHeight="1" x14ac:dyDescent="0.25">
      <c r="A1712" s="457"/>
      <c r="B1712" s="416"/>
      <c r="C1712" s="416"/>
      <c r="D1712" s="425"/>
      <c r="E1712" s="425"/>
      <c r="F1712" s="425"/>
      <c r="G1712" s="427"/>
      <c r="H1712" s="418"/>
      <c r="I1712" s="426"/>
    </row>
    <row r="1713" spans="1:9" ht="18.75" customHeight="1" x14ac:dyDescent="0.25">
      <c r="A1713" s="457"/>
      <c r="B1713" s="416" t="s">
        <v>438</v>
      </c>
      <c r="C1713" s="416"/>
      <c r="D1713" s="416"/>
      <c r="E1713" s="416"/>
      <c r="F1713" s="416"/>
      <c r="G1713" s="417" t="s">
        <v>565</v>
      </c>
      <c r="H1713" s="231">
        <f>'Process (4)'!H348</f>
        <v>10559.848429898129</v>
      </c>
      <c r="I1713" s="418" t="s">
        <v>439</v>
      </c>
    </row>
    <row r="1714" spans="1:9" ht="18.75" customHeight="1" x14ac:dyDescent="0.25">
      <c r="A1714" s="457"/>
      <c r="B1714" s="416" t="s">
        <v>440</v>
      </c>
      <c r="C1714" s="416"/>
      <c r="D1714" s="416"/>
      <c r="E1714" s="416"/>
      <c r="F1714" s="416"/>
      <c r="G1714" s="417" t="s">
        <v>566</v>
      </c>
      <c r="H1714" s="157">
        <f>'Process (4)'!H349</f>
        <v>84.592910119257581</v>
      </c>
      <c r="I1714" s="418" t="s">
        <v>49</v>
      </c>
    </row>
    <row r="1715" spans="1:9" ht="18.75" customHeight="1" x14ac:dyDescent="0.25">
      <c r="A1715" s="457"/>
      <c r="B1715" s="416" t="s">
        <v>441</v>
      </c>
      <c r="C1715" s="416"/>
      <c r="D1715" s="416"/>
      <c r="E1715" s="416"/>
      <c r="F1715" s="416"/>
      <c r="G1715" s="417" t="s">
        <v>567</v>
      </c>
      <c r="H1715" s="157">
        <f>'Process (4)'!H350</f>
        <v>1500</v>
      </c>
      <c r="I1715" s="418" t="s">
        <v>49</v>
      </c>
    </row>
    <row r="1716" spans="1:9" ht="18.75" customHeight="1" x14ac:dyDescent="0.25">
      <c r="A1716" s="457"/>
      <c r="B1716" s="416" t="s">
        <v>441</v>
      </c>
      <c r="C1716" s="416"/>
      <c r="D1716" s="416"/>
      <c r="E1716" s="416"/>
      <c r="F1716" s="416"/>
      <c r="G1716" s="417" t="s">
        <v>442</v>
      </c>
      <c r="H1716" s="157">
        <f>'Process (4)'!H351</f>
        <v>450</v>
      </c>
      <c r="I1716" s="418" t="s">
        <v>49</v>
      </c>
    </row>
    <row r="1717" spans="1:9" ht="18.75" customHeight="1" x14ac:dyDescent="0.25">
      <c r="A1717" s="457"/>
      <c r="B1717" s="416" t="s">
        <v>443</v>
      </c>
      <c r="C1717" s="416"/>
      <c r="D1717" s="416"/>
      <c r="E1717" s="416"/>
      <c r="F1717" s="416"/>
      <c r="G1717" s="417" t="s">
        <v>245</v>
      </c>
      <c r="H1717" s="157">
        <f>'Process (4)'!H352</f>
        <v>84.592910119257581</v>
      </c>
      <c r="I1717" s="418" t="s">
        <v>49</v>
      </c>
    </row>
    <row r="1718" spans="1:9" ht="18.75" customHeight="1" x14ac:dyDescent="0.25">
      <c r="A1718" s="457"/>
      <c r="B1718" s="416" t="s">
        <v>444</v>
      </c>
      <c r="C1718" s="416"/>
      <c r="D1718" s="416"/>
      <c r="E1718" s="416"/>
      <c r="F1718" s="416"/>
      <c r="G1718" s="417" t="s">
        <v>245</v>
      </c>
      <c r="H1718" s="232">
        <f>'Process (4)'!H353</f>
        <v>75</v>
      </c>
      <c r="I1718" s="418" t="s">
        <v>49</v>
      </c>
    </row>
    <row r="1719" spans="1:9" ht="18.75" customHeight="1" x14ac:dyDescent="0.25">
      <c r="A1719" s="457"/>
      <c r="B1719" s="416" t="s">
        <v>445</v>
      </c>
      <c r="C1719" s="416"/>
      <c r="D1719" s="416"/>
      <c r="E1719" s="416"/>
      <c r="F1719" s="416"/>
      <c r="G1719" s="233">
        <f>'Process (4)'!G354</f>
        <v>13</v>
      </c>
      <c r="H1719" s="234">
        <f>'Process (4)'!H354</f>
        <v>75</v>
      </c>
      <c r="I1719" s="418"/>
    </row>
    <row r="1720" spans="1:9" ht="18.75" customHeight="1" x14ac:dyDescent="0.25">
      <c r="A1720" s="457"/>
      <c r="B1720" s="416" t="s">
        <v>568</v>
      </c>
      <c r="C1720" s="416"/>
      <c r="D1720" s="416"/>
      <c r="E1720" s="416"/>
      <c r="F1720" s="416"/>
      <c r="G1720" s="417" t="s">
        <v>569</v>
      </c>
      <c r="H1720" s="235">
        <f>'Process (4)'!H355</f>
        <v>11910.510788044743</v>
      </c>
      <c r="I1720" s="418" t="s">
        <v>439</v>
      </c>
    </row>
    <row r="1721" spans="1:9" ht="18.75" customHeight="1" x14ac:dyDescent="0.25">
      <c r="A1721" s="457"/>
      <c r="B1721" s="416"/>
      <c r="C1721" s="416"/>
      <c r="D1721" s="416"/>
      <c r="E1721" s="416"/>
      <c r="F1721" s="416"/>
      <c r="G1721" s="416"/>
      <c r="H1721" s="416"/>
      <c r="I1721" s="418"/>
    </row>
    <row r="1722" spans="1:9" ht="18.75" customHeight="1" x14ac:dyDescent="0.25">
      <c r="A1722" s="457"/>
      <c r="B1722" s="416" t="s">
        <v>570</v>
      </c>
      <c r="C1722" s="416"/>
      <c r="D1722" s="416"/>
      <c r="E1722" s="416"/>
      <c r="F1722" s="416"/>
      <c r="G1722" s="417" t="s">
        <v>571</v>
      </c>
      <c r="H1722" s="154">
        <f>'Process (4)'!H357</f>
        <v>4764.2043152178976</v>
      </c>
      <c r="I1722" s="428" t="s">
        <v>115</v>
      </c>
    </row>
    <row r="1723" spans="1:9" ht="18.75" customHeight="1" x14ac:dyDescent="0.25">
      <c r="A1723" s="457"/>
      <c r="B1723" s="416" t="s">
        <v>572</v>
      </c>
      <c r="C1723" s="416"/>
      <c r="D1723" s="416"/>
      <c r="E1723" s="416"/>
      <c r="F1723" s="420"/>
      <c r="G1723" s="417" t="s">
        <v>573</v>
      </c>
      <c r="H1723" s="237">
        <f>'Process (4)'!H358</f>
        <v>143.42110714285715</v>
      </c>
      <c r="I1723" s="418" t="s">
        <v>115</v>
      </c>
    </row>
    <row r="1724" spans="1:9" ht="18.75" customHeight="1" x14ac:dyDescent="0.25">
      <c r="A1724" s="457"/>
      <c r="B1724" s="423"/>
      <c r="C1724" s="421"/>
      <c r="D1724" s="420"/>
      <c r="E1724" s="416"/>
      <c r="F1724" s="429"/>
      <c r="G1724" s="416"/>
      <c r="H1724" s="416"/>
      <c r="I1724" s="416"/>
    </row>
    <row r="1725" spans="1:9" ht="18.75" customHeight="1" x14ac:dyDescent="0.25">
      <c r="A1725" s="457"/>
      <c r="B1725" s="423" t="s">
        <v>574</v>
      </c>
      <c r="C1725" s="416"/>
      <c r="D1725" s="416"/>
      <c r="E1725" s="416"/>
      <c r="F1725" s="416"/>
      <c r="G1725" s="417" t="s">
        <v>575</v>
      </c>
      <c r="H1725" s="423" t="s">
        <v>576</v>
      </c>
      <c r="I1725" s="416"/>
    </row>
    <row r="1726" spans="1:9" ht="18.75" customHeight="1" x14ac:dyDescent="0.25">
      <c r="A1726" s="457"/>
      <c r="B1726" s="423"/>
      <c r="C1726" s="416"/>
      <c r="D1726" s="416"/>
      <c r="E1726" s="416"/>
      <c r="F1726" s="416"/>
      <c r="G1726" s="430">
        <f>'Process (4)'!G361</f>
        <v>143.42110714285715</v>
      </c>
      <c r="H1726" s="431">
        <f>'Process (4)'!H361</f>
        <v>4764.2043152178976</v>
      </c>
      <c r="I1726" s="416"/>
    </row>
    <row r="1727" spans="1:9" ht="18.75" customHeight="1" x14ac:dyDescent="0.25">
      <c r="A1727" s="457"/>
      <c r="B1727" s="416"/>
      <c r="C1727" s="416"/>
      <c r="D1727" s="416"/>
      <c r="E1727" s="416"/>
      <c r="F1727" s="416"/>
      <c r="G1727" s="417"/>
      <c r="H1727" s="431"/>
      <c r="I1727" s="428"/>
    </row>
    <row r="1728" spans="1:9" ht="18.75" customHeight="1" x14ac:dyDescent="0.25">
      <c r="A1728" s="457"/>
      <c r="B1728" s="423" t="s">
        <v>577</v>
      </c>
      <c r="C1728" s="416"/>
      <c r="D1728" s="417"/>
      <c r="E1728" s="416"/>
      <c r="F1728" s="420"/>
      <c r="G1728" s="417" t="s">
        <v>578</v>
      </c>
      <c r="H1728" s="155">
        <f>'Process (4)'!H363</f>
        <v>33.218292691552207</v>
      </c>
      <c r="I1728" s="428" t="s">
        <v>49</v>
      </c>
    </row>
    <row r="1729" spans="1:9" ht="18.75" customHeight="1" x14ac:dyDescent="0.25">
      <c r="A1729" s="457"/>
      <c r="B1729" s="416" t="s">
        <v>572</v>
      </c>
      <c r="C1729" s="417"/>
      <c r="D1729" s="420"/>
      <c r="E1729" s="416"/>
      <c r="F1729" s="420"/>
      <c r="G1729" s="417" t="s">
        <v>579</v>
      </c>
      <c r="H1729" s="154">
        <f>'Process (4)'!H364</f>
        <v>4764.2043152178976</v>
      </c>
      <c r="I1729" s="428" t="s">
        <v>115</v>
      </c>
    </row>
    <row r="1730" spans="1:9" ht="18.75" customHeight="1" x14ac:dyDescent="0.25">
      <c r="A1730" s="457"/>
      <c r="B1730" s="416" t="s">
        <v>570</v>
      </c>
      <c r="C1730" s="417"/>
      <c r="D1730" s="420"/>
      <c r="E1730" s="416"/>
      <c r="F1730" s="420"/>
      <c r="G1730" s="417" t="s">
        <v>580</v>
      </c>
      <c r="H1730" s="154">
        <f>'Process (4)'!H365</f>
        <v>4764.2043152178976</v>
      </c>
      <c r="I1730" s="428" t="s">
        <v>115</v>
      </c>
    </row>
    <row r="1731" spans="1:9" ht="18.75" customHeight="1" x14ac:dyDescent="0.25">
      <c r="A1731" s="457"/>
      <c r="B1731" s="423"/>
      <c r="C1731" s="416"/>
      <c r="D1731" s="416"/>
      <c r="E1731" s="416"/>
      <c r="F1731" s="416"/>
      <c r="G1731" s="420"/>
      <c r="H1731" s="418"/>
      <c r="I1731" s="426"/>
    </row>
    <row r="1732" spans="1:9" ht="18.75" customHeight="1" x14ac:dyDescent="0.25">
      <c r="A1732" s="457"/>
      <c r="B1732" s="423" t="s">
        <v>581</v>
      </c>
      <c r="C1732" s="416"/>
      <c r="D1732" s="416"/>
      <c r="E1732" s="416"/>
      <c r="F1732" s="416"/>
      <c r="G1732" s="420"/>
      <c r="H1732" s="418"/>
      <c r="I1732" s="426"/>
    </row>
    <row r="1733" spans="1:9" ht="18.75" customHeight="1" x14ac:dyDescent="0.25">
      <c r="A1733" s="457"/>
      <c r="B1733" s="416"/>
      <c r="C1733" s="423" t="s">
        <v>582</v>
      </c>
      <c r="D1733" s="416"/>
      <c r="E1733" s="417"/>
      <c r="F1733" s="420"/>
      <c r="G1733" s="418"/>
      <c r="H1733" s="416"/>
      <c r="I1733" s="416"/>
    </row>
    <row r="1734" spans="1:9" ht="18.75" customHeight="1" x14ac:dyDescent="0.25">
      <c r="A1734" s="457"/>
      <c r="B1734" s="423"/>
      <c r="C1734" s="416"/>
      <c r="D1734" s="416" t="s">
        <v>583</v>
      </c>
      <c r="E1734" s="416"/>
      <c r="F1734" s="416" t="s">
        <v>584</v>
      </c>
      <c r="G1734" s="417"/>
      <c r="H1734" s="420"/>
      <c r="I1734" s="416"/>
    </row>
    <row r="1735" spans="1:9" ht="18.75" customHeight="1" x14ac:dyDescent="0.25">
      <c r="A1735" s="457"/>
      <c r="B1735" s="416"/>
      <c r="C1735" s="416"/>
      <c r="D1735" s="425">
        <f>'Process (4)'!D370</f>
        <v>3.1363596305185683E-2</v>
      </c>
      <c r="E1735" s="420" t="str">
        <f>IF(D1735&lt;F1735,"&lt;","&gt;")</f>
        <v>&gt;</v>
      </c>
      <c r="F1735" s="420">
        <f>'Process (4)'!F370</f>
        <v>2E-3</v>
      </c>
      <c r="G1735" s="416"/>
      <c r="H1735" s="416"/>
      <c r="I1735" s="416"/>
    </row>
    <row r="1736" spans="1:9" ht="18.75" customHeight="1" x14ac:dyDescent="0.25">
      <c r="A1736" s="457"/>
      <c r="B1736" s="423" t="s">
        <v>585</v>
      </c>
      <c r="C1736" s="416"/>
      <c r="D1736" s="416"/>
      <c r="E1736" s="416"/>
      <c r="F1736" s="416"/>
      <c r="G1736" s="419" t="s">
        <v>338</v>
      </c>
      <c r="H1736" s="432" t="str">
        <f>IF(D1735&lt;=F1735,"Tekanan Terkontrol",IF(D1735&lt;0.005,"Transisi",IF(D1735&gt;0.005,"Tegangan Terkontrol","EROR")))</f>
        <v>Tegangan Terkontrol</v>
      </c>
      <c r="I1736" s="418"/>
    </row>
    <row r="1737" spans="1:9" ht="18.75" customHeight="1" x14ac:dyDescent="0.25">
      <c r="A1737" s="457"/>
      <c r="B1737" s="423"/>
      <c r="C1737" s="416"/>
      <c r="D1737" s="416"/>
      <c r="E1737" s="416"/>
      <c r="F1737" s="416"/>
      <c r="G1737" s="419"/>
      <c r="H1737" s="432"/>
      <c r="I1737" s="418"/>
    </row>
    <row r="1738" spans="1:9" ht="18.75" customHeight="1" x14ac:dyDescent="0.25">
      <c r="A1738" s="457"/>
      <c r="B1738" s="423" t="s">
        <v>586</v>
      </c>
      <c r="C1738" s="416"/>
      <c r="D1738" s="416"/>
      <c r="E1738" s="416"/>
      <c r="F1738" s="416"/>
      <c r="G1738" s="417" t="str">
        <f>IF(D1735&lt;=F1735,"φ =",IF(D1735&lt;0.005,"φ = 0,65 + 0,25 * (εs' - εs-yield)/(0,005 - εs-yield) =",IF(D1735&gt;0.005,"φ =","EROR")))</f>
        <v>φ =</v>
      </c>
      <c r="H1738" s="155">
        <f>'Process (4)'!H373</f>
        <v>0.9</v>
      </c>
      <c r="I1738" s="418"/>
    </row>
    <row r="1739" spans="1:9" ht="18.75" customHeight="1" x14ac:dyDescent="0.25">
      <c r="A1739" s="457"/>
      <c r="B1739" s="423" t="s">
        <v>587</v>
      </c>
      <c r="C1739" s="416"/>
      <c r="D1739" s="416"/>
      <c r="E1739" s="416"/>
      <c r="F1739" s="416"/>
      <c r="G1739" s="417" t="s">
        <v>588</v>
      </c>
      <c r="H1739" s="154">
        <f>'Process (4)'!H374</f>
        <v>1746.6501997758533</v>
      </c>
      <c r="I1739" s="418" t="s">
        <v>145</v>
      </c>
    </row>
    <row r="1740" spans="1:9" ht="18.75" customHeight="1" x14ac:dyDescent="0.25">
      <c r="A1740" s="457"/>
      <c r="B1740" s="423"/>
      <c r="C1740" s="416"/>
      <c r="D1740" s="416"/>
      <c r="E1740" s="416"/>
      <c r="F1740" s="416"/>
      <c r="G1740" s="417"/>
      <c r="H1740" s="431"/>
      <c r="I1740" s="418"/>
    </row>
    <row r="1741" spans="1:9" ht="18.75" customHeight="1" x14ac:dyDescent="0.25">
      <c r="A1741" s="457"/>
      <c r="B1741" s="416"/>
      <c r="C1741" s="416" t="s">
        <v>334</v>
      </c>
      <c r="D1741" s="242" t="s">
        <v>589</v>
      </c>
      <c r="E1741" s="420" t="s">
        <v>449</v>
      </c>
      <c r="F1741" s="242" t="s">
        <v>590</v>
      </c>
      <c r="G1741" s="416"/>
      <c r="H1741" s="416"/>
      <c r="I1741" s="416"/>
    </row>
    <row r="1742" spans="1:9" ht="18.75" customHeight="1" x14ac:dyDescent="0.25">
      <c r="A1742" s="457"/>
      <c r="B1742" s="416"/>
      <c r="C1742" s="416"/>
      <c r="D1742" s="154">
        <f>'Process (4)'!D377</f>
        <v>1571.9851797982681</v>
      </c>
      <c r="E1742" s="420" t="str">
        <f>IF(D1742&gt;F1742,"&gt;","&lt;")</f>
        <v>&gt;</v>
      </c>
      <c r="F1742" s="154">
        <f>'Process (4)'!F377</f>
        <v>1321.943183703836</v>
      </c>
      <c r="G1742" s="419" t="s">
        <v>338</v>
      </c>
      <c r="H1742" s="427" t="str">
        <f>IF(D1742&gt;=F1742,"[ OK ]","[ NOT OK ]")</f>
        <v>[ OK ]</v>
      </c>
      <c r="I1742" s="416"/>
    </row>
    <row r="1743" spans="1:9" ht="18.75" customHeight="1" x14ac:dyDescent="0.25">
      <c r="A1743" s="456"/>
      <c r="B1743" s="433"/>
      <c r="C1743" s="410"/>
      <c r="D1743" s="410"/>
      <c r="E1743" s="413"/>
      <c r="F1743" s="413"/>
      <c r="G1743" s="413"/>
      <c r="H1743" s="410"/>
      <c r="I1743" s="410"/>
    </row>
    <row r="1744" spans="1:9" ht="18.75" customHeight="1" x14ac:dyDescent="0.25">
      <c r="A1744" s="455"/>
      <c r="B1744" s="408" t="s">
        <v>705</v>
      </c>
      <c r="C1744" s="409"/>
      <c r="D1744" s="409"/>
      <c r="E1744" s="409"/>
      <c r="F1744" s="409"/>
      <c r="G1744" s="409"/>
      <c r="H1744" s="409"/>
      <c r="I1744" s="409"/>
    </row>
    <row r="1745" spans="1:9" ht="18.75" customHeight="1" x14ac:dyDescent="0.25">
      <c r="A1745" s="456"/>
      <c r="B1745" s="410" t="s">
        <v>494</v>
      </c>
      <c r="C1745" s="410"/>
      <c r="D1745" s="410"/>
      <c r="E1745" s="410"/>
      <c r="F1745" s="413"/>
      <c r="G1745" s="411" t="s">
        <v>706</v>
      </c>
      <c r="H1745" s="170">
        <f>'Process (4)'!H380</f>
        <v>581.45136857649595</v>
      </c>
      <c r="I1745" s="412" t="s">
        <v>487</v>
      </c>
    </row>
    <row r="1746" spans="1:9" ht="18.75" customHeight="1" x14ac:dyDescent="0.25">
      <c r="A1746" s="456"/>
      <c r="B1746" s="410" t="s">
        <v>512</v>
      </c>
      <c r="C1746" s="410"/>
      <c r="D1746" s="410"/>
      <c r="E1746" s="410"/>
      <c r="F1746" s="410"/>
      <c r="G1746" s="411" t="s">
        <v>719</v>
      </c>
      <c r="H1746" s="67">
        <f>'Process (4)'!H381</f>
        <v>6730</v>
      </c>
      <c r="I1746" s="412" t="s">
        <v>49</v>
      </c>
    </row>
    <row r="1747" spans="1:9" ht="18.75" customHeight="1" x14ac:dyDescent="0.25">
      <c r="A1747" s="456"/>
      <c r="B1747" s="410" t="s">
        <v>481</v>
      </c>
      <c r="C1747" s="410"/>
      <c r="D1747" s="410"/>
      <c r="E1747" s="410"/>
      <c r="F1747" s="413"/>
      <c r="G1747" s="411" t="s">
        <v>482</v>
      </c>
      <c r="H1747" s="170">
        <f>'Process (4)'!H382</f>
        <v>119.5</v>
      </c>
      <c r="I1747" s="412" t="s">
        <v>0</v>
      </c>
    </row>
    <row r="1748" spans="1:9" ht="18.75" customHeight="1" x14ac:dyDescent="0.25">
      <c r="A1748" s="456"/>
      <c r="B1748" s="410" t="s">
        <v>605</v>
      </c>
      <c r="C1748" s="410"/>
      <c r="D1748" s="410"/>
      <c r="E1748" s="410"/>
      <c r="F1748" s="410"/>
      <c r="G1748" s="411" t="s">
        <v>723</v>
      </c>
      <c r="H1748" s="170">
        <f>'Process (4)'!H383</f>
        <v>380.5</v>
      </c>
      <c r="I1748" s="412" t="s">
        <v>49</v>
      </c>
    </row>
    <row r="1749" spans="1:9" ht="18.75" customHeight="1" x14ac:dyDescent="0.25">
      <c r="A1749" s="456"/>
      <c r="B1749" s="410" t="s">
        <v>513</v>
      </c>
      <c r="C1749" s="410"/>
      <c r="D1749" s="410"/>
      <c r="E1749" s="410"/>
      <c r="F1749" s="410"/>
      <c r="G1749" s="411" t="s">
        <v>514</v>
      </c>
      <c r="H1749" s="67">
        <f>'Process (4)'!H384</f>
        <v>13.46</v>
      </c>
      <c r="I1749" s="412"/>
    </row>
    <row r="1750" spans="1:9" ht="18.75" customHeight="1" x14ac:dyDescent="0.25">
      <c r="A1750" s="456"/>
      <c r="B1750" s="413"/>
      <c r="C1750" s="410"/>
      <c r="D1750" s="410"/>
      <c r="E1750" s="410"/>
      <c r="F1750" s="410"/>
      <c r="G1750" s="413"/>
      <c r="H1750" s="434"/>
      <c r="I1750" s="412"/>
    </row>
    <row r="1751" spans="1:9" ht="18.75" customHeight="1" x14ac:dyDescent="0.25">
      <c r="A1751" s="456"/>
      <c r="B1751" s="410" t="s">
        <v>515</v>
      </c>
      <c r="C1751" s="410"/>
      <c r="D1751" s="410"/>
      <c r="E1751" s="410"/>
      <c r="F1751" s="410"/>
      <c r="G1751" s="411" t="s">
        <v>516</v>
      </c>
      <c r="H1751" s="170">
        <f>'Process (4)'!H386</f>
        <v>2684.9953135007204</v>
      </c>
      <c r="I1751" s="412" t="s">
        <v>115</v>
      </c>
    </row>
    <row r="1752" spans="1:9" ht="18.75" customHeight="1" x14ac:dyDescent="0.25">
      <c r="A1752" s="456"/>
      <c r="B1752" s="410"/>
      <c r="C1752" s="410"/>
      <c r="D1752" s="410"/>
      <c r="E1752" s="410"/>
      <c r="F1752" s="410"/>
      <c r="G1752" s="411" t="s">
        <v>517</v>
      </c>
      <c r="H1752" s="170">
        <f>'Process (4)'!H387</f>
        <v>4980.9615518241053</v>
      </c>
      <c r="I1752" s="412" t="s">
        <v>115</v>
      </c>
    </row>
    <row r="1753" spans="1:9" ht="18.75" customHeight="1" x14ac:dyDescent="0.25">
      <c r="A1753" s="456"/>
      <c r="B1753" s="410"/>
      <c r="C1753" s="410"/>
      <c r="D1753" s="410"/>
      <c r="E1753" s="410"/>
      <c r="F1753" s="410"/>
      <c r="G1753" s="411" t="s">
        <v>518</v>
      </c>
      <c r="H1753" s="170">
        <f>'Process (4)'!H388</f>
        <v>4675.2958498990556</v>
      </c>
      <c r="I1753" s="412" t="s">
        <v>115</v>
      </c>
    </row>
    <row r="1754" spans="1:9" ht="18.75" customHeight="1" x14ac:dyDescent="0.25">
      <c r="A1754" s="456"/>
      <c r="B1754" s="410" t="s">
        <v>519</v>
      </c>
      <c r="C1754" s="410"/>
      <c r="D1754" s="410"/>
      <c r="E1754" s="410"/>
      <c r="F1754" s="410"/>
      <c r="G1754" s="411" t="s">
        <v>520</v>
      </c>
      <c r="H1754" s="170">
        <f>'Process (4)'!H389</f>
        <v>2684.9953135007204</v>
      </c>
      <c r="I1754" s="412" t="s">
        <v>115</v>
      </c>
    </row>
    <row r="1755" spans="1:9" ht="18.75" customHeight="1" x14ac:dyDescent="0.25">
      <c r="A1755" s="456"/>
      <c r="B1755" s="410" t="s">
        <v>446</v>
      </c>
      <c r="C1755" s="410"/>
      <c r="D1755" s="410"/>
      <c r="E1755" s="410"/>
      <c r="F1755" s="410"/>
      <c r="G1755" s="411" t="s">
        <v>433</v>
      </c>
      <c r="H1755" s="67">
        <f>'Process (4)'!H390</f>
        <v>0.75</v>
      </c>
      <c r="I1755" s="412"/>
    </row>
    <row r="1756" spans="1:9" ht="18.75" customHeight="1" x14ac:dyDescent="0.25">
      <c r="A1756" s="456"/>
      <c r="B1756" s="410" t="s">
        <v>521</v>
      </c>
      <c r="C1756" s="410"/>
      <c r="D1756" s="410"/>
      <c r="E1756" s="410"/>
      <c r="F1756" s="410"/>
      <c r="G1756" s="411" t="s">
        <v>448</v>
      </c>
      <c r="H1756" s="170">
        <f>'Process (4)'!H391</f>
        <v>2013.7464851255404</v>
      </c>
      <c r="I1756" s="412" t="s">
        <v>115</v>
      </c>
    </row>
    <row r="1757" spans="1:9" ht="18.75" customHeight="1" x14ac:dyDescent="0.25">
      <c r="A1757" s="456"/>
      <c r="B1757" s="410" t="s">
        <v>522</v>
      </c>
      <c r="C1757" s="410"/>
      <c r="D1757" s="410"/>
      <c r="E1757" s="413"/>
      <c r="F1757" s="413"/>
      <c r="G1757" s="413"/>
      <c r="H1757" s="413"/>
      <c r="I1757" s="410"/>
    </row>
    <row r="1758" spans="1:9" ht="18.75" customHeight="1" x14ac:dyDescent="0.25">
      <c r="A1758" s="456"/>
      <c r="B1758" s="410"/>
      <c r="C1758" s="410" t="s">
        <v>523</v>
      </c>
      <c r="D1758" s="212" t="s">
        <v>524</v>
      </c>
      <c r="E1758" s="435" t="s">
        <v>449</v>
      </c>
      <c r="F1758" s="212" t="s">
        <v>525</v>
      </c>
      <c r="G1758" s="410"/>
      <c r="H1758" s="413"/>
      <c r="I1758" s="413"/>
    </row>
    <row r="1759" spans="1:9" ht="18.75" customHeight="1" x14ac:dyDescent="0.25">
      <c r="A1759" s="456"/>
      <c r="B1759" s="410"/>
      <c r="C1759" s="410"/>
      <c r="D1759" s="170">
        <f>'Process (4)'!D394</f>
        <v>2013.7464851255404</v>
      </c>
      <c r="E1759" s="436" t="str">
        <f>IF(D1759&lt;=F1759,"&lt;","&gt;")</f>
        <v>&gt;</v>
      </c>
      <c r="F1759" s="170">
        <f>'Process (4)'!F394</f>
        <v>581.45136857649595</v>
      </c>
      <c r="G1759" s="437" t="s">
        <v>338</v>
      </c>
      <c r="H1759" s="562" t="str">
        <f>IF(D1759&gt;F1759,"[ OK ]","[ NOT OK ]")</f>
        <v>[ OK ]</v>
      </c>
      <c r="I1759" s="413"/>
    </row>
    <row r="1760" spans="1:9" ht="18.75" customHeight="1" x14ac:dyDescent="0.25">
      <c r="A1760" s="456"/>
      <c r="B1760" s="410"/>
      <c r="C1760" s="410"/>
      <c r="D1760" s="410"/>
      <c r="E1760" s="410"/>
      <c r="F1760" s="413"/>
      <c r="G1760" s="413"/>
      <c r="H1760" s="413"/>
      <c r="I1760" s="413"/>
    </row>
    <row r="1761" spans="1:9" ht="18.75" customHeight="1" x14ac:dyDescent="0.25">
      <c r="A1761" s="456"/>
      <c r="B1761" s="305"/>
      <c r="C1761" s="305"/>
      <c r="D1761" s="305"/>
      <c r="E1761" s="305"/>
      <c r="F1761" s="305"/>
      <c r="G1761" s="306"/>
      <c r="H1761" s="306"/>
      <c r="I1761" s="306"/>
    </row>
    <row r="1762" spans="1:9" ht="18.75" customHeight="1" x14ac:dyDescent="0.25">
      <c r="A1762" s="458" t="s">
        <v>852</v>
      </c>
      <c r="B1762" s="438" t="s">
        <v>853</v>
      </c>
      <c r="C1762" s="439"/>
      <c r="D1762" s="439"/>
      <c r="E1762" s="439"/>
      <c r="F1762" s="439"/>
      <c r="G1762" s="440"/>
      <c r="H1762" s="439"/>
      <c r="I1762" s="441"/>
    </row>
    <row r="1763" spans="1:9" ht="18.75" customHeight="1" x14ac:dyDescent="0.25">
      <c r="A1763" s="456"/>
      <c r="B1763" s="442" t="s">
        <v>752</v>
      </c>
      <c r="C1763" s="413"/>
      <c r="D1763" s="413"/>
      <c r="E1763" s="413"/>
      <c r="F1763" s="413"/>
      <c r="G1763" s="339" t="s">
        <v>828</v>
      </c>
      <c r="H1763" s="6">
        <f>'Process (4)'!H398</f>
        <v>1289</v>
      </c>
      <c r="I1763" s="442" t="s">
        <v>49</v>
      </c>
    </row>
    <row r="1764" spans="1:9" ht="18.75" customHeight="1" x14ac:dyDescent="0.25">
      <c r="A1764" s="456"/>
      <c r="B1764" s="442" t="s">
        <v>753</v>
      </c>
      <c r="C1764" s="413"/>
      <c r="D1764" s="413"/>
      <c r="E1764" s="413"/>
      <c r="F1764" s="413"/>
      <c r="G1764" s="339" t="s">
        <v>754</v>
      </c>
      <c r="H1764" s="52">
        <f>'Process (4)'!H399</f>
        <v>1289000</v>
      </c>
      <c r="I1764" s="442" t="s">
        <v>467</v>
      </c>
    </row>
    <row r="1765" spans="1:9" ht="18.75" customHeight="1" x14ac:dyDescent="0.25">
      <c r="A1765" s="456"/>
      <c r="B1765" s="442" t="s">
        <v>755</v>
      </c>
      <c r="C1765" s="413"/>
      <c r="D1765" s="413"/>
      <c r="E1765" s="413"/>
      <c r="F1765" s="413"/>
      <c r="G1765" s="443" t="s">
        <v>756</v>
      </c>
      <c r="H1765" s="52">
        <f>'Process (4)'!H400</f>
        <v>1.4</v>
      </c>
      <c r="I1765" s="442"/>
    </row>
    <row r="1766" spans="1:9" ht="18.75" customHeight="1" x14ac:dyDescent="0.25">
      <c r="A1766" s="456"/>
      <c r="B1766" s="442" t="s">
        <v>757</v>
      </c>
      <c r="C1766" s="413"/>
      <c r="D1766" s="413"/>
      <c r="E1766" s="413"/>
      <c r="F1766" s="413"/>
      <c r="G1766" s="443" t="s">
        <v>758</v>
      </c>
      <c r="H1766" s="52">
        <f>'Process (4)'!H401</f>
        <v>0.75</v>
      </c>
      <c r="I1766" s="442"/>
    </row>
    <row r="1767" spans="1:9" ht="18.75" customHeight="1" x14ac:dyDescent="0.25">
      <c r="A1767" s="456"/>
      <c r="B1767" s="442"/>
      <c r="C1767" s="413"/>
      <c r="D1767" s="413"/>
      <c r="E1767" s="413"/>
      <c r="F1767" s="413"/>
      <c r="G1767" s="443"/>
      <c r="H1767" s="272"/>
      <c r="I1767" s="442"/>
    </row>
    <row r="1768" spans="1:9" ht="18.75" customHeight="1" x14ac:dyDescent="0.25">
      <c r="A1768" s="456"/>
      <c r="B1768" s="442"/>
      <c r="C1768" s="413"/>
      <c r="D1768" s="413"/>
      <c r="E1768" s="413"/>
      <c r="F1768" s="413"/>
      <c r="G1768" s="443"/>
      <c r="H1768" s="272"/>
      <c r="I1768" s="442"/>
    </row>
    <row r="1769" spans="1:9" ht="18.75" customHeight="1" x14ac:dyDescent="0.25">
      <c r="A1769" s="456"/>
      <c r="B1769" s="442" t="s">
        <v>759</v>
      </c>
      <c r="C1769" s="413"/>
      <c r="D1769" s="413"/>
      <c r="E1769" s="413"/>
      <c r="F1769" s="413"/>
      <c r="G1769" s="339"/>
      <c r="H1769" s="272"/>
      <c r="I1769" s="442"/>
    </row>
    <row r="1770" spans="1:9" ht="18.75" customHeight="1" x14ac:dyDescent="0.25">
      <c r="A1770" s="456"/>
      <c r="B1770" s="413"/>
      <c r="C1770" s="413" t="s">
        <v>334</v>
      </c>
      <c r="D1770" s="52" t="s">
        <v>829</v>
      </c>
      <c r="E1770" s="272" t="s">
        <v>760</v>
      </c>
      <c r="F1770" s="6">
        <v>1</v>
      </c>
      <c r="G1770" s="339"/>
      <c r="H1770" s="272"/>
      <c r="I1770" s="442"/>
    </row>
    <row r="1771" spans="1:9" ht="18.75" customHeight="1" x14ac:dyDescent="0.25">
      <c r="A1771" s="456"/>
      <c r="B1771" s="413"/>
      <c r="C1771" s="413"/>
      <c r="D1771" s="4">
        <f>'Process (4)'!D404</f>
        <v>0.38789759503491078</v>
      </c>
      <c r="E1771" s="272" t="str">
        <f>IF(D1771&lt;F1771,"&lt;","&gt;")</f>
        <v>&lt;</v>
      </c>
      <c r="F1771" s="6">
        <f>'Process (4)'!F404</f>
        <v>1</v>
      </c>
      <c r="G1771" s="444" t="s">
        <v>338</v>
      </c>
      <c r="H1771" s="445" t="str">
        <f>IF(D1771&lt;F1771,"[ OK ]","[ UBAH DIMENSI PENAMPANG ]")</f>
        <v>[ OK ]</v>
      </c>
      <c r="I1771" s="442"/>
    </row>
    <row r="1772" spans="1:9" ht="18.75" customHeight="1" x14ac:dyDescent="0.25">
      <c r="A1772" s="456"/>
      <c r="B1772" s="413"/>
      <c r="C1772" s="413"/>
      <c r="D1772" s="413"/>
      <c r="E1772" s="413"/>
      <c r="F1772" s="413"/>
      <c r="G1772" s="339"/>
      <c r="H1772" s="272"/>
      <c r="I1772" s="442"/>
    </row>
    <row r="1773" spans="1:9" ht="18.75" customHeight="1" x14ac:dyDescent="0.25">
      <c r="A1773" s="459"/>
      <c r="B1773" s="446" t="s">
        <v>761</v>
      </c>
      <c r="C1773" s="447"/>
      <c r="D1773" s="447"/>
      <c r="E1773" s="447"/>
      <c r="F1773" s="447"/>
      <c r="G1773" s="448"/>
      <c r="H1773" s="449"/>
      <c r="I1773" s="450"/>
    </row>
    <row r="1774" spans="1:9" ht="18.75" customHeight="1" x14ac:dyDescent="0.25">
      <c r="A1774" s="457"/>
      <c r="B1774" s="418" t="s">
        <v>548</v>
      </c>
      <c r="C1774" s="416"/>
      <c r="D1774" s="416"/>
      <c r="E1774" s="416"/>
      <c r="F1774" s="416"/>
      <c r="G1774" s="417" t="s">
        <v>549</v>
      </c>
      <c r="H1774" s="153" t="str">
        <f>'Process (4)'!H407</f>
        <v>-</v>
      </c>
      <c r="I1774" s="418"/>
    </row>
    <row r="1775" spans="1:9" ht="18.75" customHeight="1" x14ac:dyDescent="0.25">
      <c r="A1775" s="457"/>
      <c r="B1775" s="418" t="s">
        <v>550</v>
      </c>
      <c r="C1775" s="416"/>
      <c r="D1775" s="416"/>
      <c r="E1775" s="416"/>
      <c r="F1775" s="416"/>
      <c r="G1775" s="417" t="s">
        <v>551</v>
      </c>
      <c r="H1775" s="154">
        <f>'Process (4)'!H408</f>
        <v>0.83571428571428574</v>
      </c>
      <c r="I1775" s="418"/>
    </row>
    <row r="1776" spans="1:9" ht="18.75" customHeight="1" x14ac:dyDescent="0.25">
      <c r="A1776" s="457"/>
      <c r="B1776" s="418" t="s">
        <v>552</v>
      </c>
      <c r="C1776" s="416"/>
      <c r="D1776" s="416"/>
      <c r="E1776" s="416"/>
      <c r="F1776" s="416"/>
      <c r="G1776" s="417" t="s">
        <v>549</v>
      </c>
      <c r="H1776" s="154" t="str">
        <f>'Process (4)'!H409</f>
        <v>-</v>
      </c>
      <c r="I1776" s="418"/>
    </row>
    <row r="1777" spans="1:9" ht="18.75" customHeight="1" x14ac:dyDescent="0.25">
      <c r="A1777" s="457"/>
      <c r="B1777" s="418" t="s">
        <v>427</v>
      </c>
      <c r="C1777" s="416"/>
      <c r="D1777" s="416"/>
      <c r="E1777" s="416"/>
      <c r="F1777" s="419" t="s">
        <v>338</v>
      </c>
      <c r="G1777" s="417" t="s">
        <v>549</v>
      </c>
      <c r="H1777" s="154">
        <f>'Process (4)'!H410</f>
        <v>0.83571428571428574</v>
      </c>
      <c r="I1777" s="418"/>
    </row>
    <row r="1778" spans="1:9" ht="18.75" customHeight="1" x14ac:dyDescent="0.25">
      <c r="A1778" s="457"/>
      <c r="B1778" s="418" t="s">
        <v>428</v>
      </c>
      <c r="C1778" s="416"/>
      <c r="D1778" s="416"/>
      <c r="E1778" s="416"/>
      <c r="F1778" s="419"/>
      <c r="G1778" s="417"/>
      <c r="H1778" s="420"/>
      <c r="I1778" s="418"/>
    </row>
    <row r="1779" spans="1:9" ht="18.75" customHeight="1" x14ac:dyDescent="0.25">
      <c r="A1779" s="457"/>
      <c r="B1779" s="418"/>
      <c r="C1779" s="421"/>
      <c r="D1779" s="416"/>
      <c r="E1779" s="416"/>
      <c r="F1779" s="416"/>
      <c r="G1779" s="417" t="s">
        <v>429</v>
      </c>
      <c r="H1779" s="224">
        <f>'Process (4)'!H412</f>
        <v>3.1966071428571427E-2</v>
      </c>
      <c r="I1779" s="418"/>
    </row>
    <row r="1780" spans="1:9" ht="18.75" customHeight="1" x14ac:dyDescent="0.25">
      <c r="A1780" s="457"/>
      <c r="B1780" s="418" t="s">
        <v>430</v>
      </c>
      <c r="C1780" s="416"/>
      <c r="D1780" s="422"/>
      <c r="E1780" s="420"/>
      <c r="F1780" s="423"/>
      <c r="G1780" s="417" t="s">
        <v>431</v>
      </c>
      <c r="H1780" s="224">
        <f>'Process (4)'!H413</f>
        <v>2.397455357142857E-2</v>
      </c>
      <c r="I1780" s="418"/>
    </row>
    <row r="1781" spans="1:9" ht="18.75" customHeight="1" x14ac:dyDescent="0.25">
      <c r="A1781" s="457"/>
      <c r="B1781" s="418" t="s">
        <v>432</v>
      </c>
      <c r="C1781" s="416"/>
      <c r="D1781" s="416"/>
      <c r="E1781" s="423"/>
      <c r="F1781" s="416"/>
      <c r="G1781" s="417" t="s">
        <v>830</v>
      </c>
      <c r="H1781" s="224">
        <f>'Process (4)'!H414</f>
        <v>2E-3</v>
      </c>
      <c r="I1781" s="418"/>
    </row>
    <row r="1782" spans="1:9" ht="18.75" customHeight="1" x14ac:dyDescent="0.25">
      <c r="A1782" s="457"/>
      <c r="B1782" s="418" t="s">
        <v>559</v>
      </c>
      <c r="C1782" s="416"/>
      <c r="D1782" s="416"/>
      <c r="E1782" s="416"/>
      <c r="F1782" s="416"/>
      <c r="I1782" s="418"/>
    </row>
    <row r="1783" spans="1:9" ht="18.75" customHeight="1" x14ac:dyDescent="0.25">
      <c r="A1783" s="457"/>
      <c r="B1783" s="418"/>
      <c r="C1783" s="416"/>
      <c r="D1783" s="416"/>
      <c r="E1783" s="416"/>
      <c r="F1783" s="416"/>
      <c r="G1783" s="417" t="s">
        <v>560</v>
      </c>
      <c r="H1783" s="154">
        <f>'Process (4)'!H415</f>
        <v>15.686274509803923</v>
      </c>
      <c r="I1783" s="418"/>
    </row>
    <row r="1784" spans="1:9" ht="18.75" customHeight="1" x14ac:dyDescent="0.25">
      <c r="A1784" s="457"/>
      <c r="B1784" s="418" t="s">
        <v>586</v>
      </c>
      <c r="C1784" s="416"/>
      <c r="D1784" s="416"/>
      <c r="E1784" s="416"/>
      <c r="F1784" s="417"/>
      <c r="G1784" s="417" t="s">
        <v>554</v>
      </c>
      <c r="H1784" s="155">
        <f>'Process (4)'!H416</f>
        <v>0.75</v>
      </c>
      <c r="I1784" s="418"/>
    </row>
    <row r="1785" spans="1:9" ht="18.75" customHeight="1" x14ac:dyDescent="0.25">
      <c r="A1785" s="457"/>
      <c r="B1785" s="418" t="s">
        <v>762</v>
      </c>
      <c r="C1785" s="416"/>
      <c r="D1785" s="416"/>
      <c r="E1785" s="416"/>
      <c r="F1785" s="417"/>
      <c r="G1785" s="416"/>
      <c r="H1785" s="416"/>
      <c r="I1785" s="416"/>
    </row>
    <row r="1786" spans="1:9" ht="18.75" customHeight="1" x14ac:dyDescent="0.25">
      <c r="A1786" s="457"/>
      <c r="B1786" s="418"/>
      <c r="C1786" s="421"/>
      <c r="D1786" s="416"/>
      <c r="E1786" s="416"/>
      <c r="F1786" s="416"/>
      <c r="G1786" s="417" t="s">
        <v>831</v>
      </c>
      <c r="H1786" s="154">
        <f>'Process (4)'!H418</f>
        <v>201.33942774566472</v>
      </c>
      <c r="I1786" s="418" t="s">
        <v>145</v>
      </c>
    </row>
    <row r="1787" spans="1:9" ht="18.75" customHeight="1" x14ac:dyDescent="0.25">
      <c r="A1787" s="457"/>
      <c r="B1787" s="418" t="s">
        <v>763</v>
      </c>
      <c r="C1787" s="421"/>
      <c r="D1787" s="416"/>
      <c r="E1787" s="416"/>
      <c r="F1787" s="416"/>
      <c r="G1787" s="424" t="s">
        <v>764</v>
      </c>
      <c r="H1787" s="154">
        <f>'Process (4)'!H419</f>
        <v>0.16157037457098222</v>
      </c>
      <c r="I1787" s="418"/>
    </row>
    <row r="1788" spans="1:9" ht="18.75" customHeight="1" x14ac:dyDescent="0.25">
      <c r="A1788" s="457"/>
      <c r="B1788" s="418" t="s">
        <v>561</v>
      </c>
      <c r="C1788" s="421"/>
      <c r="D1788" s="416"/>
      <c r="E1788" s="416"/>
      <c r="F1788" s="416"/>
      <c r="G1788" s="424" t="s">
        <v>562</v>
      </c>
      <c r="H1788" s="224">
        <f>'Process (4)'!H420</f>
        <v>4.2247274803368579E-4</v>
      </c>
      <c r="I1788" s="418"/>
    </row>
    <row r="1789" spans="1:9" ht="18.75" customHeight="1" x14ac:dyDescent="0.25">
      <c r="A1789" s="457"/>
      <c r="B1789" s="418"/>
      <c r="C1789" s="421"/>
      <c r="D1789" s="416"/>
      <c r="E1789" s="416"/>
      <c r="F1789" s="416"/>
      <c r="G1789" s="424"/>
      <c r="H1789" s="425"/>
      <c r="I1789" s="418"/>
    </row>
    <row r="1790" spans="1:9" ht="18.75" customHeight="1" x14ac:dyDescent="0.25">
      <c r="A1790" s="457"/>
      <c r="B1790" s="418" t="s">
        <v>434</v>
      </c>
      <c r="C1790" s="416"/>
      <c r="D1790" s="416"/>
      <c r="E1790" s="416"/>
      <c r="F1790" s="416"/>
      <c r="G1790" s="417"/>
      <c r="H1790" s="425"/>
      <c r="I1790" s="418"/>
    </row>
    <row r="1791" spans="1:9" ht="18.75" customHeight="1" x14ac:dyDescent="0.25">
      <c r="A1791" s="457"/>
      <c r="B1791" s="416"/>
      <c r="C1791" s="416" t="s">
        <v>334</v>
      </c>
      <c r="D1791" s="451" t="s">
        <v>765</v>
      </c>
      <c r="E1791" s="451" t="s">
        <v>436</v>
      </c>
      <c r="F1791" s="451" t="s">
        <v>766</v>
      </c>
      <c r="G1791" s="417"/>
      <c r="H1791" s="425"/>
      <c r="I1791" s="418"/>
    </row>
    <row r="1792" spans="1:9" ht="18.75" customHeight="1" x14ac:dyDescent="0.25">
      <c r="A1792" s="457"/>
      <c r="B1792" s="416"/>
      <c r="C1792" s="416"/>
      <c r="D1792" s="425">
        <f>'Process (4)'!D424</f>
        <v>2E-3</v>
      </c>
      <c r="E1792" s="425">
        <f>'Process (4)'!E424</f>
        <v>4.2247274803368579E-4</v>
      </c>
      <c r="F1792" s="425">
        <f>'Process (4)'!F424</f>
        <v>2.397455357142857E-2</v>
      </c>
      <c r="G1792" s="419" t="s">
        <v>338</v>
      </c>
      <c r="H1792" s="427" t="str">
        <f>IF(D1792&lt;E1792,(IF(E1792&lt;F1792,"[ OK ]","[ PERBESAR DIMENSI ]")),"[ Pakai ρmin ]")</f>
        <v>[ Pakai ρmin ]</v>
      </c>
      <c r="I1792" s="418"/>
    </row>
    <row r="1793" spans="1:9" ht="18.75" customHeight="1" x14ac:dyDescent="0.25">
      <c r="A1793" s="457"/>
      <c r="B1793" s="416"/>
      <c r="C1793" s="416"/>
      <c r="D1793" s="416"/>
      <c r="E1793" s="416"/>
      <c r="F1793" s="417"/>
      <c r="G1793" s="417"/>
      <c r="H1793" s="431"/>
      <c r="I1793" s="418"/>
    </row>
    <row r="1794" spans="1:9" ht="18.75" customHeight="1" x14ac:dyDescent="0.25">
      <c r="A1794" s="457"/>
      <c r="B1794" s="418" t="s">
        <v>767</v>
      </c>
      <c r="C1794" s="421"/>
      <c r="D1794" s="416"/>
      <c r="E1794" s="416"/>
      <c r="F1794" s="416"/>
      <c r="G1794" s="424" t="s">
        <v>768</v>
      </c>
      <c r="H1794" s="224">
        <f>'Process (4)'!H426</f>
        <v>2E-3</v>
      </c>
      <c r="I1794" s="418"/>
    </row>
    <row r="1795" spans="1:9" ht="18.75" customHeight="1" x14ac:dyDescent="0.25">
      <c r="A1795" s="457"/>
      <c r="B1795" s="418" t="s">
        <v>438</v>
      </c>
      <c r="C1795" s="420"/>
      <c r="D1795" s="417"/>
      <c r="E1795" s="420"/>
      <c r="F1795" s="416"/>
      <c r="G1795" s="417" t="s">
        <v>769</v>
      </c>
      <c r="H1795" s="154">
        <f>'Process (4)'!H427</f>
        <v>2578</v>
      </c>
      <c r="I1795" s="418" t="s">
        <v>439</v>
      </c>
    </row>
    <row r="1796" spans="1:9" ht="18.75" customHeight="1" x14ac:dyDescent="0.25">
      <c r="A1796" s="456"/>
      <c r="B1796" s="413"/>
      <c r="C1796" s="413"/>
      <c r="D1796" s="413"/>
      <c r="E1796" s="413"/>
      <c r="F1796" s="413"/>
      <c r="G1796" s="339"/>
      <c r="H1796" s="272"/>
      <c r="I1796" s="442"/>
    </row>
    <row r="1797" spans="1:9" ht="18.75" customHeight="1" x14ac:dyDescent="0.25">
      <c r="A1797" s="459"/>
      <c r="B1797" s="446" t="s">
        <v>770</v>
      </c>
      <c r="C1797" s="447"/>
      <c r="D1797" s="447"/>
      <c r="E1797" s="447"/>
      <c r="F1797" s="447"/>
      <c r="G1797" s="448"/>
      <c r="H1797" s="449"/>
      <c r="I1797" s="450"/>
    </row>
    <row r="1798" spans="1:9" ht="18.75" customHeight="1" x14ac:dyDescent="0.25">
      <c r="A1798" s="457"/>
      <c r="B1798" s="418" t="s">
        <v>771</v>
      </c>
      <c r="C1798" s="416"/>
      <c r="D1798" s="416"/>
      <c r="E1798" s="416"/>
      <c r="F1798" s="416"/>
      <c r="G1798" s="417" t="s">
        <v>832</v>
      </c>
      <c r="H1798" s="155">
        <f>'Process (4)'!H430</f>
        <v>402.67885549132944</v>
      </c>
      <c r="I1798" s="418" t="s">
        <v>487</v>
      </c>
    </row>
    <row r="1799" spans="1:9" ht="18.75" customHeight="1" x14ac:dyDescent="0.25">
      <c r="A1799" s="457"/>
      <c r="B1799" s="418" t="s">
        <v>772</v>
      </c>
      <c r="C1799" s="416"/>
      <c r="D1799" s="416"/>
      <c r="E1799" s="416"/>
      <c r="F1799" s="417"/>
      <c r="G1799" s="417" t="s">
        <v>554</v>
      </c>
      <c r="H1799" s="155">
        <f>'Process (4)'!H431</f>
        <v>0.75</v>
      </c>
      <c r="I1799" s="418"/>
    </row>
    <row r="1800" spans="1:9" ht="18.75" customHeight="1" x14ac:dyDescent="0.25">
      <c r="A1800" s="456"/>
      <c r="B1800" s="442" t="s">
        <v>773</v>
      </c>
      <c r="C1800" s="413"/>
      <c r="D1800" s="413"/>
      <c r="E1800" s="413"/>
      <c r="F1800" s="413"/>
      <c r="G1800" s="339" t="s">
        <v>774</v>
      </c>
      <c r="H1800" s="6">
        <f>'Process (4)'!H432</f>
        <v>536.90514065510592</v>
      </c>
      <c r="I1800" s="418" t="s">
        <v>487</v>
      </c>
    </row>
    <row r="1801" spans="1:9" ht="18.75" customHeight="1" x14ac:dyDescent="0.25">
      <c r="A1801" s="456"/>
      <c r="B1801" s="442" t="s">
        <v>775</v>
      </c>
      <c r="C1801" s="413"/>
      <c r="D1801" s="413"/>
      <c r="E1801" s="339" t="s">
        <v>776</v>
      </c>
      <c r="F1801" s="413"/>
      <c r="G1801" s="339" t="s">
        <v>777</v>
      </c>
      <c r="H1801" s="6">
        <f>'Process (4)'!H433</f>
        <v>7734</v>
      </c>
      <c r="I1801" s="418" t="s">
        <v>487</v>
      </c>
    </row>
    <row r="1802" spans="1:9" ht="18.75" customHeight="1" x14ac:dyDescent="0.25">
      <c r="A1802" s="456"/>
      <c r="B1802" s="442"/>
      <c r="C1802" s="413"/>
      <c r="D1802" s="413"/>
      <c r="E1802" s="339" t="s">
        <v>778</v>
      </c>
      <c r="F1802" s="413"/>
      <c r="G1802" s="339" t="s">
        <v>779</v>
      </c>
      <c r="H1802" s="6">
        <f>'Process (4)'!H434</f>
        <v>7347.2999999999993</v>
      </c>
      <c r="I1802" s="418" t="s">
        <v>487</v>
      </c>
    </row>
    <row r="1803" spans="1:9" ht="18.75" customHeight="1" x14ac:dyDescent="0.25">
      <c r="A1803" s="456"/>
      <c r="B1803" s="442"/>
      <c r="C1803" s="413"/>
      <c r="D1803" s="413"/>
      <c r="E1803" s="339" t="s">
        <v>780</v>
      </c>
      <c r="F1803" s="413"/>
      <c r="G1803" s="339" t="s">
        <v>781</v>
      </c>
      <c r="H1803" s="6">
        <f>'Process (4)'!H435</f>
        <v>14179</v>
      </c>
      <c r="I1803" s="418" t="s">
        <v>487</v>
      </c>
    </row>
    <row r="1804" spans="1:9" ht="18.75" customHeight="1" x14ac:dyDescent="0.25">
      <c r="A1804" s="456"/>
      <c r="B1804" s="442"/>
      <c r="C1804" s="413"/>
      <c r="D1804" s="413"/>
      <c r="E1804" s="413"/>
      <c r="F1804" s="413"/>
      <c r="G1804" s="339" t="s">
        <v>782</v>
      </c>
      <c r="H1804" s="6">
        <f>'Process (4)'!H436</f>
        <v>7347.2999999999993</v>
      </c>
      <c r="I1804" s="418" t="s">
        <v>487</v>
      </c>
    </row>
    <row r="1805" spans="1:9" ht="18.75" customHeight="1" x14ac:dyDescent="0.25">
      <c r="A1805" s="456"/>
      <c r="B1805" s="442"/>
      <c r="C1805" s="413"/>
      <c r="D1805" s="413"/>
      <c r="E1805" s="413"/>
      <c r="F1805" s="413"/>
      <c r="G1805" s="339"/>
      <c r="H1805" s="404"/>
      <c r="I1805" s="418"/>
    </row>
    <row r="1806" spans="1:9" ht="18.75" customHeight="1" x14ac:dyDescent="0.25">
      <c r="A1806" s="456"/>
      <c r="B1806" s="442" t="s">
        <v>783</v>
      </c>
      <c r="C1806" s="413"/>
      <c r="D1806" s="413"/>
      <c r="E1806" s="413"/>
      <c r="F1806" s="413"/>
      <c r="G1806" s="339"/>
      <c r="H1806" s="272"/>
      <c r="I1806" s="442"/>
    </row>
    <row r="1807" spans="1:9" ht="18.75" customHeight="1" x14ac:dyDescent="0.25">
      <c r="A1807" s="456"/>
      <c r="B1807" s="442"/>
      <c r="C1807" s="413" t="s">
        <v>334</v>
      </c>
      <c r="D1807" s="52" t="s">
        <v>784</v>
      </c>
      <c r="E1807" s="272" t="s">
        <v>760</v>
      </c>
      <c r="F1807" s="6" t="s">
        <v>785</v>
      </c>
      <c r="G1807" s="339"/>
      <c r="H1807" s="272"/>
      <c r="I1807" s="442"/>
    </row>
    <row r="1808" spans="1:9" ht="18.75" customHeight="1" x14ac:dyDescent="0.25">
      <c r="A1808" s="456"/>
      <c r="B1808" s="442"/>
      <c r="C1808" s="413"/>
      <c r="D1808" s="4">
        <f>'Process (4)'!D439</f>
        <v>536.90514065510592</v>
      </c>
      <c r="E1808" s="272" t="str">
        <f>IF(D1808&lt;F1808,"&lt;","&gt;")</f>
        <v>&lt;</v>
      </c>
      <c r="F1808" s="6">
        <f>'Process (4)'!F439</f>
        <v>7347.2999999999993</v>
      </c>
      <c r="G1808" s="444" t="s">
        <v>338</v>
      </c>
      <c r="H1808" s="445" t="str">
        <f>IF(D1808&lt;F1808,"[ OK ]","[ UBAH DIMENSI PENAMPANG ]")</f>
        <v>[ OK ]</v>
      </c>
      <c r="I1808" s="442"/>
    </row>
    <row r="1809" spans="1:9" ht="18.75" customHeight="1" x14ac:dyDescent="0.25">
      <c r="A1809" s="456"/>
      <c r="B1809" s="442"/>
      <c r="C1809" s="413"/>
      <c r="D1809" s="413"/>
      <c r="E1809" s="413"/>
      <c r="F1809" s="413"/>
      <c r="G1809" s="339"/>
      <c r="H1809" s="272"/>
      <c r="I1809" s="442"/>
    </row>
    <row r="1810" spans="1:9" ht="18.75" customHeight="1" x14ac:dyDescent="0.25">
      <c r="A1810" s="457"/>
      <c r="B1810" s="418" t="s">
        <v>438</v>
      </c>
      <c r="C1810" s="420"/>
      <c r="D1810" s="417"/>
      <c r="E1810" s="420"/>
      <c r="F1810" s="416"/>
      <c r="G1810" s="417" t="s">
        <v>786</v>
      </c>
      <c r="H1810" s="154">
        <f>'Process (4)'!H441</f>
        <v>958.7591797412606</v>
      </c>
      <c r="I1810" s="418" t="s">
        <v>439</v>
      </c>
    </row>
    <row r="1811" spans="1:9" ht="18.75" customHeight="1" x14ac:dyDescent="0.25">
      <c r="A1811" s="456"/>
      <c r="B1811" s="413"/>
      <c r="C1811" s="413"/>
      <c r="D1811" s="413"/>
      <c r="E1811" s="413"/>
      <c r="F1811" s="413"/>
      <c r="G1811" s="339"/>
      <c r="H1811" s="272"/>
      <c r="I1811" s="442"/>
    </row>
    <row r="1812" spans="1:9" ht="18.75" customHeight="1" x14ac:dyDescent="0.25">
      <c r="A1812" s="459"/>
      <c r="B1812" s="446" t="s">
        <v>787</v>
      </c>
      <c r="C1812" s="447"/>
      <c r="D1812" s="447"/>
      <c r="E1812" s="447"/>
      <c r="F1812" s="447"/>
      <c r="G1812" s="448"/>
      <c r="H1812" s="449"/>
      <c r="I1812" s="450"/>
    </row>
    <row r="1813" spans="1:9" ht="18.75" customHeight="1" x14ac:dyDescent="0.25">
      <c r="A1813" s="456"/>
      <c r="B1813" s="442" t="s">
        <v>788</v>
      </c>
      <c r="C1813" s="413"/>
      <c r="D1813" s="413"/>
      <c r="E1813" s="339" t="s">
        <v>776</v>
      </c>
      <c r="F1813" s="413"/>
      <c r="G1813" s="339" t="s">
        <v>833</v>
      </c>
      <c r="H1813" s="154">
        <f>'Process (4)'!H444</f>
        <v>2578</v>
      </c>
      <c r="I1813" s="418" t="s">
        <v>439</v>
      </c>
    </row>
    <row r="1814" spans="1:9" ht="18.75" customHeight="1" x14ac:dyDescent="0.25">
      <c r="A1814" s="456"/>
      <c r="B1814" s="442"/>
      <c r="C1814" s="413"/>
      <c r="D1814" s="413"/>
      <c r="E1814" s="339" t="s">
        <v>778</v>
      </c>
      <c r="F1814" s="413"/>
      <c r="G1814" s="339" t="s">
        <v>834</v>
      </c>
      <c r="H1814" s="154">
        <f>'Process (4)'!H445</f>
        <v>639.17278649417369</v>
      </c>
      <c r="I1814" s="418" t="s">
        <v>439</v>
      </c>
    </row>
    <row r="1815" spans="1:9" ht="18.75" customHeight="1" x14ac:dyDescent="0.25">
      <c r="A1815" s="456"/>
      <c r="B1815" s="442"/>
      <c r="C1815" s="413"/>
      <c r="D1815" s="413"/>
      <c r="E1815" s="339" t="s">
        <v>780</v>
      </c>
      <c r="F1815" s="413"/>
      <c r="G1815" s="339" t="s">
        <v>789</v>
      </c>
      <c r="H1815" s="154">
        <f>'Process (4)'!H446</f>
        <v>3867</v>
      </c>
      <c r="I1815" s="418" t="s">
        <v>439</v>
      </c>
    </row>
    <row r="1816" spans="1:9" ht="18.75" customHeight="1" x14ac:dyDescent="0.25">
      <c r="A1816" s="456"/>
      <c r="B1816" s="442"/>
      <c r="C1816" s="413"/>
      <c r="D1816" s="413"/>
      <c r="E1816" s="413"/>
      <c r="F1816" s="413"/>
      <c r="G1816" s="339" t="s">
        <v>790</v>
      </c>
      <c r="H1816" s="154">
        <f>'Process (4)'!H447</f>
        <v>3867</v>
      </c>
      <c r="I1816" s="418" t="s">
        <v>439</v>
      </c>
    </row>
    <row r="1817" spans="1:9" ht="18.75" customHeight="1" x14ac:dyDescent="0.25">
      <c r="A1817" s="457"/>
      <c r="B1817" s="418" t="s">
        <v>791</v>
      </c>
      <c r="C1817" s="416"/>
      <c r="D1817" s="416"/>
      <c r="E1817" s="416"/>
      <c r="F1817" s="416"/>
      <c r="G1817" s="417" t="s">
        <v>835</v>
      </c>
      <c r="H1817" s="155">
        <f>'Process (4)'!H448</f>
        <v>111</v>
      </c>
      <c r="I1817" s="418" t="s">
        <v>49</v>
      </c>
    </row>
    <row r="1818" spans="1:9" ht="18.75" customHeight="1" x14ac:dyDescent="0.25">
      <c r="A1818" s="457"/>
      <c r="B1818" s="418" t="s">
        <v>792</v>
      </c>
      <c r="C1818" s="416"/>
      <c r="D1818" s="416"/>
      <c r="E1818" s="416"/>
      <c r="F1818" s="416"/>
      <c r="G1818" s="417" t="s">
        <v>793</v>
      </c>
      <c r="H1818" s="155">
        <f>'Process (4)'!H449</f>
        <v>17.553191489361701</v>
      </c>
      <c r="I1818" s="418"/>
    </row>
    <row r="1819" spans="1:9" ht="18.75" customHeight="1" x14ac:dyDescent="0.25">
      <c r="A1819" s="457"/>
      <c r="B1819" s="418" t="s">
        <v>794</v>
      </c>
      <c r="C1819" s="416"/>
      <c r="D1819" s="416"/>
      <c r="E1819" s="416"/>
      <c r="F1819" s="416"/>
      <c r="G1819" s="417" t="s">
        <v>795</v>
      </c>
      <c r="H1819" s="157">
        <f>'Process (4)'!H450</f>
        <v>17</v>
      </c>
      <c r="I1819" s="418" t="s">
        <v>796</v>
      </c>
    </row>
    <row r="1820" spans="1:9" ht="18.75" customHeight="1" x14ac:dyDescent="0.25">
      <c r="A1820" s="457"/>
      <c r="B1820" s="418" t="s">
        <v>797</v>
      </c>
      <c r="C1820" s="416"/>
      <c r="D1820" s="416"/>
      <c r="E1820" s="416"/>
      <c r="F1820" s="416"/>
    </row>
    <row r="1821" spans="1:9" ht="18.75" customHeight="1" x14ac:dyDescent="0.25">
      <c r="A1821" s="457"/>
      <c r="B1821" s="418"/>
      <c r="C1821" s="416"/>
      <c r="D1821" s="416"/>
      <c r="E1821" s="416"/>
      <c r="F1821" s="416"/>
      <c r="G1821" s="417" t="s">
        <v>798</v>
      </c>
      <c r="H1821" s="155">
        <f>'Process (4)'!H451</f>
        <v>48.625</v>
      </c>
      <c r="I1821" s="418" t="s">
        <v>49</v>
      </c>
    </row>
    <row r="1822" spans="1:9" ht="18.75" customHeight="1" x14ac:dyDescent="0.25">
      <c r="A1822" s="457"/>
      <c r="B1822" s="418" t="s">
        <v>799</v>
      </c>
      <c r="C1822" s="416"/>
      <c r="D1822" s="416"/>
      <c r="E1822" s="420"/>
      <c r="F1822" s="416"/>
      <c r="G1822" s="417" t="s">
        <v>800</v>
      </c>
      <c r="H1822" s="324">
        <f>'Process (4)'!H452</f>
        <v>10.172763056799326</v>
      </c>
      <c r="I1822" s="452"/>
    </row>
    <row r="1823" spans="1:9" ht="18.75" customHeight="1" x14ac:dyDescent="0.25">
      <c r="A1823" s="457"/>
      <c r="B1823" s="418" t="s">
        <v>445</v>
      </c>
      <c r="C1823" s="421"/>
      <c r="D1823" s="420"/>
      <c r="E1823" s="429"/>
      <c r="F1823" s="416"/>
      <c r="G1823" s="326">
        <f>'Process (4)'!G453</f>
        <v>11</v>
      </c>
      <c r="H1823" s="327">
        <f>'Process (4)'!H453</f>
        <v>22</v>
      </c>
      <c r="I1823" s="452"/>
    </row>
    <row r="1824" spans="1:9" ht="18.75" customHeight="1" x14ac:dyDescent="0.25">
      <c r="A1824" s="457"/>
      <c r="B1824" s="418" t="s">
        <v>568</v>
      </c>
      <c r="C1824" s="416"/>
      <c r="D1824" s="416"/>
      <c r="E1824" s="416"/>
      <c r="F1824" s="416"/>
      <c r="G1824" s="417" t="s">
        <v>801</v>
      </c>
      <c r="H1824" s="235">
        <f>'Process (4)'!H454</f>
        <v>4181.4598219280142</v>
      </c>
      <c r="I1824" s="418" t="s">
        <v>439</v>
      </c>
    </row>
    <row r="1825" spans="1:9" ht="18.75" customHeight="1" x14ac:dyDescent="0.25">
      <c r="A1825" s="457"/>
      <c r="B1825" s="418" t="s">
        <v>802</v>
      </c>
      <c r="C1825" s="416"/>
      <c r="D1825" s="416"/>
      <c r="E1825" s="416"/>
      <c r="F1825" s="416"/>
      <c r="G1825" s="417" t="s">
        <v>803</v>
      </c>
      <c r="H1825" s="157">
        <f>'Process (4)'!H455</f>
        <v>1</v>
      </c>
      <c r="I1825" s="428"/>
    </row>
    <row r="1826" spans="1:9" ht="18.75" customHeight="1" x14ac:dyDescent="0.25">
      <c r="A1826" s="457"/>
      <c r="B1826" s="418"/>
      <c r="C1826" s="416" t="s">
        <v>804</v>
      </c>
      <c r="D1826" s="417" t="s">
        <v>805</v>
      </c>
      <c r="E1826" s="420" t="s">
        <v>806</v>
      </c>
      <c r="F1826" s="416"/>
      <c r="G1826" s="419" t="s">
        <v>338</v>
      </c>
      <c r="H1826" s="427" t="str">
        <f>IF(H1825&lt;3,"[OK]","[NOT OK]")</f>
        <v>[OK]</v>
      </c>
      <c r="I1826" s="428"/>
    </row>
    <row r="1827" spans="1:9" ht="18.75" customHeight="1" x14ac:dyDescent="0.25">
      <c r="A1827" s="456"/>
      <c r="B1827" s="442"/>
      <c r="C1827" s="413"/>
      <c r="D1827" s="413"/>
      <c r="E1827" s="413"/>
      <c r="F1827" s="413"/>
      <c r="G1827" s="339"/>
      <c r="H1827" s="272"/>
      <c r="I1827" s="442"/>
    </row>
    <row r="1828" spans="1:9" ht="18.75" customHeight="1" x14ac:dyDescent="0.25">
      <c r="A1828" s="456"/>
      <c r="B1828" s="442"/>
      <c r="C1828" s="413"/>
      <c r="D1828" s="413"/>
      <c r="E1828" s="413"/>
      <c r="F1828" s="413"/>
      <c r="G1828" s="339"/>
      <c r="H1828" s="272"/>
      <c r="I1828" s="442"/>
    </row>
    <row r="1829" spans="1:9" ht="18.75" customHeight="1" x14ac:dyDescent="0.25">
      <c r="A1829" s="456"/>
      <c r="B1829" s="442" t="s">
        <v>807</v>
      </c>
      <c r="C1829" s="413"/>
      <c r="D1829" s="413"/>
      <c r="E1829" s="339"/>
      <c r="F1829" s="413"/>
      <c r="G1829" s="339" t="s">
        <v>836</v>
      </c>
      <c r="H1829" s="154">
        <f>'Process (4)'!H459</f>
        <v>1933.5</v>
      </c>
      <c r="I1829" s="418" t="s">
        <v>439</v>
      </c>
    </row>
    <row r="1830" spans="1:9" ht="18.75" customHeight="1" x14ac:dyDescent="0.25">
      <c r="A1830" s="457"/>
      <c r="B1830" s="418" t="s">
        <v>799</v>
      </c>
      <c r="C1830" s="416"/>
      <c r="D1830" s="416"/>
      <c r="E1830" s="420"/>
      <c r="F1830" s="416"/>
      <c r="G1830" s="417" t="s">
        <v>839</v>
      </c>
      <c r="H1830" s="155">
        <f>'Process (4)'!H460</f>
        <v>6.8194145699319595</v>
      </c>
      <c r="I1830" s="452"/>
    </row>
    <row r="1831" spans="1:9" ht="18.75" customHeight="1" x14ac:dyDescent="0.25">
      <c r="A1831" s="456"/>
      <c r="B1831" s="442" t="s">
        <v>808</v>
      </c>
      <c r="C1831" s="413"/>
      <c r="D1831" s="413"/>
      <c r="E1831" s="413"/>
      <c r="F1831" s="413"/>
      <c r="G1831" s="339" t="s">
        <v>809</v>
      </c>
      <c r="H1831" s="6">
        <f>'Process (4)'!H461</f>
        <v>0.61994677908472362</v>
      </c>
      <c r="I1831" s="442"/>
    </row>
    <row r="1832" spans="1:9" ht="18.75" customHeight="1" x14ac:dyDescent="0.25">
      <c r="A1832" s="457"/>
      <c r="B1832" s="418" t="s">
        <v>445</v>
      </c>
      <c r="C1832" s="421"/>
      <c r="D1832" s="420"/>
      <c r="E1832" s="429"/>
      <c r="F1832" s="328">
        <f>'Process (4)'!F462</f>
        <v>11</v>
      </c>
      <c r="G1832" s="329">
        <f>'Process (4)'!G462</f>
        <v>1</v>
      </c>
      <c r="H1832" s="327">
        <f>'Process (4)'!H462</f>
        <v>19</v>
      </c>
      <c r="I1832" s="452"/>
    </row>
    <row r="1833" spans="1:9" ht="18.75" customHeight="1" x14ac:dyDescent="0.25">
      <c r="A1833" s="456"/>
      <c r="B1833" s="442" t="s">
        <v>810</v>
      </c>
      <c r="C1833" s="413"/>
      <c r="D1833" s="413"/>
      <c r="E1833" s="413"/>
      <c r="F1833" s="413"/>
      <c r="G1833" s="339" t="s">
        <v>811</v>
      </c>
      <c r="H1833" s="52">
        <f>'Process (4)'!H463</f>
        <v>850</v>
      </c>
      <c r="I1833" s="442" t="s">
        <v>49</v>
      </c>
    </row>
    <row r="1834" spans="1:9" ht="18.75" customHeight="1" x14ac:dyDescent="0.25">
      <c r="A1834" s="456"/>
      <c r="B1834" s="442"/>
      <c r="C1834" s="413"/>
      <c r="D1834" s="413"/>
      <c r="E1834" s="413"/>
      <c r="F1834" s="413"/>
      <c r="G1834" s="339"/>
      <c r="H1834" s="272"/>
      <c r="I1834" s="442"/>
    </row>
    <row r="1835" spans="1:9" ht="18.75" customHeight="1" x14ac:dyDescent="0.25">
      <c r="A1835" s="456"/>
      <c r="B1835" s="442"/>
      <c r="C1835" s="413"/>
      <c r="D1835" s="413"/>
      <c r="E1835" s="413"/>
      <c r="F1835" s="413"/>
      <c r="G1835" s="339"/>
      <c r="H1835" s="272"/>
      <c r="I1835" s="442"/>
    </row>
    <row r="1836" spans="1:9" ht="18.75" customHeight="1" x14ac:dyDescent="0.25">
      <c r="A1836" s="456"/>
      <c r="B1836" s="442"/>
      <c r="C1836" s="413"/>
      <c r="D1836" s="413"/>
      <c r="E1836" s="413"/>
      <c r="F1836" s="413"/>
      <c r="G1836" s="339"/>
      <c r="H1836" s="272"/>
      <c r="I1836" s="442"/>
    </row>
    <row r="1837" spans="1:9" ht="18.75" customHeight="1" x14ac:dyDescent="0.25">
      <c r="A1837" s="456"/>
      <c r="B1837" s="442"/>
      <c r="C1837" s="413"/>
      <c r="D1837" s="413"/>
      <c r="E1837" s="413"/>
      <c r="F1837" s="413"/>
      <c r="G1837" s="339"/>
      <c r="H1837" s="272"/>
      <c r="I1837" s="442"/>
    </row>
    <row r="1838" spans="1:9" ht="18.75" customHeight="1" x14ac:dyDescent="0.25">
      <c r="A1838" s="456"/>
      <c r="B1838" s="442"/>
      <c r="C1838" s="413"/>
      <c r="D1838" s="413"/>
      <c r="E1838" s="413"/>
      <c r="F1838" s="413"/>
      <c r="G1838" s="339"/>
      <c r="H1838" s="272"/>
      <c r="I1838" s="442"/>
    </row>
    <row r="1839" spans="1:9" ht="18.75" customHeight="1" x14ac:dyDescent="0.25">
      <c r="A1839" s="456"/>
      <c r="B1839" s="442"/>
      <c r="C1839" s="413"/>
      <c r="D1839" s="413"/>
      <c r="E1839" s="413"/>
      <c r="F1839" s="413"/>
      <c r="G1839" s="339"/>
      <c r="H1839" s="272"/>
      <c r="I1839" s="442"/>
    </row>
    <row r="1840" spans="1:9" ht="18.75" customHeight="1" x14ac:dyDescent="0.25">
      <c r="A1840" s="456"/>
      <c r="B1840" s="442"/>
      <c r="C1840" s="413"/>
      <c r="D1840" s="413"/>
      <c r="E1840" s="413"/>
      <c r="F1840" s="413"/>
      <c r="G1840" s="339"/>
      <c r="H1840" s="272"/>
      <c r="I1840" s="442"/>
    </row>
    <row r="1841" spans="1:9" ht="18.75" customHeight="1" x14ac:dyDescent="0.25">
      <c r="A1841" s="456"/>
      <c r="B1841" s="442"/>
      <c r="C1841" s="413"/>
      <c r="D1841" s="413"/>
      <c r="E1841" s="413"/>
      <c r="F1841" s="413"/>
      <c r="G1841" s="339"/>
      <c r="H1841" s="272"/>
      <c r="I1841" s="442"/>
    </row>
    <row r="1842" spans="1:9" ht="18.75" customHeight="1" x14ac:dyDescent="0.25">
      <c r="A1842" s="456"/>
      <c r="B1842" s="442"/>
      <c r="C1842" s="413"/>
      <c r="D1842" s="413"/>
      <c r="E1842" s="413"/>
      <c r="F1842" s="413"/>
      <c r="G1842" s="339"/>
      <c r="H1842" s="272"/>
      <c r="I1842" s="442"/>
    </row>
    <row r="1843" spans="1:9" ht="18.75" customHeight="1" x14ac:dyDescent="0.25">
      <c r="A1843" s="459"/>
      <c r="B1843" s="446" t="s">
        <v>812</v>
      </c>
      <c r="C1843" s="447"/>
      <c r="D1843" s="447"/>
      <c r="E1843" s="447"/>
      <c r="F1843" s="447"/>
      <c r="G1843" s="448"/>
      <c r="H1843" s="449"/>
      <c r="I1843" s="450"/>
    </row>
    <row r="1844" spans="1:9" ht="18.75" customHeight="1" x14ac:dyDescent="0.25">
      <c r="A1844" s="456"/>
      <c r="B1844" s="413"/>
      <c r="C1844" s="413"/>
      <c r="D1844" s="413"/>
      <c r="E1844" s="413"/>
      <c r="F1844" s="413"/>
      <c r="G1844" s="339"/>
      <c r="H1844" s="272"/>
      <c r="I1844" s="442"/>
    </row>
    <row r="1845" spans="1:9" ht="18.75" customHeight="1" x14ac:dyDescent="0.25">
      <c r="A1845" s="456"/>
      <c r="B1845" s="413"/>
      <c r="C1845" s="413"/>
      <c r="D1845" s="413"/>
      <c r="E1845" s="413"/>
      <c r="F1845" s="413"/>
      <c r="G1845" s="339"/>
      <c r="H1845" s="272"/>
      <c r="I1845" s="442"/>
    </row>
    <row r="1846" spans="1:9" ht="18.75" customHeight="1" x14ac:dyDescent="0.25">
      <c r="A1846" s="456"/>
      <c r="B1846" s="413"/>
      <c r="C1846" s="413"/>
      <c r="D1846" s="413"/>
      <c r="E1846" s="413"/>
      <c r="F1846" s="413"/>
      <c r="G1846" s="339"/>
      <c r="H1846" s="272"/>
      <c r="I1846" s="442"/>
    </row>
    <row r="1847" spans="1:9" ht="18.75" customHeight="1" x14ac:dyDescent="0.25">
      <c r="A1847" s="456"/>
      <c r="B1847" s="413"/>
      <c r="C1847" s="413"/>
      <c r="D1847" s="413"/>
      <c r="E1847" s="413"/>
      <c r="F1847" s="413"/>
      <c r="G1847" s="339"/>
      <c r="H1847" s="272"/>
      <c r="I1847" s="442"/>
    </row>
    <row r="1848" spans="1:9" ht="18.75" customHeight="1" x14ac:dyDescent="0.25">
      <c r="A1848" s="456"/>
      <c r="B1848" s="413"/>
      <c r="C1848" s="413"/>
      <c r="D1848" s="413"/>
      <c r="E1848" s="413"/>
      <c r="F1848" s="413"/>
      <c r="G1848" s="339"/>
      <c r="H1848" s="272"/>
      <c r="I1848" s="442"/>
    </row>
    <row r="1849" spans="1:9" ht="18.75" customHeight="1" x14ac:dyDescent="0.25">
      <c r="A1849" s="456"/>
      <c r="B1849" s="413"/>
      <c r="C1849" s="413"/>
      <c r="D1849" s="413"/>
      <c r="E1849" s="413"/>
      <c r="F1849" s="413"/>
      <c r="G1849" s="339"/>
      <c r="H1849" s="272"/>
      <c r="I1849" s="442"/>
    </row>
    <row r="1850" spans="1:9" ht="18.75" customHeight="1" x14ac:dyDescent="0.25">
      <c r="A1850" s="456"/>
      <c r="B1850" s="413"/>
      <c r="C1850" s="413"/>
      <c r="D1850" s="413"/>
      <c r="E1850" s="413"/>
      <c r="F1850" s="413"/>
      <c r="G1850" s="339"/>
      <c r="H1850" s="272"/>
      <c r="I1850" s="442"/>
    </row>
    <row r="1851" spans="1:9" ht="18.75" customHeight="1" x14ac:dyDescent="0.25">
      <c r="A1851" s="456"/>
      <c r="B1851" s="413"/>
      <c r="C1851" s="413"/>
      <c r="D1851" s="413"/>
      <c r="E1851" s="413"/>
      <c r="F1851" s="413"/>
      <c r="G1851" s="339"/>
      <c r="H1851" s="272"/>
      <c r="I1851" s="442"/>
    </row>
    <row r="1852" spans="1:9" ht="18.75" customHeight="1" x14ac:dyDescent="0.25">
      <c r="A1852" s="456"/>
      <c r="B1852" s="413"/>
      <c r="C1852" s="413"/>
      <c r="D1852" s="413"/>
      <c r="E1852" s="413"/>
      <c r="F1852" s="413"/>
      <c r="G1852" s="339"/>
      <c r="H1852" s="272"/>
      <c r="I1852" s="442"/>
    </row>
    <row r="1853" spans="1:9" ht="18.75" customHeight="1" x14ac:dyDescent="0.25">
      <c r="A1853" s="456"/>
      <c r="B1853" s="413"/>
      <c r="C1853" s="413"/>
      <c r="D1853" s="413"/>
      <c r="E1853" s="413"/>
      <c r="F1853" s="413"/>
      <c r="G1853" s="339"/>
      <c r="H1853" s="272"/>
      <c r="I1853" s="442"/>
    </row>
    <row r="1854" spans="1:9" ht="18.75" customHeight="1" x14ac:dyDescent="0.25">
      <c r="A1854" s="456"/>
      <c r="B1854" s="413"/>
      <c r="C1854" s="413"/>
      <c r="D1854" s="413"/>
      <c r="E1854" s="413"/>
      <c r="F1854" s="413"/>
      <c r="G1854" s="339"/>
      <c r="H1854" s="272"/>
      <c r="I1854" s="442"/>
    </row>
    <row r="1855" spans="1:9" ht="18.75" customHeight="1" x14ac:dyDescent="0.25">
      <c r="A1855" s="456"/>
      <c r="B1855" s="413"/>
      <c r="C1855" s="413"/>
      <c r="D1855" s="413"/>
      <c r="E1855" s="413"/>
      <c r="F1855" s="413"/>
      <c r="G1855" s="339"/>
      <c r="H1855" s="272"/>
      <c r="I1855" s="442"/>
    </row>
    <row r="1856" spans="1:9" ht="18.75" customHeight="1" x14ac:dyDescent="0.25">
      <c r="A1856" s="456"/>
      <c r="B1856" s="442" t="s">
        <v>813</v>
      </c>
      <c r="C1856" s="413"/>
      <c r="D1856" s="413"/>
      <c r="E1856" s="413"/>
      <c r="F1856" s="413"/>
      <c r="G1856" s="339"/>
      <c r="H1856" s="272"/>
      <c r="I1856" s="442"/>
    </row>
    <row r="1857" spans="1:9" ht="18.75" customHeight="1" x14ac:dyDescent="0.25">
      <c r="A1857" s="456"/>
      <c r="B1857" s="442"/>
      <c r="C1857" s="413"/>
      <c r="D1857" s="413"/>
      <c r="E1857" s="339" t="s">
        <v>776</v>
      </c>
      <c r="F1857" s="413"/>
      <c r="G1857" s="339" t="s">
        <v>814</v>
      </c>
      <c r="H1857" s="460">
        <f>'Process (4)'!H480</f>
        <v>1796633.9034884034</v>
      </c>
      <c r="I1857" s="418" t="s">
        <v>815</v>
      </c>
    </row>
    <row r="1858" spans="1:9" ht="18.75" customHeight="1" x14ac:dyDescent="0.25">
      <c r="A1858" s="456"/>
      <c r="B1858" s="442"/>
      <c r="C1858" s="413"/>
      <c r="D1858" s="413"/>
      <c r="E1858" s="339" t="s">
        <v>778</v>
      </c>
      <c r="F1858" s="413"/>
      <c r="G1858" s="339" t="s">
        <v>816</v>
      </c>
      <c r="H1858" s="460">
        <f>'Process (4)'!H481</f>
        <v>367968.46432966524</v>
      </c>
      <c r="I1858" s="418" t="s">
        <v>815</v>
      </c>
    </row>
    <row r="1859" spans="1:9" ht="18.75" customHeight="1" x14ac:dyDescent="0.25">
      <c r="A1859" s="456"/>
      <c r="B1859" s="442"/>
      <c r="C1859" s="413"/>
      <c r="D1859" s="413"/>
      <c r="E1859" s="413"/>
      <c r="F1859" s="413"/>
      <c r="G1859" s="339" t="s">
        <v>817</v>
      </c>
      <c r="H1859" s="460">
        <f>'Process (4)'!H482</f>
        <v>1796633.9034884034</v>
      </c>
      <c r="I1859" s="418" t="s">
        <v>815</v>
      </c>
    </row>
    <row r="1860" spans="1:9" ht="18.75" customHeight="1" x14ac:dyDescent="0.25">
      <c r="A1860" s="456"/>
      <c r="B1860" s="442" t="s">
        <v>818</v>
      </c>
      <c r="C1860" s="413"/>
      <c r="D1860" s="413"/>
      <c r="E1860" s="413"/>
      <c r="F1860" s="413"/>
      <c r="G1860" s="339" t="s">
        <v>819</v>
      </c>
      <c r="H1860" s="157">
        <f>'Process (4)'!H483</f>
        <v>429.66666666666669</v>
      </c>
      <c r="I1860" s="418" t="s">
        <v>49</v>
      </c>
    </row>
    <row r="1861" spans="1:9" ht="18.75" customHeight="1" x14ac:dyDescent="0.25">
      <c r="A1861" s="456"/>
      <c r="B1861" s="442" t="s">
        <v>820</v>
      </c>
      <c r="C1861" s="413"/>
      <c r="D1861" s="413"/>
      <c r="E1861" s="413"/>
      <c r="F1861" s="413"/>
      <c r="G1861" s="339" t="s">
        <v>821</v>
      </c>
      <c r="H1861" s="157">
        <f>'Process (4)'!H484</f>
        <v>150</v>
      </c>
      <c r="I1861" s="418" t="s">
        <v>49</v>
      </c>
    </row>
    <row r="1862" spans="1:9" ht="18.75" customHeight="1" x14ac:dyDescent="0.25">
      <c r="A1862" s="456"/>
      <c r="B1862" s="442" t="s">
        <v>822</v>
      </c>
      <c r="C1862" s="413"/>
      <c r="D1862" s="413"/>
      <c r="E1862" s="413"/>
      <c r="F1862" s="413"/>
      <c r="G1862" s="339" t="s">
        <v>823</v>
      </c>
      <c r="H1862" s="157">
        <f>'Process (4)'!H485</f>
        <v>450</v>
      </c>
      <c r="I1862" s="418" t="s">
        <v>49</v>
      </c>
    </row>
    <row r="1863" spans="1:9" ht="18.75" customHeight="1" x14ac:dyDescent="0.25">
      <c r="A1863" s="456"/>
      <c r="B1863" s="442"/>
      <c r="C1863" s="413"/>
      <c r="D1863" s="413"/>
      <c r="E1863" s="413"/>
      <c r="F1863" s="413"/>
      <c r="G1863" s="339"/>
      <c r="H1863" s="272"/>
      <c r="I1863" s="442"/>
    </row>
    <row r="1864" spans="1:9" ht="18.75" customHeight="1" x14ac:dyDescent="0.25">
      <c r="A1864" s="456"/>
      <c r="B1864" s="442" t="s">
        <v>824</v>
      </c>
      <c r="C1864" s="413"/>
      <c r="D1864" s="413"/>
      <c r="E1864" s="413"/>
      <c r="F1864" s="413"/>
      <c r="G1864" s="339" t="s">
        <v>825</v>
      </c>
      <c r="H1864" s="52">
        <f>'Process (4)'!H487</f>
        <v>264</v>
      </c>
      <c r="I1864" s="442" t="s">
        <v>49</v>
      </c>
    </row>
    <row r="1865" spans="1:9" ht="18.75" customHeight="1" x14ac:dyDescent="0.25">
      <c r="A1865" s="456"/>
      <c r="B1865" s="442" t="s">
        <v>826</v>
      </c>
      <c r="C1865" s="413"/>
      <c r="D1865" s="413"/>
      <c r="E1865" s="413"/>
      <c r="F1865" s="413"/>
      <c r="G1865" s="339" t="s">
        <v>827</v>
      </c>
      <c r="H1865" s="52">
        <f>'Process (4)'!H488</f>
        <v>275</v>
      </c>
      <c r="I1865" s="442" t="s">
        <v>49</v>
      </c>
    </row>
    <row r="1866" spans="1:9" ht="18.75" customHeight="1" x14ac:dyDescent="0.25">
      <c r="A1866" s="456"/>
      <c r="B1866" s="442"/>
      <c r="C1866" s="413"/>
      <c r="D1866" s="413"/>
      <c r="E1866" s="413"/>
      <c r="F1866" s="413"/>
      <c r="G1866" s="339"/>
      <c r="H1866" s="272"/>
      <c r="I1866" s="453"/>
    </row>
    <row r="1867" spans="1:9" ht="18.75" customHeight="1" x14ac:dyDescent="0.25">
      <c r="A1867" s="456"/>
      <c r="B1867" s="442"/>
      <c r="C1867" s="413"/>
      <c r="D1867" s="413"/>
      <c r="E1867" s="413"/>
      <c r="F1867" s="413"/>
      <c r="G1867" s="339"/>
      <c r="H1867" s="272"/>
      <c r="I1867" s="453"/>
    </row>
    <row r="1868" spans="1:9" ht="18.75" customHeight="1" x14ac:dyDescent="0.25">
      <c r="A1868" s="456"/>
      <c r="B1868" s="442"/>
      <c r="C1868" s="413"/>
      <c r="D1868" s="413"/>
      <c r="E1868" s="413"/>
      <c r="F1868" s="413"/>
      <c r="G1868" s="339"/>
      <c r="H1868" s="272"/>
      <c r="I1868" s="453"/>
    </row>
    <row r="1869" spans="1:9" ht="18.75" customHeight="1" x14ac:dyDescent="0.25">
      <c r="A1869" s="456"/>
      <c r="B1869" s="442"/>
      <c r="C1869" s="413"/>
      <c r="D1869" s="413"/>
      <c r="E1869" s="413"/>
      <c r="F1869" s="413"/>
      <c r="G1869" s="339"/>
      <c r="H1869" s="272"/>
      <c r="I1869" s="453"/>
    </row>
    <row r="1870" spans="1:9" ht="18.75" customHeight="1" x14ac:dyDescent="0.25">
      <c r="A1870" s="456"/>
      <c r="B1870" s="442"/>
      <c r="C1870" s="413"/>
      <c r="D1870" s="413"/>
      <c r="E1870" s="413"/>
      <c r="F1870" s="413"/>
      <c r="G1870" s="339"/>
      <c r="H1870" s="272"/>
      <c r="I1870" s="453"/>
    </row>
    <row r="1871" spans="1:9" ht="18.75" customHeight="1" x14ac:dyDescent="0.25">
      <c r="A1871" s="456"/>
      <c r="B1871" s="442"/>
      <c r="C1871" s="413"/>
      <c r="D1871" s="413"/>
      <c r="E1871" s="413"/>
      <c r="F1871" s="413"/>
      <c r="G1871" s="339"/>
      <c r="H1871" s="272"/>
      <c r="I1871" s="453"/>
    </row>
    <row r="1872" spans="1:9" ht="18.75" customHeight="1" x14ac:dyDescent="0.25">
      <c r="A1872" s="456"/>
      <c r="B1872" s="442"/>
      <c r="C1872" s="413"/>
      <c r="D1872" s="413"/>
      <c r="E1872" s="413"/>
      <c r="F1872" s="413"/>
      <c r="G1872" s="339"/>
      <c r="H1872" s="272"/>
      <c r="I1872" s="453"/>
    </row>
    <row r="1873" spans="1:9" ht="18.75" customHeight="1" x14ac:dyDescent="0.25">
      <c r="A1873" s="456"/>
      <c r="B1873" s="442"/>
      <c r="C1873" s="413"/>
      <c r="D1873" s="413"/>
      <c r="E1873" s="413"/>
      <c r="F1873" s="413"/>
      <c r="G1873" s="339"/>
      <c r="H1873" s="272"/>
      <c r="I1873" s="453"/>
    </row>
    <row r="1874" spans="1:9" ht="18.75" customHeight="1" x14ac:dyDescent="0.25">
      <c r="A1874" s="456"/>
      <c r="B1874" s="442"/>
      <c r="C1874" s="413"/>
      <c r="D1874" s="413"/>
      <c r="E1874" s="413"/>
      <c r="F1874" s="413"/>
      <c r="G1874" s="339"/>
      <c r="H1874" s="272"/>
      <c r="I1874" s="453"/>
    </row>
    <row r="1875" spans="1:9" ht="18.75" customHeight="1" x14ac:dyDescent="0.25">
      <c r="A1875" s="456"/>
      <c r="B1875" s="442"/>
      <c r="C1875" s="413"/>
      <c r="D1875" s="413"/>
      <c r="E1875" s="413"/>
      <c r="F1875" s="413"/>
      <c r="G1875" s="339"/>
      <c r="H1875" s="272"/>
      <c r="I1875" s="453"/>
    </row>
    <row r="1876" spans="1:9" ht="18.75" customHeight="1" x14ac:dyDescent="0.25">
      <c r="A1876" s="456"/>
      <c r="B1876" s="442"/>
      <c r="C1876" s="413"/>
      <c r="D1876" s="413"/>
      <c r="E1876" s="413"/>
      <c r="F1876" s="413"/>
      <c r="G1876" s="339"/>
      <c r="H1876" s="272"/>
      <c r="I1876" s="453"/>
    </row>
    <row r="1877" spans="1:9" ht="18.75" customHeight="1" x14ac:dyDescent="0.25">
      <c r="A1877" s="456"/>
      <c r="B1877" s="442"/>
      <c r="C1877" s="413"/>
      <c r="D1877" s="413"/>
      <c r="E1877" s="413"/>
      <c r="F1877" s="413"/>
      <c r="G1877" s="339"/>
      <c r="H1877" s="272"/>
      <c r="I1877" s="453"/>
    </row>
    <row r="1878" spans="1:9" ht="18.75" customHeight="1" x14ac:dyDescent="0.25">
      <c r="A1878" s="456"/>
      <c r="B1878" s="442"/>
      <c r="C1878" s="413"/>
      <c r="D1878" s="413"/>
      <c r="E1878" s="413"/>
      <c r="F1878" s="413"/>
      <c r="G1878" s="339"/>
      <c r="H1878" s="272"/>
      <c r="I1878" s="453"/>
    </row>
    <row r="1879" spans="1:9" ht="18.75" customHeight="1" x14ac:dyDescent="0.25">
      <c r="A1879" s="456"/>
      <c r="B1879" s="442"/>
      <c r="C1879" s="413"/>
      <c r="D1879" s="413"/>
      <c r="E1879" s="413"/>
      <c r="F1879" s="413"/>
      <c r="G1879" s="339"/>
      <c r="H1879" s="272"/>
      <c r="I1879" s="453"/>
    </row>
    <row r="1880" spans="1:9" ht="18.75" customHeight="1" x14ac:dyDescent="0.25">
      <c r="A1880" s="563" t="s">
        <v>969</v>
      </c>
      <c r="B1880" s="565" t="s">
        <v>970</v>
      </c>
      <c r="C1880" s="564"/>
      <c r="D1880" s="564"/>
      <c r="E1880" s="564"/>
      <c r="F1880" s="564"/>
      <c r="G1880" s="564"/>
      <c r="H1880" s="564"/>
      <c r="I1880" s="564"/>
    </row>
    <row r="1881" spans="1:9" ht="18.75" customHeight="1" x14ac:dyDescent="0.25">
      <c r="A1881" s="454" t="s">
        <v>854</v>
      </c>
      <c r="B1881" s="461" t="s">
        <v>479</v>
      </c>
      <c r="C1881" s="462"/>
      <c r="D1881" s="462"/>
      <c r="E1881" s="462"/>
      <c r="F1881" s="462"/>
      <c r="G1881" s="462"/>
      <c r="H1881" s="462"/>
      <c r="I1881" s="462"/>
    </row>
    <row r="1882" spans="1:9" ht="18.75" customHeight="1" x14ac:dyDescent="0.25">
      <c r="A1882" s="455"/>
      <c r="B1882" s="463" t="s">
        <v>480</v>
      </c>
      <c r="C1882" s="464"/>
      <c r="D1882" s="464"/>
      <c r="E1882" s="464"/>
      <c r="F1882" s="464"/>
      <c r="G1882" s="464"/>
      <c r="H1882" s="464"/>
      <c r="I1882" s="464"/>
    </row>
    <row r="1883" spans="1:9" ht="18.75" customHeight="1" x14ac:dyDescent="0.25">
      <c r="A1883" s="456"/>
      <c r="B1883" s="465"/>
      <c r="C1883" s="466"/>
      <c r="D1883" s="466"/>
      <c r="E1883" s="466"/>
      <c r="F1883" s="466"/>
      <c r="G1883" s="466"/>
      <c r="H1883" s="466"/>
      <c r="I1883" s="466"/>
    </row>
    <row r="1884" spans="1:9" ht="18.75" customHeight="1" x14ac:dyDescent="0.25">
      <c r="A1884" s="456"/>
      <c r="B1884" s="465"/>
      <c r="C1884" s="466"/>
      <c r="D1884" s="466"/>
      <c r="E1884" s="466"/>
      <c r="F1884" s="466"/>
      <c r="G1884" s="466"/>
      <c r="H1884" s="466"/>
      <c r="I1884" s="466"/>
    </row>
    <row r="1885" spans="1:9" ht="18.75" customHeight="1" x14ac:dyDescent="0.25">
      <c r="A1885" s="456"/>
      <c r="B1885" s="465"/>
      <c r="C1885" s="466"/>
      <c r="D1885" s="466"/>
      <c r="E1885" s="466"/>
      <c r="F1885" s="466"/>
      <c r="G1885" s="466"/>
      <c r="H1885" s="466"/>
      <c r="I1885" s="466"/>
    </row>
    <row r="1886" spans="1:9" ht="18.75" customHeight="1" x14ac:dyDescent="0.25">
      <c r="A1886" s="456"/>
      <c r="B1886" s="465"/>
      <c r="C1886" s="466"/>
      <c r="D1886" s="466"/>
      <c r="E1886" s="466"/>
      <c r="F1886" s="466"/>
      <c r="G1886" s="466"/>
      <c r="H1886" s="466"/>
      <c r="I1886" s="466"/>
    </row>
    <row r="1887" spans="1:9" ht="18.75" customHeight="1" x14ac:dyDescent="0.25">
      <c r="A1887" s="456"/>
      <c r="B1887" s="465"/>
      <c r="C1887" s="466"/>
      <c r="D1887" s="466"/>
      <c r="E1887" s="466"/>
      <c r="F1887" s="466"/>
      <c r="G1887" s="466"/>
      <c r="H1887" s="466"/>
      <c r="I1887" s="466"/>
    </row>
    <row r="1888" spans="1:9" ht="18.75" customHeight="1" x14ac:dyDescent="0.25">
      <c r="A1888" s="456"/>
      <c r="B1888" s="465"/>
      <c r="C1888" s="466"/>
      <c r="D1888" s="466"/>
      <c r="E1888" s="466"/>
      <c r="F1888" s="466"/>
      <c r="G1888" s="466"/>
      <c r="H1888" s="466"/>
      <c r="I1888" s="466"/>
    </row>
    <row r="1889" spans="1:9" ht="18.75" customHeight="1" x14ac:dyDescent="0.25">
      <c r="A1889" s="456"/>
      <c r="B1889" s="465"/>
      <c r="C1889" s="466"/>
      <c r="D1889" s="466"/>
      <c r="E1889" s="466"/>
      <c r="F1889" s="466"/>
      <c r="G1889" s="466"/>
      <c r="H1889" s="466"/>
      <c r="I1889" s="466"/>
    </row>
    <row r="1890" spans="1:9" ht="18.75" customHeight="1" x14ac:dyDescent="0.25">
      <c r="A1890" s="456"/>
      <c r="B1890" s="465"/>
      <c r="C1890" s="466"/>
      <c r="D1890" s="466"/>
      <c r="E1890" s="466"/>
      <c r="F1890" s="466"/>
      <c r="G1890" s="466"/>
      <c r="H1890" s="466"/>
      <c r="I1890" s="466"/>
    </row>
    <row r="1891" spans="1:9" ht="18.75" customHeight="1" x14ac:dyDescent="0.25">
      <c r="A1891" s="456"/>
      <c r="B1891" s="465"/>
      <c r="C1891" s="466"/>
      <c r="D1891" s="466"/>
      <c r="E1891" s="466"/>
      <c r="F1891" s="466"/>
      <c r="G1891" s="466"/>
      <c r="H1891" s="466"/>
      <c r="I1891" s="466"/>
    </row>
    <row r="1892" spans="1:9" ht="18.75" customHeight="1" x14ac:dyDescent="0.25">
      <c r="A1892" s="456"/>
      <c r="B1892" s="465"/>
      <c r="C1892" s="466"/>
      <c r="D1892" s="466"/>
      <c r="E1892" s="466"/>
      <c r="F1892" s="466"/>
      <c r="G1892" s="466"/>
      <c r="H1892" s="466"/>
      <c r="I1892" s="466"/>
    </row>
    <row r="1893" spans="1:9" ht="18.75" customHeight="1" x14ac:dyDescent="0.25">
      <c r="A1893" s="456"/>
      <c r="B1893" s="465"/>
      <c r="C1893" s="466"/>
      <c r="D1893" s="466"/>
      <c r="E1893" s="466"/>
      <c r="F1893" s="466"/>
      <c r="G1893" s="466"/>
      <c r="H1893" s="466"/>
      <c r="I1893" s="466"/>
    </row>
    <row r="1894" spans="1:9" ht="18.75" customHeight="1" x14ac:dyDescent="0.25">
      <c r="A1894" s="456"/>
      <c r="B1894" s="465"/>
      <c r="C1894" s="466"/>
      <c r="D1894" s="466"/>
      <c r="E1894" s="466"/>
      <c r="F1894" s="466"/>
      <c r="G1894" s="466"/>
      <c r="H1894" s="466"/>
      <c r="I1894" s="466"/>
    </row>
    <row r="1895" spans="1:9" ht="18.75" customHeight="1" x14ac:dyDescent="0.25">
      <c r="A1895" s="456"/>
      <c r="B1895" s="410" t="s">
        <v>481</v>
      </c>
      <c r="C1895" s="410"/>
      <c r="D1895" s="410"/>
      <c r="E1895" s="410"/>
      <c r="F1895" s="413"/>
      <c r="G1895" s="411" t="s">
        <v>482</v>
      </c>
      <c r="H1895" s="170">
        <f>'Process (5)'!H16</f>
        <v>0.1285</v>
      </c>
      <c r="I1895" s="412" t="s">
        <v>0</v>
      </c>
    </row>
    <row r="1896" spans="1:9" ht="18.75" customHeight="1" x14ac:dyDescent="0.25">
      <c r="A1896" s="456"/>
      <c r="B1896" s="410" t="s">
        <v>598</v>
      </c>
      <c r="C1896" s="410"/>
      <c r="D1896" s="410"/>
      <c r="E1896" s="410"/>
      <c r="F1896" s="413"/>
      <c r="G1896" s="411" t="s">
        <v>599</v>
      </c>
      <c r="H1896" s="170">
        <f>'Process (5)'!H17</f>
        <v>1.25</v>
      </c>
      <c r="I1896" s="412"/>
    </row>
    <row r="1897" spans="1:9" ht="18.75" customHeight="1" x14ac:dyDescent="0.25">
      <c r="A1897" s="456"/>
      <c r="B1897" s="410" t="s">
        <v>483</v>
      </c>
      <c r="C1897" s="410"/>
      <c r="D1897" s="410"/>
      <c r="E1897" s="410"/>
      <c r="F1897" s="413"/>
      <c r="G1897" s="411" t="s">
        <v>484</v>
      </c>
      <c r="H1897" s="170">
        <f>'Process (5)'!H18</f>
        <v>1.1214999999999999</v>
      </c>
      <c r="I1897" s="412" t="s">
        <v>0</v>
      </c>
    </row>
    <row r="1898" spans="1:9" ht="18.75" customHeight="1" x14ac:dyDescent="0.25">
      <c r="A1898" s="456"/>
      <c r="B1898" s="410" t="s">
        <v>485</v>
      </c>
      <c r="C1898" s="410"/>
      <c r="D1898" s="410"/>
      <c r="E1898" s="410"/>
      <c r="F1898" s="413"/>
      <c r="G1898" s="411" t="s">
        <v>600</v>
      </c>
      <c r="H1898" s="170">
        <f>'Process (5)'!H19</f>
        <v>2.03925</v>
      </c>
      <c r="I1898" s="412" t="s">
        <v>0</v>
      </c>
    </row>
    <row r="1899" spans="1:9" ht="18.75" customHeight="1" x14ac:dyDescent="0.25">
      <c r="A1899" s="456"/>
      <c r="B1899" s="410" t="s">
        <v>486</v>
      </c>
      <c r="C1899" s="410"/>
      <c r="D1899" s="410"/>
      <c r="E1899" s="410"/>
      <c r="F1899" s="413"/>
      <c r="G1899" s="467" t="s">
        <v>601</v>
      </c>
      <c r="H1899" s="170">
        <f>'Process (5)'!H20</f>
        <v>661.48171875000003</v>
      </c>
      <c r="I1899" s="412" t="s">
        <v>487</v>
      </c>
    </row>
    <row r="1900" spans="1:9" ht="18.75" customHeight="1" x14ac:dyDescent="0.25">
      <c r="A1900" s="456"/>
      <c r="B1900" s="410"/>
      <c r="C1900" s="410"/>
      <c r="D1900" s="410"/>
      <c r="E1900" s="410"/>
      <c r="F1900" s="413"/>
      <c r="G1900" s="467" t="s">
        <v>602</v>
      </c>
      <c r="H1900" s="170">
        <f>'Process (5)'!H21</f>
        <v>220.49390625000004</v>
      </c>
      <c r="I1900" s="412" t="s">
        <v>487</v>
      </c>
    </row>
    <row r="1901" spans="1:9" ht="18.75" customHeight="1" x14ac:dyDescent="0.25">
      <c r="A1901" s="456"/>
      <c r="B1901" s="413" t="s">
        <v>488</v>
      </c>
      <c r="C1901" s="413"/>
      <c r="D1901" s="413"/>
      <c r="E1901" s="413"/>
      <c r="F1901" s="413"/>
      <c r="G1901" s="413"/>
      <c r="H1901" s="413"/>
      <c r="I1901" s="413"/>
    </row>
    <row r="1902" spans="1:9" ht="18.75" customHeight="1" x14ac:dyDescent="0.25">
      <c r="A1902" s="468"/>
      <c r="B1902" s="635" t="s">
        <v>418</v>
      </c>
      <c r="C1902" s="635"/>
      <c r="D1902" s="635"/>
      <c r="E1902" s="635" t="s">
        <v>489</v>
      </c>
      <c r="F1902" s="635"/>
      <c r="G1902" s="173" t="s">
        <v>490</v>
      </c>
      <c r="H1902" s="173" t="s">
        <v>491</v>
      </c>
      <c r="I1902" s="466"/>
    </row>
    <row r="1903" spans="1:9" ht="18.75" customHeight="1" x14ac:dyDescent="0.25">
      <c r="A1903" s="468"/>
      <c r="B1903" s="635" t="s">
        <v>492</v>
      </c>
      <c r="C1903" s="635"/>
      <c r="D1903" s="635"/>
      <c r="E1903" s="635"/>
      <c r="F1903" s="635"/>
      <c r="G1903" s="174" t="s">
        <v>66</v>
      </c>
      <c r="H1903" s="174" t="s">
        <v>66</v>
      </c>
      <c r="I1903" s="466"/>
    </row>
    <row r="1904" spans="1:9" ht="18.75" customHeight="1" x14ac:dyDescent="0.25">
      <c r="A1904" s="468"/>
      <c r="B1904" s="633">
        <v>1</v>
      </c>
      <c r="C1904" s="633"/>
      <c r="D1904" s="67" t="str">
        <f>'Process (5)'!D25</f>
        <v/>
      </c>
      <c r="E1904" s="633" t="str">
        <f>'Process (5)'!E25</f>
        <v/>
      </c>
      <c r="F1904" s="633"/>
      <c r="G1904" s="170" t="str">
        <f>'Process (5)'!F25</f>
        <v/>
      </c>
      <c r="H1904" s="67" t="str">
        <f>'Process (5)'!G25</f>
        <v/>
      </c>
      <c r="I1904" s="466"/>
    </row>
    <row r="1905" spans="1:9" ht="18.75" customHeight="1" x14ac:dyDescent="0.25">
      <c r="A1905" s="468"/>
      <c r="B1905" s="633">
        <v>2</v>
      </c>
      <c r="C1905" s="633"/>
      <c r="D1905" s="67">
        <f>'Process (5)'!D26</f>
        <v>1.5</v>
      </c>
      <c r="E1905" s="633" t="str">
        <f>'Process (5)'!E26</f>
        <v>YA</v>
      </c>
      <c r="F1905" s="633"/>
      <c r="G1905" s="170">
        <f>'Process (5)'!F26</f>
        <v>1791.318216559969</v>
      </c>
      <c r="H1905" s="67">
        <f>'Process (5)'!G26</f>
        <v>10747.909299359813</v>
      </c>
      <c r="I1905" s="466"/>
    </row>
    <row r="1906" spans="1:9" ht="18.75" customHeight="1" x14ac:dyDescent="0.25">
      <c r="A1906" s="468"/>
      <c r="B1906" s="633">
        <v>3</v>
      </c>
      <c r="C1906" s="633"/>
      <c r="D1906" s="67" t="str">
        <f>'Process (5)'!D27</f>
        <v/>
      </c>
      <c r="E1906" s="633" t="str">
        <f>'Process (5)'!E27</f>
        <v/>
      </c>
      <c r="F1906" s="633"/>
      <c r="G1906" s="170" t="str">
        <f>'Process (5)'!F27</f>
        <v/>
      </c>
      <c r="H1906" s="67" t="str">
        <f>'Process (5)'!G27</f>
        <v/>
      </c>
      <c r="I1906" s="466"/>
    </row>
    <row r="1907" spans="1:9" ht="18.75" customHeight="1" x14ac:dyDescent="0.25">
      <c r="A1907" s="468"/>
      <c r="B1907" s="633">
        <v>4</v>
      </c>
      <c r="C1907" s="633"/>
      <c r="D1907" s="67" t="str">
        <f>'Process (5)'!D28</f>
        <v/>
      </c>
      <c r="E1907" s="633" t="str">
        <f>'Process (5)'!E28</f>
        <v/>
      </c>
      <c r="F1907" s="633"/>
      <c r="G1907" s="170" t="str">
        <f>'Process (5)'!F28</f>
        <v/>
      </c>
      <c r="H1907" s="67" t="str">
        <f>'Process (5)'!G28</f>
        <v/>
      </c>
      <c r="I1907" s="466"/>
    </row>
    <row r="1908" spans="1:9" ht="18.75" customHeight="1" x14ac:dyDescent="0.25">
      <c r="A1908" s="468"/>
      <c r="B1908" s="633">
        <v>5</v>
      </c>
      <c r="C1908" s="633"/>
      <c r="D1908" s="67" t="str">
        <f>'Process (5)'!D29</f>
        <v/>
      </c>
      <c r="E1908" s="636" t="str">
        <f>'Process (5)'!E29</f>
        <v/>
      </c>
      <c r="F1908" s="636"/>
      <c r="G1908" s="170" t="str">
        <f>'Process (5)'!F29</f>
        <v/>
      </c>
      <c r="H1908" s="67" t="str">
        <f>'Process (5)'!G29</f>
        <v/>
      </c>
      <c r="I1908" s="466"/>
    </row>
    <row r="1909" spans="1:9" ht="18.75" customHeight="1" x14ac:dyDescent="0.25">
      <c r="A1909" s="468"/>
      <c r="B1909" s="633">
        <v>6</v>
      </c>
      <c r="C1909" s="633"/>
      <c r="D1909" s="67" t="str">
        <f>'Process (5)'!D30</f>
        <v/>
      </c>
      <c r="E1909" s="633" t="str">
        <f>'Process (5)'!E30</f>
        <v/>
      </c>
      <c r="F1909" s="633"/>
      <c r="G1909" s="170" t="str">
        <f>'Process (5)'!F30</f>
        <v/>
      </c>
      <c r="H1909" s="67" t="str">
        <f>'Process (5)'!G30</f>
        <v/>
      </c>
      <c r="I1909" s="466"/>
    </row>
    <row r="1910" spans="1:9" ht="18.75" customHeight="1" x14ac:dyDescent="0.25">
      <c r="A1910" s="468"/>
      <c r="B1910" s="633">
        <v>7</v>
      </c>
      <c r="C1910" s="633"/>
      <c r="D1910" s="67" t="str">
        <f>'Process (5)'!D31</f>
        <v/>
      </c>
      <c r="E1910" s="633" t="str">
        <f>'Process (5)'!E31</f>
        <v/>
      </c>
      <c r="F1910" s="633"/>
      <c r="G1910" s="170" t="str">
        <f>'Process (5)'!F31</f>
        <v/>
      </c>
      <c r="H1910" s="67" t="str">
        <f>'Process (5)'!G31</f>
        <v/>
      </c>
      <c r="I1910" s="466"/>
    </row>
    <row r="1911" spans="1:9" ht="18.75" customHeight="1" x14ac:dyDescent="0.25">
      <c r="A1911" s="468"/>
      <c r="B1911" s="633">
        <v>8</v>
      </c>
      <c r="C1911" s="633"/>
      <c r="D1911" s="67" t="str">
        <f>'Process (5)'!D32</f>
        <v/>
      </c>
      <c r="E1911" s="633" t="str">
        <f>'Process (5)'!E32</f>
        <v/>
      </c>
      <c r="F1911" s="633"/>
      <c r="G1911" s="170" t="str">
        <f>'Process (5)'!F32</f>
        <v/>
      </c>
      <c r="H1911" s="67" t="str">
        <f>'Process (5)'!G32</f>
        <v/>
      </c>
      <c r="I1911" s="466"/>
    </row>
    <row r="1912" spans="1:9" ht="18.75" customHeight="1" x14ac:dyDescent="0.25">
      <c r="A1912" s="468"/>
      <c r="B1912" s="466"/>
      <c r="C1912" s="466"/>
      <c r="D1912" s="466"/>
      <c r="E1912" s="466"/>
      <c r="F1912" s="638" t="s">
        <v>493</v>
      </c>
      <c r="G1912" s="639"/>
      <c r="H1912" s="483">
        <f>'Process (5)'!G33</f>
        <v>10747.909299359813</v>
      </c>
      <c r="I1912" s="466"/>
    </row>
    <row r="1913" spans="1:9" ht="18.75" customHeight="1" x14ac:dyDescent="0.25">
      <c r="A1913" s="468"/>
      <c r="B1913" s="466"/>
      <c r="C1913" s="466"/>
      <c r="D1913" s="466"/>
      <c r="E1913" s="466"/>
      <c r="F1913" s="466"/>
      <c r="G1913" s="466"/>
      <c r="H1913" s="466"/>
      <c r="I1913" s="466"/>
    </row>
    <row r="1914" spans="1:9" ht="18.75" customHeight="1" x14ac:dyDescent="0.25">
      <c r="A1914" s="468"/>
      <c r="B1914" s="410" t="s">
        <v>494</v>
      </c>
      <c r="C1914" s="410"/>
      <c r="D1914" s="410"/>
      <c r="E1914" s="410"/>
      <c r="F1914" s="413"/>
      <c r="G1914" s="411" t="s">
        <v>603</v>
      </c>
      <c r="H1914" s="170">
        <f>'Process (5)'!H35</f>
        <v>9865.9336743598142</v>
      </c>
      <c r="I1914" s="412" t="s">
        <v>487</v>
      </c>
    </row>
    <row r="1915" spans="1:9" ht="18.75" customHeight="1" x14ac:dyDescent="0.25">
      <c r="A1915" s="468"/>
      <c r="B1915" s="466"/>
      <c r="C1915" s="466"/>
      <c r="D1915" s="466"/>
      <c r="E1915" s="466"/>
      <c r="F1915" s="466"/>
      <c r="G1915" s="466"/>
      <c r="H1915" s="466"/>
      <c r="I1915" s="466"/>
    </row>
    <row r="1916" spans="1:9" ht="18.75" customHeight="1" x14ac:dyDescent="0.25">
      <c r="A1916" s="468"/>
      <c r="B1916" s="466"/>
      <c r="C1916" s="466"/>
      <c r="D1916" s="466"/>
      <c r="E1916" s="466"/>
      <c r="F1916" s="466"/>
      <c r="G1916" s="466"/>
      <c r="H1916" s="466"/>
      <c r="I1916" s="466"/>
    </row>
    <row r="1917" spans="1:9" ht="18.75" customHeight="1" x14ac:dyDescent="0.25">
      <c r="A1917" s="455"/>
      <c r="B1917" s="463" t="s">
        <v>495</v>
      </c>
      <c r="C1917" s="464"/>
      <c r="D1917" s="464"/>
      <c r="E1917" s="464"/>
      <c r="F1917" s="464"/>
      <c r="G1917" s="464"/>
      <c r="H1917" s="464"/>
      <c r="I1917" s="464"/>
    </row>
    <row r="1918" spans="1:9" ht="18.75" customHeight="1" x14ac:dyDescent="0.25">
      <c r="A1918" s="456"/>
      <c r="B1918" s="466"/>
      <c r="C1918" s="466"/>
      <c r="D1918" s="466"/>
      <c r="E1918" s="466"/>
      <c r="F1918" s="466"/>
      <c r="G1918" s="466"/>
      <c r="H1918" s="466"/>
      <c r="I1918" s="466"/>
    </row>
    <row r="1919" spans="1:9" ht="18.75" customHeight="1" x14ac:dyDescent="0.25">
      <c r="A1919" s="456"/>
      <c r="B1919" s="466"/>
      <c r="C1919" s="466"/>
      <c r="D1919" s="466"/>
      <c r="E1919" s="466"/>
      <c r="F1919" s="466"/>
      <c r="G1919" s="466"/>
      <c r="H1919" s="466"/>
      <c r="I1919" s="466"/>
    </row>
    <row r="1920" spans="1:9" ht="18.75" customHeight="1" x14ac:dyDescent="0.25">
      <c r="A1920" s="456"/>
      <c r="B1920" s="466"/>
      <c r="C1920" s="466"/>
      <c r="D1920" s="466"/>
      <c r="E1920" s="466"/>
      <c r="F1920" s="466"/>
      <c r="G1920" s="466"/>
      <c r="H1920" s="466"/>
      <c r="I1920" s="466"/>
    </row>
    <row r="1921" spans="1:9" ht="18.75" customHeight="1" x14ac:dyDescent="0.25">
      <c r="A1921" s="456"/>
      <c r="B1921" s="466"/>
      <c r="C1921" s="466"/>
      <c r="D1921" s="466"/>
      <c r="E1921" s="466"/>
      <c r="F1921" s="466"/>
      <c r="G1921" s="466"/>
      <c r="H1921" s="466"/>
      <c r="I1921" s="466"/>
    </row>
    <row r="1922" spans="1:9" ht="18.75" customHeight="1" x14ac:dyDescent="0.25">
      <c r="A1922" s="456"/>
      <c r="B1922" s="466"/>
      <c r="C1922" s="466"/>
      <c r="D1922" s="466"/>
      <c r="E1922" s="466"/>
      <c r="F1922" s="466"/>
      <c r="G1922" s="466"/>
      <c r="H1922" s="466"/>
      <c r="I1922" s="466"/>
    </row>
    <row r="1923" spans="1:9" ht="18.75" customHeight="1" x14ac:dyDescent="0.25">
      <c r="A1923" s="456"/>
      <c r="B1923" s="466"/>
      <c r="C1923" s="466"/>
      <c r="D1923" s="466"/>
      <c r="E1923" s="466"/>
      <c r="F1923" s="466"/>
      <c r="G1923" s="466"/>
      <c r="H1923" s="466"/>
      <c r="I1923" s="466"/>
    </row>
    <row r="1924" spans="1:9" ht="18.75" customHeight="1" x14ac:dyDescent="0.25">
      <c r="A1924" s="456"/>
      <c r="B1924" s="466"/>
      <c r="C1924" s="466"/>
      <c r="D1924" s="466"/>
      <c r="E1924" s="466"/>
      <c r="F1924" s="466"/>
      <c r="G1924" s="466"/>
      <c r="H1924" s="466"/>
      <c r="I1924" s="466"/>
    </row>
    <row r="1925" spans="1:9" ht="18.75" customHeight="1" x14ac:dyDescent="0.25">
      <c r="A1925" s="456"/>
      <c r="B1925" s="466"/>
      <c r="C1925" s="466"/>
      <c r="D1925" s="466"/>
      <c r="E1925" s="466"/>
      <c r="F1925" s="466"/>
      <c r="G1925" s="466"/>
      <c r="H1925" s="466"/>
      <c r="I1925" s="466"/>
    </row>
    <row r="1926" spans="1:9" ht="18.75" customHeight="1" x14ac:dyDescent="0.25">
      <c r="A1926" s="456"/>
      <c r="B1926" s="466"/>
      <c r="C1926" s="466"/>
      <c r="D1926" s="466"/>
      <c r="E1926" s="466"/>
      <c r="F1926" s="466"/>
      <c r="G1926" s="466"/>
      <c r="H1926" s="466"/>
      <c r="I1926" s="466"/>
    </row>
    <row r="1927" spans="1:9" ht="18.75" customHeight="1" x14ac:dyDescent="0.25">
      <c r="A1927" s="456"/>
      <c r="B1927" s="466"/>
      <c r="C1927" s="466"/>
      <c r="D1927" s="466"/>
      <c r="E1927" s="466"/>
      <c r="F1927" s="466"/>
      <c r="G1927" s="466"/>
      <c r="H1927" s="466"/>
      <c r="I1927" s="466"/>
    </row>
    <row r="1928" spans="1:9" ht="18.75" customHeight="1" x14ac:dyDescent="0.25">
      <c r="A1928" s="456"/>
      <c r="B1928" s="466"/>
      <c r="C1928" s="466"/>
      <c r="D1928" s="466"/>
      <c r="E1928" s="466"/>
      <c r="F1928" s="466"/>
      <c r="G1928" s="466"/>
      <c r="H1928" s="466"/>
      <c r="I1928" s="466"/>
    </row>
    <row r="1929" spans="1:9" ht="18.75" customHeight="1" x14ac:dyDescent="0.25">
      <c r="A1929" s="456"/>
      <c r="B1929" s="466" t="s">
        <v>398</v>
      </c>
      <c r="C1929" s="466"/>
      <c r="D1929" s="466"/>
      <c r="E1929" s="466"/>
      <c r="F1929" s="466"/>
      <c r="G1929" s="466"/>
      <c r="H1929" s="466"/>
      <c r="I1929" s="466"/>
    </row>
    <row r="1930" spans="1:9" ht="18.75" customHeight="1" x14ac:dyDescent="0.25">
      <c r="A1930" s="456"/>
      <c r="B1930" s="469" t="s">
        <v>21</v>
      </c>
      <c r="C1930" s="67">
        <f>'Process (5)'!C50</f>
        <v>1</v>
      </c>
      <c r="D1930" s="358" t="s">
        <v>0</v>
      </c>
      <c r="E1930" s="470" t="s">
        <v>400</v>
      </c>
      <c r="F1930" s="102">
        <f>'Process (5)'!F50</f>
        <v>1</v>
      </c>
      <c r="G1930" s="358" t="s">
        <v>0</v>
      </c>
      <c r="H1930" s="470"/>
      <c r="I1930" s="471"/>
    </row>
    <row r="1931" spans="1:9" ht="18.75" customHeight="1" x14ac:dyDescent="0.25">
      <c r="A1931" s="456"/>
      <c r="B1931" s="470" t="s">
        <v>401</v>
      </c>
      <c r="C1931" s="101">
        <f>'Process (5)'!C51</f>
        <v>2.6</v>
      </c>
      <c r="D1931" s="358" t="s">
        <v>0</v>
      </c>
      <c r="E1931" s="470" t="s">
        <v>402</v>
      </c>
      <c r="F1931" s="102">
        <f>'Process (5)'!F51</f>
        <v>1.3</v>
      </c>
      <c r="G1931" s="358" t="s">
        <v>0</v>
      </c>
      <c r="H1931" s="466"/>
      <c r="I1931" s="466"/>
    </row>
    <row r="1932" spans="1:9" ht="18.75" customHeight="1" x14ac:dyDescent="0.25">
      <c r="A1932" s="456"/>
      <c r="B1932" s="470"/>
      <c r="C1932" s="179"/>
      <c r="D1932" s="358"/>
      <c r="E1932" s="470" t="s">
        <v>403</v>
      </c>
      <c r="F1932" s="102">
        <f>'Process (5)'!F52</f>
        <v>0.8666666666666667</v>
      </c>
      <c r="G1932" s="358" t="s">
        <v>0</v>
      </c>
      <c r="H1932" s="466"/>
      <c r="I1932" s="466"/>
    </row>
    <row r="1933" spans="1:9" ht="18.75" customHeight="1" x14ac:dyDescent="0.25">
      <c r="A1933" s="456"/>
      <c r="B1933" s="470" t="s">
        <v>496</v>
      </c>
      <c r="C1933" s="101">
        <f>'Process (5)'!C53</f>
        <v>6.2</v>
      </c>
      <c r="D1933" s="358" t="s">
        <v>0</v>
      </c>
      <c r="E1933" s="466"/>
      <c r="F1933" s="466"/>
      <c r="G1933" s="358"/>
      <c r="H1933" s="466"/>
      <c r="I1933" s="466"/>
    </row>
    <row r="1934" spans="1:9" ht="18.75" customHeight="1" x14ac:dyDescent="0.25">
      <c r="A1934" s="456"/>
      <c r="B1934" s="469" t="s">
        <v>459</v>
      </c>
      <c r="C1934" s="67">
        <f>'Process (5)'!C54</f>
        <v>1.25</v>
      </c>
      <c r="D1934" s="358" t="s">
        <v>0</v>
      </c>
      <c r="E1934" s="470" t="s">
        <v>497</v>
      </c>
      <c r="F1934" s="102">
        <f>'Process (5)'!F54</f>
        <v>11105.031443645446</v>
      </c>
      <c r="G1934" s="358" t="s">
        <v>115</v>
      </c>
      <c r="H1934" s="472"/>
      <c r="I1934" s="466"/>
    </row>
    <row r="1935" spans="1:9" ht="18.75" customHeight="1" x14ac:dyDescent="0.25">
      <c r="A1935" s="456"/>
      <c r="B1935" s="466"/>
      <c r="C1935" s="466"/>
      <c r="D1935" s="466"/>
      <c r="E1935" s="466"/>
      <c r="F1935" s="466"/>
      <c r="G1935" s="466"/>
      <c r="H1935" s="466"/>
      <c r="I1935" s="466"/>
    </row>
    <row r="1936" spans="1:9" ht="18.75" customHeight="1" x14ac:dyDescent="0.25">
      <c r="A1936" s="456"/>
      <c r="B1936" s="637" t="s">
        <v>404</v>
      </c>
      <c r="C1936" s="637" t="s">
        <v>405</v>
      </c>
      <c r="D1936" s="637"/>
      <c r="E1936" s="637"/>
      <c r="F1936" s="637" t="s">
        <v>406</v>
      </c>
      <c r="G1936" s="637" t="s">
        <v>407</v>
      </c>
      <c r="H1936" s="637" t="s">
        <v>408</v>
      </c>
      <c r="I1936" s="466"/>
    </row>
    <row r="1937" spans="1:9" ht="18.75" customHeight="1" x14ac:dyDescent="0.25">
      <c r="A1937" s="456"/>
      <c r="B1937" s="637"/>
      <c r="C1937" s="484" t="s">
        <v>971</v>
      </c>
      <c r="D1937" s="484" t="s">
        <v>61</v>
      </c>
      <c r="E1937" s="484" t="s">
        <v>607</v>
      </c>
      <c r="F1937" s="637"/>
      <c r="G1937" s="637"/>
      <c r="H1937" s="637"/>
      <c r="I1937" s="466"/>
    </row>
    <row r="1938" spans="1:9" ht="18.75" customHeight="1" x14ac:dyDescent="0.25">
      <c r="A1938" s="456"/>
      <c r="B1938" s="637"/>
      <c r="C1938" s="484" t="s">
        <v>68</v>
      </c>
      <c r="D1938" s="484" t="s">
        <v>68</v>
      </c>
      <c r="E1938" s="484" t="s">
        <v>68</v>
      </c>
      <c r="F1938" s="484" t="s">
        <v>972</v>
      </c>
      <c r="G1938" s="484" t="s">
        <v>66</v>
      </c>
      <c r="H1938" s="484" t="s">
        <v>70</v>
      </c>
      <c r="I1938" s="466"/>
    </row>
    <row r="1939" spans="1:9" ht="18.75" customHeight="1" x14ac:dyDescent="0.25">
      <c r="A1939" s="456"/>
      <c r="B1939" s="298" t="s">
        <v>410</v>
      </c>
      <c r="C1939" s="101">
        <f>'Process (5)'!C59</f>
        <v>2.6</v>
      </c>
      <c r="D1939" s="101">
        <f>'Process (5)'!D59</f>
        <v>0.75</v>
      </c>
      <c r="E1939" s="101">
        <f>'Process (5)'!E59</f>
        <v>17.3</v>
      </c>
      <c r="F1939" s="102">
        <f>'Process (5)'!F59</f>
        <v>33.735000000000007</v>
      </c>
      <c r="G1939" s="182">
        <f>'Process (5)'!G59</f>
        <v>934.2</v>
      </c>
      <c r="H1939" s="183">
        <f>'Process (5)'!H59</f>
        <v>1214.46</v>
      </c>
      <c r="I1939" s="466"/>
    </row>
    <row r="1940" spans="1:9" ht="18.75" customHeight="1" x14ac:dyDescent="0.25">
      <c r="A1940" s="456"/>
      <c r="B1940" s="298" t="s">
        <v>411</v>
      </c>
      <c r="C1940" s="101">
        <f>'Process (5)'!C60</f>
        <v>2.6</v>
      </c>
      <c r="D1940" s="101">
        <f>'Process (5)'!D60</f>
        <v>0.5</v>
      </c>
      <c r="E1940" s="101">
        <f>'Process (5)'!E60</f>
        <v>17.3</v>
      </c>
      <c r="F1940" s="102">
        <f>'Process (5)'!F60</f>
        <v>11.245000000000001</v>
      </c>
      <c r="G1940" s="182">
        <f>'Process (5)'!G60</f>
        <v>200.85300000000001</v>
      </c>
      <c r="H1940" s="184">
        <f>'Process (5)'!H60</f>
        <v>174.07260000000002</v>
      </c>
      <c r="I1940" s="466"/>
    </row>
    <row r="1941" spans="1:9" ht="18.75" customHeight="1" x14ac:dyDescent="0.25">
      <c r="A1941" s="456"/>
      <c r="B1941" s="466"/>
      <c r="C1941" s="466"/>
      <c r="D1941" s="466"/>
      <c r="E1941" s="466"/>
      <c r="F1941" s="185" t="s">
        <v>412</v>
      </c>
      <c r="G1941" s="186">
        <f>'Process (5)'!G61</f>
        <v>1135.0530000000001</v>
      </c>
      <c r="H1941" s="187"/>
      <c r="I1941" s="466"/>
    </row>
    <row r="1942" spans="1:9" ht="18.75" customHeight="1" x14ac:dyDescent="0.25">
      <c r="A1942" s="456"/>
      <c r="B1942" s="466"/>
      <c r="C1942" s="466"/>
      <c r="D1942" s="466"/>
      <c r="E1942" s="466"/>
      <c r="F1942" s="473"/>
      <c r="G1942" s="189" t="s">
        <v>413</v>
      </c>
      <c r="H1942" s="190">
        <f>'Process (5)'!H62</f>
        <v>1388.5326</v>
      </c>
      <c r="I1942" s="474"/>
    </row>
    <row r="1943" spans="1:9" ht="18.75" customHeight="1" x14ac:dyDescent="0.25">
      <c r="A1943" s="456"/>
      <c r="B1943" s="466" t="s">
        <v>414</v>
      </c>
      <c r="C1943" s="466"/>
      <c r="D1943" s="466"/>
      <c r="E1943" s="466"/>
      <c r="F1943" s="466"/>
      <c r="G1943" s="470" t="s">
        <v>415</v>
      </c>
      <c r="H1943" s="298">
        <f>'Process (5)'!H63</f>
        <v>1.2</v>
      </c>
      <c r="I1943" s="475"/>
    </row>
    <row r="1944" spans="1:9" ht="18.75" customHeight="1" x14ac:dyDescent="0.25">
      <c r="A1944" s="456"/>
      <c r="B1944" s="466" t="s">
        <v>416</v>
      </c>
      <c r="C1944" s="466"/>
      <c r="D1944" s="466"/>
      <c r="E1944" s="466"/>
      <c r="F1944" s="466"/>
      <c r="G1944" s="470" t="s">
        <v>500</v>
      </c>
      <c r="H1944" s="101">
        <f>'Process (5)'!H64</f>
        <v>1514.8377000000003</v>
      </c>
      <c r="I1944" s="358" t="s">
        <v>417</v>
      </c>
    </row>
    <row r="1945" spans="1:9" ht="18.75" customHeight="1" x14ac:dyDescent="0.25">
      <c r="A1945" s="456"/>
      <c r="B1945" s="466"/>
      <c r="C1945" s="466"/>
      <c r="D1945" s="466"/>
      <c r="E1945" s="466"/>
      <c r="F1945" s="466"/>
      <c r="G1945" s="466"/>
      <c r="H1945" s="466"/>
      <c r="I1945" s="466"/>
    </row>
    <row r="1946" spans="1:9" ht="18.75" customHeight="1" x14ac:dyDescent="0.25">
      <c r="A1946" s="456"/>
      <c r="B1946" s="634" t="s">
        <v>418</v>
      </c>
      <c r="C1946" s="634"/>
      <c r="D1946" s="634" t="s">
        <v>419</v>
      </c>
      <c r="E1946" s="634"/>
      <c r="F1946" s="634"/>
      <c r="G1946" s="634" t="s">
        <v>973</v>
      </c>
      <c r="H1946" s="634"/>
      <c r="I1946" s="358"/>
    </row>
    <row r="1947" spans="1:9" ht="18.75" customHeight="1" x14ac:dyDescent="0.25">
      <c r="A1947" s="456"/>
      <c r="B1947" s="634" t="s">
        <v>420</v>
      </c>
      <c r="C1947" s="634"/>
      <c r="D1947" s="634" t="s">
        <v>974</v>
      </c>
      <c r="E1947" s="634"/>
      <c r="F1947" s="634"/>
      <c r="G1947" s="634" t="s">
        <v>409</v>
      </c>
      <c r="H1947" s="634"/>
      <c r="I1947" s="358"/>
    </row>
    <row r="1948" spans="1:9" ht="18.75" customHeight="1" x14ac:dyDescent="0.25">
      <c r="A1948" s="456"/>
      <c r="B1948" s="175">
        <v>1</v>
      </c>
      <c r="C1948" s="67" t="str">
        <f>'Process (5)'!C68</f>
        <v/>
      </c>
      <c r="D1948" s="195"/>
      <c r="E1948" s="196" t="s">
        <v>502</v>
      </c>
      <c r="F1948" s="67" t="str">
        <f>'Process (5)'!F68</f>
        <v/>
      </c>
      <c r="G1948" s="195"/>
      <c r="H1948" s="170" t="str">
        <f>'Process (5)'!H68</f>
        <v/>
      </c>
      <c r="I1948" s="358"/>
    </row>
    <row r="1949" spans="1:9" ht="18.75" customHeight="1" x14ac:dyDescent="0.25">
      <c r="A1949" s="456"/>
      <c r="B1949" s="175">
        <v>2</v>
      </c>
      <c r="C1949" s="67">
        <f>'Process (5)'!C69</f>
        <v>1.5</v>
      </c>
      <c r="D1949" s="195"/>
      <c r="E1949" s="196" t="s">
        <v>503</v>
      </c>
      <c r="F1949" s="67">
        <f>'Process (5)'!F69</f>
        <v>1</v>
      </c>
      <c r="G1949" s="195"/>
      <c r="H1949" s="170">
        <f>'Process (5)'!H69</f>
        <v>11105.031443645446</v>
      </c>
      <c r="I1949" s="358"/>
    </row>
    <row r="1950" spans="1:9" ht="18.75" customHeight="1" x14ac:dyDescent="0.25">
      <c r="A1950" s="456"/>
      <c r="B1950" s="175">
        <v>3</v>
      </c>
      <c r="C1950" s="67" t="str">
        <f>'Process (5)'!C70</f>
        <v/>
      </c>
      <c r="D1950" s="195"/>
      <c r="E1950" s="196" t="s">
        <v>504</v>
      </c>
      <c r="F1950" s="67" t="str">
        <f>'Process (5)'!F70</f>
        <v/>
      </c>
      <c r="G1950" s="195"/>
      <c r="H1950" s="170" t="str">
        <f>'Process (5)'!H70</f>
        <v/>
      </c>
      <c r="I1950" s="358"/>
    </row>
    <row r="1951" spans="1:9" ht="18.75" customHeight="1" x14ac:dyDescent="0.25">
      <c r="A1951" s="456"/>
      <c r="B1951" s="175">
        <v>4</v>
      </c>
      <c r="C1951" s="67" t="str">
        <f>'Process (5)'!C71</f>
        <v/>
      </c>
      <c r="D1951" s="195"/>
      <c r="E1951" s="196" t="s">
        <v>505</v>
      </c>
      <c r="F1951" s="67" t="str">
        <f>'Process (5)'!F71</f>
        <v/>
      </c>
      <c r="G1951" s="195"/>
      <c r="H1951" s="170" t="str">
        <f>'Process (5)'!H71</f>
        <v/>
      </c>
      <c r="I1951" s="358"/>
    </row>
    <row r="1952" spans="1:9" ht="18.75" customHeight="1" x14ac:dyDescent="0.25">
      <c r="A1952" s="456"/>
      <c r="B1952" s="175">
        <v>5</v>
      </c>
      <c r="C1952" s="67" t="str">
        <f>'Process (5)'!C72</f>
        <v/>
      </c>
      <c r="D1952" s="195"/>
      <c r="E1952" s="196" t="s">
        <v>609</v>
      </c>
      <c r="F1952" s="67" t="str">
        <f>'Process (5)'!F72</f>
        <v/>
      </c>
      <c r="G1952" s="195"/>
      <c r="H1952" s="170" t="str">
        <f>'Process (5)'!H72</f>
        <v/>
      </c>
      <c r="I1952" s="358"/>
    </row>
    <row r="1953" spans="1:9" ht="18.75" customHeight="1" x14ac:dyDescent="0.25">
      <c r="A1953" s="456"/>
      <c r="B1953" s="175">
        <v>6</v>
      </c>
      <c r="C1953" s="67" t="str">
        <f>'Process (5)'!C73</f>
        <v/>
      </c>
      <c r="D1953" s="195"/>
      <c r="E1953" s="196" t="s">
        <v>610</v>
      </c>
      <c r="F1953" s="67" t="str">
        <f>'Process (5)'!F73</f>
        <v/>
      </c>
      <c r="G1953" s="195"/>
      <c r="H1953" s="170" t="str">
        <f>'Process (5)'!H73</f>
        <v/>
      </c>
      <c r="I1953" s="358"/>
    </row>
    <row r="1954" spans="1:9" ht="18.75" customHeight="1" x14ac:dyDescent="0.25">
      <c r="A1954" s="456"/>
      <c r="B1954" s="175">
        <v>7</v>
      </c>
      <c r="C1954" s="67" t="str">
        <f>'Process (5)'!C74</f>
        <v/>
      </c>
      <c r="D1954" s="195"/>
      <c r="E1954" s="196" t="s">
        <v>611</v>
      </c>
      <c r="F1954" s="67" t="str">
        <f>'Process (5)'!F74</f>
        <v/>
      </c>
      <c r="G1954" s="195"/>
      <c r="H1954" s="170" t="str">
        <f>'Process (5)'!H74</f>
        <v/>
      </c>
      <c r="I1954" s="358"/>
    </row>
    <row r="1955" spans="1:9" ht="18.75" customHeight="1" x14ac:dyDescent="0.25">
      <c r="A1955" s="456"/>
      <c r="B1955" s="175">
        <v>8</v>
      </c>
      <c r="C1955" s="67" t="str">
        <f>'Process (5)'!C75</f>
        <v/>
      </c>
      <c r="D1955" s="195"/>
      <c r="E1955" s="196" t="s">
        <v>612</v>
      </c>
      <c r="F1955" s="67" t="str">
        <f>'Process (5)'!F75</f>
        <v/>
      </c>
      <c r="G1955" s="195"/>
      <c r="H1955" s="170" t="str">
        <f>'Process (5)'!H75</f>
        <v/>
      </c>
      <c r="I1955" s="358"/>
    </row>
    <row r="1956" spans="1:9" ht="18.75" customHeight="1" x14ac:dyDescent="0.25">
      <c r="A1956" s="456"/>
      <c r="B1956" s="466" t="s">
        <v>422</v>
      </c>
      <c r="C1956" s="466"/>
      <c r="D1956" s="466"/>
      <c r="E1956" s="466"/>
      <c r="F1956" s="466"/>
      <c r="G1956" s="470" t="s">
        <v>423</v>
      </c>
      <c r="H1956" s="102">
        <f>'Process (5)'!H76</f>
        <v>11105.031443645446</v>
      </c>
      <c r="I1956" s="358" t="s">
        <v>417</v>
      </c>
    </row>
    <row r="1957" spans="1:9" ht="18.75" customHeight="1" x14ac:dyDescent="0.25">
      <c r="A1957" s="456"/>
      <c r="B1957" s="466" t="s">
        <v>424</v>
      </c>
      <c r="C1957" s="466"/>
      <c r="D1957" s="466"/>
      <c r="E1957" s="466"/>
      <c r="F1957" s="466"/>
      <c r="G1957" s="470" t="s">
        <v>425</v>
      </c>
      <c r="H1957" s="102">
        <f>'Process (5)'!H77</f>
        <v>9590.1937436454464</v>
      </c>
      <c r="I1957" s="358" t="s">
        <v>417</v>
      </c>
    </row>
    <row r="1958" spans="1:9" ht="18.75" customHeight="1" x14ac:dyDescent="0.25">
      <c r="A1958" s="456"/>
      <c r="B1958" s="466"/>
      <c r="C1958" s="466"/>
      <c r="D1958" s="466"/>
      <c r="E1958" s="466"/>
      <c r="F1958" s="466"/>
      <c r="G1958" s="470" t="s">
        <v>506</v>
      </c>
      <c r="H1958" s="101">
        <f>'Process (5)'!H78</f>
        <v>17.3</v>
      </c>
      <c r="I1958" s="358" t="s">
        <v>0</v>
      </c>
    </row>
    <row r="1959" spans="1:9" ht="18.75" customHeight="1" x14ac:dyDescent="0.25">
      <c r="A1959" s="456"/>
      <c r="B1959" s="466" t="s">
        <v>426</v>
      </c>
      <c r="C1959" s="466"/>
      <c r="D1959" s="466"/>
      <c r="E1959" s="466"/>
      <c r="F1959" s="466"/>
      <c r="G1959" s="470" t="s">
        <v>507</v>
      </c>
      <c r="H1959" s="102">
        <f>'Process (5)'!H79</f>
        <v>554.34645917025705</v>
      </c>
      <c r="I1959" s="358" t="s">
        <v>417</v>
      </c>
    </row>
    <row r="1960" spans="1:9" ht="18.75" customHeight="1" x14ac:dyDescent="0.25">
      <c r="A1960" s="456"/>
      <c r="B1960" s="274"/>
      <c r="C1960" s="274"/>
      <c r="D1960" s="274"/>
      <c r="E1960" s="274"/>
      <c r="F1960" s="274"/>
      <c r="G1960" s="274"/>
      <c r="H1960" s="274"/>
      <c r="I1960" s="274"/>
    </row>
    <row r="1961" spans="1:9" ht="18.75" customHeight="1" x14ac:dyDescent="0.25">
      <c r="A1961" s="454" t="s">
        <v>855</v>
      </c>
      <c r="B1961" s="406" t="s">
        <v>508</v>
      </c>
      <c r="C1961" s="407"/>
      <c r="D1961" s="476"/>
      <c r="E1961" s="477"/>
      <c r="F1961" s="478"/>
      <c r="G1961" s="479"/>
      <c r="H1961" s="480"/>
      <c r="I1961" s="407"/>
    </row>
    <row r="1962" spans="1:9" ht="18.75" customHeight="1" x14ac:dyDescent="0.25">
      <c r="A1962" s="455"/>
      <c r="B1962" s="408" t="s">
        <v>510</v>
      </c>
      <c r="C1962" s="409"/>
      <c r="D1962" s="409"/>
      <c r="E1962" s="409"/>
      <c r="F1962" s="409"/>
      <c r="G1962" s="409"/>
      <c r="H1962" s="409"/>
      <c r="I1962" s="409"/>
    </row>
    <row r="1963" spans="1:9" ht="18.75" customHeight="1" x14ac:dyDescent="0.25">
      <c r="A1963" s="456"/>
      <c r="B1963" s="410" t="s">
        <v>494</v>
      </c>
      <c r="C1963" s="410"/>
      <c r="D1963" s="410"/>
      <c r="E1963" s="410"/>
      <c r="F1963" s="413"/>
      <c r="G1963" s="411" t="s">
        <v>511</v>
      </c>
      <c r="H1963" s="170">
        <f>'Process (5)'!H83</f>
        <v>9865.9336743598142</v>
      </c>
      <c r="I1963" s="412" t="s">
        <v>487</v>
      </c>
    </row>
    <row r="1964" spans="1:9" ht="18.75" customHeight="1" x14ac:dyDescent="0.25">
      <c r="A1964" s="456"/>
      <c r="B1964" s="410" t="s">
        <v>512</v>
      </c>
      <c r="C1964" s="410"/>
      <c r="D1964" s="410"/>
      <c r="E1964" s="410"/>
      <c r="F1964" s="410"/>
      <c r="G1964" s="411" t="s">
        <v>604</v>
      </c>
      <c r="H1964" s="67">
        <f>'Process (5)'!H84</f>
        <v>17300</v>
      </c>
      <c r="I1964" s="412" t="s">
        <v>49</v>
      </c>
    </row>
    <row r="1965" spans="1:9" ht="18.75" customHeight="1" x14ac:dyDescent="0.25">
      <c r="A1965" s="456"/>
      <c r="B1965" s="410" t="s">
        <v>481</v>
      </c>
      <c r="C1965" s="410"/>
      <c r="D1965" s="410"/>
      <c r="E1965" s="410"/>
      <c r="F1965" s="413"/>
      <c r="G1965" s="411" t="s">
        <v>482</v>
      </c>
      <c r="H1965" s="170">
        <f>'Process (5)'!H85</f>
        <v>0.1285</v>
      </c>
      <c r="I1965" s="412" t="s">
        <v>0</v>
      </c>
    </row>
    <row r="1966" spans="1:9" ht="18.75" customHeight="1" x14ac:dyDescent="0.25">
      <c r="A1966" s="456"/>
      <c r="B1966" s="410" t="s">
        <v>605</v>
      </c>
      <c r="C1966" s="410"/>
      <c r="D1966" s="410"/>
      <c r="E1966" s="410"/>
      <c r="F1966" s="410"/>
      <c r="G1966" s="411" t="s">
        <v>870</v>
      </c>
      <c r="H1966" s="170">
        <f>'Process (5)'!H86</f>
        <v>961.37499999999989</v>
      </c>
      <c r="I1966" s="412" t="s">
        <v>49</v>
      </c>
    </row>
    <row r="1967" spans="1:9" ht="18.75" customHeight="1" x14ac:dyDescent="0.25">
      <c r="A1967" s="456"/>
      <c r="B1967" s="410" t="s">
        <v>513</v>
      </c>
      <c r="C1967" s="410"/>
      <c r="D1967" s="410"/>
      <c r="E1967" s="410"/>
      <c r="F1967" s="410"/>
      <c r="G1967" s="411" t="s">
        <v>514</v>
      </c>
      <c r="H1967" s="67">
        <f>'Process (5)'!H87</f>
        <v>2.4714285714285715</v>
      </c>
      <c r="I1967" s="412"/>
    </row>
    <row r="1968" spans="1:9" ht="18.75" customHeight="1" x14ac:dyDescent="0.25">
      <c r="A1968" s="456"/>
      <c r="B1968" s="413"/>
      <c r="C1968" s="410"/>
      <c r="D1968" s="410"/>
      <c r="E1968" s="410"/>
      <c r="F1968" s="410"/>
      <c r="G1968" s="413"/>
      <c r="H1968" s="434"/>
      <c r="I1968" s="412"/>
    </row>
    <row r="1969" spans="1:9" ht="18.75" customHeight="1" x14ac:dyDescent="0.25">
      <c r="A1969" s="456"/>
      <c r="B1969" s="410" t="s">
        <v>515</v>
      </c>
      <c r="C1969" s="410"/>
      <c r="D1969" s="410"/>
      <c r="E1969" s="410"/>
      <c r="F1969" s="410"/>
      <c r="G1969" s="411" t="s">
        <v>516</v>
      </c>
      <c r="H1969" s="170">
        <f>'Process (5)'!H89</f>
        <v>27469.233362473089</v>
      </c>
      <c r="I1969" s="412" t="s">
        <v>115</v>
      </c>
    </row>
    <row r="1970" spans="1:9" ht="18.75" customHeight="1" x14ac:dyDescent="0.25">
      <c r="A1970" s="456"/>
      <c r="B1970" s="410"/>
      <c r="C1970" s="410"/>
      <c r="D1970" s="410"/>
      <c r="E1970" s="410"/>
      <c r="F1970" s="410"/>
      <c r="G1970" s="411" t="s">
        <v>517</v>
      </c>
      <c r="H1970" s="170">
        <f>'Process (5)'!H90</f>
        <v>32056.946378521916</v>
      </c>
      <c r="I1970" s="412" t="s">
        <v>115</v>
      </c>
    </row>
    <row r="1971" spans="1:9" ht="18.75" customHeight="1" x14ac:dyDescent="0.25">
      <c r="A1971" s="456"/>
      <c r="B1971" s="410"/>
      <c r="C1971" s="410"/>
      <c r="D1971" s="410"/>
      <c r="E1971" s="410"/>
      <c r="F1971" s="410"/>
      <c r="G1971" s="411" t="s">
        <v>518</v>
      </c>
      <c r="H1971" s="170">
        <f>'Process (5)'!H91</f>
        <v>30365.350617941502</v>
      </c>
      <c r="I1971" s="412" t="s">
        <v>115</v>
      </c>
    </row>
    <row r="1972" spans="1:9" ht="18.75" customHeight="1" x14ac:dyDescent="0.25">
      <c r="A1972" s="456"/>
      <c r="B1972" s="410" t="s">
        <v>519</v>
      </c>
      <c r="C1972" s="410"/>
      <c r="D1972" s="410"/>
      <c r="E1972" s="410"/>
      <c r="F1972" s="410"/>
      <c r="G1972" s="411" t="s">
        <v>520</v>
      </c>
      <c r="H1972" s="170">
        <f>'Process (5)'!H92</f>
        <v>27469.233362473089</v>
      </c>
      <c r="I1972" s="412" t="s">
        <v>115</v>
      </c>
    </row>
    <row r="1973" spans="1:9" ht="18.75" customHeight="1" x14ac:dyDescent="0.25">
      <c r="A1973" s="456"/>
      <c r="B1973" s="410" t="s">
        <v>446</v>
      </c>
      <c r="C1973" s="410"/>
      <c r="D1973" s="410"/>
      <c r="E1973" s="410"/>
      <c r="F1973" s="410"/>
      <c r="G1973" s="411" t="s">
        <v>433</v>
      </c>
      <c r="H1973" s="67">
        <f>'Process (5)'!H93</f>
        <v>0.75</v>
      </c>
      <c r="I1973" s="412"/>
    </row>
    <row r="1974" spans="1:9" ht="18.75" customHeight="1" x14ac:dyDescent="0.25">
      <c r="A1974" s="456"/>
      <c r="B1974" s="410" t="s">
        <v>521</v>
      </c>
      <c r="C1974" s="410"/>
      <c r="D1974" s="410"/>
      <c r="E1974" s="410"/>
      <c r="F1974" s="410"/>
      <c r="G1974" s="411" t="s">
        <v>448</v>
      </c>
      <c r="H1974" s="170">
        <f>'Process (5)'!H94</f>
        <v>20601.925021854819</v>
      </c>
      <c r="I1974" s="412" t="s">
        <v>115</v>
      </c>
    </row>
    <row r="1975" spans="1:9" ht="18.75" customHeight="1" x14ac:dyDescent="0.25">
      <c r="A1975" s="456"/>
      <c r="B1975" s="410" t="s">
        <v>522</v>
      </c>
      <c r="C1975" s="410"/>
      <c r="D1975" s="410"/>
      <c r="E1975" s="413"/>
      <c r="F1975" s="413"/>
      <c r="G1975" s="413"/>
      <c r="H1975" s="413"/>
      <c r="I1975" s="410"/>
    </row>
    <row r="1976" spans="1:9" ht="18.75" customHeight="1" x14ac:dyDescent="0.25">
      <c r="A1976" s="456"/>
      <c r="B1976" s="410"/>
      <c r="C1976" s="410" t="s">
        <v>523</v>
      </c>
      <c r="D1976" s="212" t="s">
        <v>524</v>
      </c>
      <c r="E1976" s="435" t="s">
        <v>449</v>
      </c>
      <c r="F1976" s="212" t="s">
        <v>525</v>
      </c>
      <c r="G1976" s="410"/>
      <c r="H1976" s="413"/>
      <c r="I1976" s="413"/>
    </row>
    <row r="1977" spans="1:9" ht="18.75" customHeight="1" x14ac:dyDescent="0.25">
      <c r="A1977" s="456"/>
      <c r="B1977" s="410"/>
      <c r="C1977" s="410"/>
      <c r="D1977" s="170">
        <f>'Process (5)'!D97</f>
        <v>20601.925021854819</v>
      </c>
      <c r="E1977" s="436" t="str">
        <f>IF(D1977&lt;=F1977,"&lt;","&gt;")</f>
        <v>&gt;</v>
      </c>
      <c r="F1977" s="170">
        <f>'Process (5)'!F97</f>
        <v>9865.9336743598142</v>
      </c>
      <c r="G1977" s="437" t="s">
        <v>338</v>
      </c>
      <c r="H1977" s="562" t="str">
        <f>IF(D1977&gt;F1977,"[ OK ]","[ NOT OK ]")</f>
        <v>[ OK ]</v>
      </c>
      <c r="I1977" s="413"/>
    </row>
    <row r="1978" spans="1:9" ht="18.75" customHeight="1" x14ac:dyDescent="0.25">
      <c r="A1978" s="456"/>
      <c r="B1978" s="410"/>
      <c r="C1978" s="410"/>
      <c r="D1978" s="410"/>
      <c r="E1978" s="410"/>
      <c r="F1978" s="413"/>
      <c r="G1978" s="413"/>
      <c r="H1978" s="413"/>
      <c r="I1978" s="413"/>
    </row>
    <row r="1979" spans="1:9" ht="18.75" customHeight="1" x14ac:dyDescent="0.25">
      <c r="A1979" s="456"/>
      <c r="B1979" s="410"/>
      <c r="C1979" s="410"/>
      <c r="D1979" s="410"/>
      <c r="E1979" s="410"/>
      <c r="F1979" s="410"/>
      <c r="G1979" s="413"/>
      <c r="H1979" s="413"/>
      <c r="I1979" s="413"/>
    </row>
    <row r="1980" spans="1:9" ht="18.75" customHeight="1" x14ac:dyDescent="0.25">
      <c r="A1980" s="455"/>
      <c r="B1980" s="463" t="s">
        <v>531</v>
      </c>
      <c r="C1980" s="464"/>
      <c r="D1980" s="464"/>
      <c r="E1980" s="464"/>
      <c r="F1980" s="464"/>
      <c r="G1980" s="464"/>
      <c r="H1980" s="464"/>
      <c r="I1980" s="464"/>
    </row>
    <row r="1981" spans="1:9" ht="18.75" customHeight="1" x14ac:dyDescent="0.25">
      <c r="A1981" s="456"/>
      <c r="B1981" s="466" t="s">
        <v>452</v>
      </c>
      <c r="C1981" s="466"/>
      <c r="D1981" s="466"/>
      <c r="E1981" s="466"/>
      <c r="F1981" s="466"/>
      <c r="G1981" s="470" t="s">
        <v>453</v>
      </c>
      <c r="H1981" s="101">
        <f>'Process (5)'!H101</f>
        <v>3</v>
      </c>
      <c r="I1981" s="358" t="s">
        <v>0</v>
      </c>
    </row>
    <row r="1982" spans="1:9" ht="18.75" customHeight="1" x14ac:dyDescent="0.25">
      <c r="A1982" s="456"/>
      <c r="B1982" s="466" t="s">
        <v>454</v>
      </c>
      <c r="C1982" s="466"/>
      <c r="D1982" s="466"/>
      <c r="E1982" s="466"/>
      <c r="F1982" s="466"/>
      <c r="G1982" s="470" t="s">
        <v>294</v>
      </c>
      <c r="H1982" s="101">
        <f>'Process (5)'!H102</f>
        <v>2.8</v>
      </c>
      <c r="I1982" s="358" t="s">
        <v>0</v>
      </c>
    </row>
    <row r="1983" spans="1:9" ht="18.75" customHeight="1" x14ac:dyDescent="0.25">
      <c r="A1983" s="456"/>
      <c r="B1983" s="466" t="s">
        <v>455</v>
      </c>
      <c r="C1983" s="466"/>
      <c r="D1983" s="466"/>
      <c r="E1983" s="466"/>
      <c r="F1983" s="466"/>
      <c r="G1983" s="470" t="s">
        <v>533</v>
      </c>
      <c r="H1983" s="101">
        <f>'Process (5)'!H103</f>
        <v>0.4</v>
      </c>
      <c r="I1983" s="358" t="s">
        <v>0</v>
      </c>
    </row>
    <row r="1984" spans="1:9" ht="18.75" customHeight="1" x14ac:dyDescent="0.25">
      <c r="A1984" s="456"/>
      <c r="B1984" s="466"/>
      <c r="C1984" s="466"/>
      <c r="D1984" s="466"/>
      <c r="E1984" s="466"/>
      <c r="F1984" s="466"/>
      <c r="G1984" s="466"/>
      <c r="H1984" s="466"/>
      <c r="I1984" s="466"/>
    </row>
    <row r="1985" spans="1:9" ht="18.75" customHeight="1" x14ac:dyDescent="0.25">
      <c r="A1985" s="456"/>
      <c r="B1985" s="466"/>
      <c r="C1985" s="466"/>
      <c r="D1985" s="466"/>
      <c r="E1985" s="466"/>
      <c r="F1985" s="466"/>
      <c r="G1985" s="466"/>
      <c r="H1985" s="466"/>
      <c r="I1985" s="466"/>
    </row>
    <row r="1986" spans="1:9" ht="18.75" customHeight="1" x14ac:dyDescent="0.25">
      <c r="A1986" s="456"/>
      <c r="B1986" s="466"/>
      <c r="C1986" s="466"/>
      <c r="D1986" s="466"/>
      <c r="E1986" s="466"/>
      <c r="F1986" s="466"/>
      <c r="G1986" s="466"/>
      <c r="H1986" s="466"/>
      <c r="I1986" s="466"/>
    </row>
    <row r="1987" spans="1:9" ht="18.75" customHeight="1" x14ac:dyDescent="0.25">
      <c r="A1987" s="456"/>
      <c r="B1987" s="466"/>
      <c r="C1987" s="466"/>
      <c r="D1987" s="466"/>
      <c r="E1987" s="466"/>
      <c r="F1987" s="466"/>
      <c r="G1987" s="466"/>
      <c r="H1987" s="466"/>
      <c r="I1987" s="466"/>
    </row>
    <row r="1988" spans="1:9" ht="18.75" customHeight="1" x14ac:dyDescent="0.25">
      <c r="A1988" s="456"/>
      <c r="B1988" s="466"/>
      <c r="C1988" s="466"/>
      <c r="D1988" s="466"/>
      <c r="E1988" s="466"/>
      <c r="F1988" s="466"/>
      <c r="G1988" s="466"/>
      <c r="H1988" s="466"/>
      <c r="I1988" s="466"/>
    </row>
    <row r="1989" spans="1:9" ht="18.75" customHeight="1" x14ac:dyDescent="0.25">
      <c r="A1989" s="456"/>
      <c r="B1989" s="466"/>
      <c r="C1989" s="466"/>
      <c r="D1989" s="466"/>
      <c r="E1989" s="466"/>
      <c r="F1989" s="466"/>
      <c r="G1989" s="466"/>
      <c r="H1989" s="466"/>
      <c r="I1989" s="466"/>
    </row>
    <row r="1990" spans="1:9" ht="18.75" customHeight="1" x14ac:dyDescent="0.25">
      <c r="A1990" s="456"/>
      <c r="B1990" s="466"/>
      <c r="C1990" s="466"/>
      <c r="D1990" s="466"/>
      <c r="E1990" s="466"/>
      <c r="F1990" s="466"/>
      <c r="G1990" s="466"/>
      <c r="H1990" s="466"/>
      <c r="I1990" s="466"/>
    </row>
    <row r="1991" spans="1:9" ht="18.75" customHeight="1" x14ac:dyDescent="0.25">
      <c r="A1991" s="456"/>
      <c r="B1991" s="466"/>
      <c r="C1991" s="466"/>
      <c r="D1991" s="466"/>
      <c r="E1991" s="466"/>
      <c r="F1991" s="466"/>
      <c r="G1991" s="466"/>
      <c r="H1991" s="466"/>
      <c r="I1991" s="466"/>
    </row>
    <row r="1992" spans="1:9" ht="18.75" customHeight="1" x14ac:dyDescent="0.25">
      <c r="A1992" s="456"/>
      <c r="B1992" s="466"/>
      <c r="C1992" s="466"/>
      <c r="D1992" s="466"/>
      <c r="E1992" s="466"/>
      <c r="F1992" s="466"/>
      <c r="G1992" s="466"/>
      <c r="H1992" s="466"/>
      <c r="I1992" s="466"/>
    </row>
    <row r="1993" spans="1:9" ht="18.75" customHeight="1" x14ac:dyDescent="0.25">
      <c r="A1993" s="456"/>
      <c r="B1993" s="466"/>
      <c r="C1993" s="466"/>
      <c r="D1993" s="466"/>
      <c r="E1993" s="466"/>
      <c r="F1993" s="466"/>
      <c r="G1993" s="466"/>
      <c r="H1993" s="466"/>
      <c r="I1993" s="466"/>
    </row>
    <row r="1994" spans="1:9" ht="18.75" customHeight="1" x14ac:dyDescent="0.25">
      <c r="A1994" s="456"/>
      <c r="B1994" s="466"/>
      <c r="C1994" s="466"/>
      <c r="D1994" s="466"/>
      <c r="E1994" s="466"/>
      <c r="F1994" s="466"/>
      <c r="G1994" s="466"/>
      <c r="H1994" s="466"/>
      <c r="I1994" s="466"/>
    </row>
    <row r="1995" spans="1:9" ht="18.75" customHeight="1" x14ac:dyDescent="0.25">
      <c r="A1995" s="456"/>
      <c r="B1995" s="466"/>
      <c r="C1995" s="466"/>
      <c r="D1995" s="466"/>
      <c r="E1995" s="466"/>
      <c r="F1995" s="466"/>
      <c r="G1995" s="466"/>
      <c r="H1995" s="466"/>
      <c r="I1995" s="466"/>
    </row>
    <row r="1996" spans="1:9" ht="18.75" customHeight="1" x14ac:dyDescent="0.25">
      <c r="A1996" s="456"/>
      <c r="B1996" s="466"/>
      <c r="C1996" s="466"/>
      <c r="D1996" s="466"/>
      <c r="E1996" s="466"/>
      <c r="F1996" s="466"/>
      <c r="G1996" s="466"/>
      <c r="H1996" s="466"/>
      <c r="I1996" s="466"/>
    </row>
    <row r="1997" spans="1:9" ht="18.75" customHeight="1" x14ac:dyDescent="0.25">
      <c r="A1997" s="456"/>
      <c r="B1997" s="466"/>
      <c r="C1997" s="466"/>
      <c r="D1997" s="466"/>
      <c r="E1997" s="466"/>
      <c r="F1997" s="466"/>
      <c r="G1997" s="466"/>
      <c r="H1997" s="466"/>
      <c r="I1997" s="466"/>
    </row>
    <row r="1998" spans="1:9" ht="18.75" customHeight="1" x14ac:dyDescent="0.25">
      <c r="A1998" s="456"/>
      <c r="B1998" s="466"/>
      <c r="C1998" s="466"/>
      <c r="D1998" s="466"/>
      <c r="E1998" s="466"/>
      <c r="F1998" s="466"/>
      <c r="G1998" s="466"/>
      <c r="H1998" s="466"/>
      <c r="I1998" s="466"/>
    </row>
    <row r="1999" spans="1:9" ht="18.75" customHeight="1" x14ac:dyDescent="0.25">
      <c r="A1999" s="456"/>
      <c r="B1999" s="466"/>
      <c r="C1999" s="466"/>
      <c r="D1999" s="466"/>
      <c r="E1999" s="466"/>
      <c r="F1999" s="466"/>
      <c r="G1999" s="466"/>
      <c r="H1999" s="466"/>
      <c r="I1999" s="466"/>
    </row>
    <row r="2000" spans="1:9" ht="18.75" customHeight="1" x14ac:dyDescent="0.25">
      <c r="A2000" s="456"/>
      <c r="B2000" s="466"/>
      <c r="C2000" s="466"/>
      <c r="D2000" s="466"/>
      <c r="E2000" s="466"/>
      <c r="F2000" s="466"/>
      <c r="G2000" s="466"/>
      <c r="H2000" s="466"/>
      <c r="I2000" s="466"/>
    </row>
    <row r="2001" spans="1:9" ht="18.75" customHeight="1" x14ac:dyDescent="0.25">
      <c r="A2001" s="456"/>
      <c r="B2001" s="466"/>
      <c r="C2001" s="466"/>
      <c r="D2001" s="466"/>
      <c r="E2001" s="466"/>
      <c r="F2001" s="466"/>
      <c r="G2001" s="466"/>
      <c r="H2001" s="466"/>
      <c r="I2001" s="466"/>
    </row>
    <row r="2002" spans="1:9" ht="18.75" customHeight="1" x14ac:dyDescent="0.25">
      <c r="A2002" s="456"/>
      <c r="B2002" s="466"/>
      <c r="C2002" s="466"/>
      <c r="D2002" s="466"/>
      <c r="E2002" s="466"/>
      <c r="F2002" s="466"/>
      <c r="G2002" s="466"/>
      <c r="H2002" s="466"/>
      <c r="I2002" s="466"/>
    </row>
    <row r="2003" spans="1:9" ht="18.75" customHeight="1" x14ac:dyDescent="0.25">
      <c r="A2003" s="456"/>
      <c r="B2003" s="466"/>
      <c r="C2003" s="466"/>
      <c r="D2003" s="466"/>
      <c r="E2003" s="466"/>
      <c r="F2003" s="466"/>
      <c r="G2003" s="466"/>
      <c r="H2003" s="466"/>
      <c r="I2003" s="466"/>
    </row>
    <row r="2004" spans="1:9" ht="18.75" customHeight="1" x14ac:dyDescent="0.25">
      <c r="A2004" s="456"/>
      <c r="B2004" s="470" t="s">
        <v>456</v>
      </c>
      <c r="C2004" s="101">
        <f>'Process (5)'!C117</f>
        <v>1.5</v>
      </c>
      <c r="D2004" s="466" t="s">
        <v>0</v>
      </c>
      <c r="E2004" s="466"/>
      <c r="F2004" s="466"/>
      <c r="G2004" s="466"/>
      <c r="H2004" s="466"/>
      <c r="I2004" s="466"/>
    </row>
    <row r="2005" spans="1:9" ht="18.75" customHeight="1" x14ac:dyDescent="0.25">
      <c r="A2005" s="456"/>
      <c r="B2005" s="470" t="s">
        <v>457</v>
      </c>
      <c r="C2005" s="101">
        <f>'Process (5)'!C118</f>
        <v>1.4</v>
      </c>
      <c r="D2005" s="466" t="s">
        <v>0</v>
      </c>
      <c r="E2005" s="466"/>
      <c r="F2005" s="466"/>
      <c r="G2005" s="470" t="s">
        <v>458</v>
      </c>
      <c r="H2005" s="101">
        <f>'Process (5)'!H118</f>
        <v>1.4</v>
      </c>
      <c r="I2005" s="358" t="s">
        <v>0</v>
      </c>
    </row>
    <row r="2006" spans="1:9" ht="18.75" customHeight="1" x14ac:dyDescent="0.25">
      <c r="A2006" s="456"/>
      <c r="B2006" s="466" t="s">
        <v>460</v>
      </c>
      <c r="C2006" s="466"/>
      <c r="D2006" s="466"/>
      <c r="E2006" s="466"/>
      <c r="F2006" s="466"/>
      <c r="G2006" s="411" t="s">
        <v>869</v>
      </c>
      <c r="H2006" s="101">
        <f>'Process (5)'!H119</f>
        <v>0.98333333333333328</v>
      </c>
      <c r="I2006" s="358" t="s">
        <v>0</v>
      </c>
    </row>
    <row r="2007" spans="1:9" ht="18.75" customHeight="1" x14ac:dyDescent="0.25">
      <c r="A2007" s="456"/>
      <c r="B2007" s="410" t="s">
        <v>481</v>
      </c>
      <c r="C2007" s="413"/>
      <c r="D2007" s="413"/>
      <c r="E2007" s="413"/>
      <c r="F2007" s="413"/>
      <c r="G2007" s="411" t="s">
        <v>482</v>
      </c>
      <c r="H2007" s="170">
        <f>'Process (5)'!H120</f>
        <v>0.1285</v>
      </c>
      <c r="I2007" s="412" t="s">
        <v>0</v>
      </c>
    </row>
    <row r="2008" spans="1:9" ht="18.75" customHeight="1" x14ac:dyDescent="0.25">
      <c r="A2008" s="456"/>
      <c r="B2008" s="466" t="s">
        <v>461</v>
      </c>
      <c r="C2008" s="466"/>
      <c r="D2008" s="466"/>
      <c r="E2008" s="466"/>
      <c r="F2008" s="466"/>
      <c r="G2008" s="470" t="s">
        <v>462</v>
      </c>
      <c r="H2008" s="101">
        <f>'Process (5)'!H121</f>
        <v>854.83333333333326</v>
      </c>
      <c r="I2008" s="358" t="s">
        <v>49</v>
      </c>
    </row>
    <row r="2009" spans="1:9" ht="18.75" customHeight="1" x14ac:dyDescent="0.25">
      <c r="A2009" s="456"/>
      <c r="B2009" s="466" t="s">
        <v>463</v>
      </c>
      <c r="C2009" s="466"/>
      <c r="D2009" s="466"/>
      <c r="E2009" s="466"/>
      <c r="F2009" s="466"/>
      <c r="G2009" s="470" t="s">
        <v>464</v>
      </c>
      <c r="H2009" s="101">
        <f>'Process (5)'!H122</f>
        <v>5799.1148575128545</v>
      </c>
      <c r="I2009" s="358" t="s">
        <v>49</v>
      </c>
    </row>
    <row r="2010" spans="1:9" ht="18.75" customHeight="1" x14ac:dyDescent="0.25">
      <c r="A2010" s="456"/>
      <c r="B2010" s="466" t="s">
        <v>465</v>
      </c>
      <c r="C2010" s="466"/>
      <c r="D2010" s="466"/>
      <c r="E2010" s="466"/>
      <c r="F2010" s="466"/>
      <c r="G2010" s="470" t="s">
        <v>466</v>
      </c>
      <c r="H2010" s="99">
        <f>'Process (5)'!H123</f>
        <v>4957276.684030571</v>
      </c>
      <c r="I2010" s="358" t="s">
        <v>467</v>
      </c>
    </row>
    <row r="2011" spans="1:9" ht="18.75" customHeight="1" x14ac:dyDescent="0.25">
      <c r="A2011" s="456"/>
      <c r="B2011" s="466"/>
      <c r="C2011" s="466"/>
      <c r="D2011" s="466"/>
      <c r="E2011" s="466"/>
      <c r="F2011" s="466"/>
      <c r="G2011" s="470"/>
      <c r="H2011" s="255"/>
      <c r="I2011" s="358"/>
    </row>
    <row r="2012" spans="1:9" ht="18.75" customHeight="1" x14ac:dyDescent="0.25">
      <c r="A2012" s="456"/>
      <c r="B2012" s="410" t="s">
        <v>526</v>
      </c>
      <c r="C2012" s="410"/>
      <c r="D2012" s="410"/>
      <c r="E2012" s="410"/>
      <c r="F2012" s="410"/>
      <c r="G2012" s="411" t="s">
        <v>527</v>
      </c>
      <c r="H2012" s="170">
        <f>'Process (5)'!H125</f>
        <v>1.651610409432726</v>
      </c>
      <c r="I2012" s="412" t="s">
        <v>7</v>
      </c>
    </row>
    <row r="2013" spans="1:9" ht="18.75" customHeight="1" x14ac:dyDescent="0.25">
      <c r="A2013" s="456"/>
      <c r="B2013" s="410"/>
      <c r="C2013" s="410"/>
      <c r="D2013" s="410"/>
      <c r="E2013" s="410"/>
      <c r="F2013" s="410"/>
      <c r="G2013" s="411" t="s">
        <v>606</v>
      </c>
      <c r="H2013" s="170">
        <f>'Process (5)'!H126</f>
        <v>3.6041523349195992</v>
      </c>
      <c r="I2013" s="412" t="s">
        <v>7</v>
      </c>
    </row>
    <row r="2014" spans="1:9" ht="18.75" customHeight="1" x14ac:dyDescent="0.25">
      <c r="A2014" s="456"/>
      <c r="B2014" s="410"/>
      <c r="C2014" s="410"/>
      <c r="D2014" s="410"/>
      <c r="E2014" s="410"/>
      <c r="F2014" s="410"/>
      <c r="G2014" s="411" t="s">
        <v>528</v>
      </c>
      <c r="H2014" s="170">
        <f>'Process (5)'!H127</f>
        <v>1.8257418583505536</v>
      </c>
      <c r="I2014" s="412" t="s">
        <v>7</v>
      </c>
    </row>
    <row r="2015" spans="1:9" ht="18.75" customHeight="1" x14ac:dyDescent="0.25">
      <c r="A2015" s="456"/>
      <c r="B2015" s="410" t="s">
        <v>529</v>
      </c>
      <c r="C2015" s="466"/>
      <c r="D2015" s="466"/>
      <c r="E2015" s="466"/>
      <c r="F2015" s="466"/>
      <c r="G2015" s="470" t="s">
        <v>532</v>
      </c>
      <c r="H2015" s="102">
        <f>'Process (5)'!H128</f>
        <v>1.651610409432726</v>
      </c>
      <c r="I2015" s="358" t="s">
        <v>7</v>
      </c>
    </row>
    <row r="2016" spans="1:9" ht="18.75" customHeight="1" x14ac:dyDescent="0.25">
      <c r="A2016" s="456"/>
      <c r="B2016" s="466" t="s">
        <v>450</v>
      </c>
      <c r="C2016" s="466"/>
      <c r="D2016" s="466"/>
      <c r="E2016" s="466"/>
      <c r="F2016" s="466"/>
      <c r="G2016" s="470" t="s">
        <v>451</v>
      </c>
      <c r="H2016" s="101">
        <f>'Process (5)'!H129</f>
        <v>0.75</v>
      </c>
      <c r="I2016" s="358"/>
    </row>
    <row r="2017" spans="1:9" ht="18.75" customHeight="1" x14ac:dyDescent="0.25">
      <c r="A2017" s="456"/>
      <c r="B2017" s="466" t="s">
        <v>468</v>
      </c>
      <c r="C2017" s="466"/>
      <c r="D2017" s="466"/>
      <c r="E2017" s="466"/>
      <c r="F2017" s="466"/>
      <c r="G2017" s="470" t="s">
        <v>534</v>
      </c>
      <c r="H2017" s="101">
        <f>'Process (5)'!H130</f>
        <v>8187.4897737830379</v>
      </c>
      <c r="I2017" s="358" t="s">
        <v>115</v>
      </c>
    </row>
    <row r="2018" spans="1:9" ht="18.75" customHeight="1" x14ac:dyDescent="0.25">
      <c r="A2018" s="456"/>
      <c r="B2018" s="466" t="s">
        <v>469</v>
      </c>
      <c r="C2018" s="466"/>
      <c r="D2018" s="466"/>
      <c r="E2018" s="466"/>
      <c r="F2018" s="466"/>
      <c r="G2018" s="470" t="s">
        <v>470</v>
      </c>
      <c r="H2018" s="102">
        <f>'Process (5)'!H131</f>
        <v>6140.617330337278</v>
      </c>
      <c r="I2018" s="358" t="s">
        <v>115</v>
      </c>
    </row>
    <row r="2019" spans="1:9" ht="18.75" customHeight="1" x14ac:dyDescent="0.25">
      <c r="A2019" s="456"/>
      <c r="B2019" s="466" t="s">
        <v>471</v>
      </c>
      <c r="C2019" s="466"/>
      <c r="D2019" s="466"/>
      <c r="E2019" s="466"/>
      <c r="F2019" s="466"/>
      <c r="G2019" s="470" t="s">
        <v>399</v>
      </c>
      <c r="H2019" s="102">
        <f>'Process (5)'!H132</f>
        <v>1950.0391695758058</v>
      </c>
      <c r="I2019" s="358" t="s">
        <v>115</v>
      </c>
    </row>
    <row r="2020" spans="1:9" ht="18.75" customHeight="1" x14ac:dyDescent="0.25">
      <c r="A2020" s="456"/>
      <c r="B2020" s="416" t="s">
        <v>535</v>
      </c>
      <c r="C2020" s="416"/>
      <c r="D2020" s="416"/>
      <c r="E2020" s="416"/>
      <c r="F2020" s="416"/>
      <c r="G2020" s="417"/>
      <c r="H2020" s="425"/>
      <c r="I2020" s="425"/>
    </row>
    <row r="2021" spans="1:9" ht="18.75" customHeight="1" x14ac:dyDescent="0.25">
      <c r="A2021" s="456"/>
      <c r="B2021" s="466"/>
      <c r="C2021" s="423" t="s">
        <v>334</v>
      </c>
      <c r="D2021" s="218" t="s">
        <v>473</v>
      </c>
      <c r="E2021" s="420" t="s">
        <v>340</v>
      </c>
      <c r="F2021" s="218" t="s">
        <v>472</v>
      </c>
      <c r="G2021" s="417"/>
      <c r="H2021" s="425"/>
      <c r="I2021" s="466"/>
    </row>
    <row r="2022" spans="1:9" ht="18.75" customHeight="1" x14ac:dyDescent="0.25">
      <c r="A2022" s="456"/>
      <c r="B2022" s="416"/>
      <c r="C2022" s="416"/>
      <c r="D2022" s="155">
        <f>'Process (5)'!D135</f>
        <v>6140.617330337278</v>
      </c>
      <c r="E2022" s="425" t="str">
        <f>IF(D2022&gt;F2022,"&gt;","&lt;")</f>
        <v>&gt;</v>
      </c>
      <c r="F2022" s="155">
        <f>'Process (5)'!F135</f>
        <v>1950.0391695758058</v>
      </c>
      <c r="G2022" s="420" t="s">
        <v>338</v>
      </c>
      <c r="H2022" s="562" t="str">
        <f>IF(D2022&gt;F2022,"[ OK ]","[ NOT OK ]")</f>
        <v>[ OK ]</v>
      </c>
      <c r="I2022" s="466"/>
    </row>
    <row r="2023" spans="1:9" ht="18.75" customHeight="1" x14ac:dyDescent="0.25">
      <c r="A2023" s="456"/>
      <c r="B2023" s="410"/>
      <c r="C2023" s="410"/>
      <c r="D2023" s="410"/>
      <c r="E2023" s="410"/>
      <c r="F2023" s="410"/>
      <c r="G2023" s="410"/>
      <c r="H2023" s="410"/>
      <c r="I2023" s="410"/>
    </row>
    <row r="2024" spans="1:9" ht="18.75" customHeight="1" x14ac:dyDescent="0.25">
      <c r="A2024" s="456"/>
      <c r="B2024" s="410"/>
      <c r="C2024" s="410"/>
      <c r="D2024" s="410"/>
      <c r="E2024" s="410"/>
      <c r="F2024" s="410"/>
      <c r="G2024" s="410"/>
      <c r="H2024" s="410"/>
      <c r="I2024" s="410"/>
    </row>
    <row r="2025" spans="1:9" ht="18.75" customHeight="1" x14ac:dyDescent="0.25">
      <c r="A2025" s="454" t="s">
        <v>856</v>
      </c>
      <c r="B2025" s="406" t="s">
        <v>536</v>
      </c>
      <c r="C2025" s="407"/>
      <c r="D2025" s="407"/>
      <c r="E2025" s="407"/>
      <c r="F2025" s="407"/>
      <c r="G2025" s="407"/>
      <c r="H2025" s="407"/>
      <c r="I2025" s="407"/>
    </row>
    <row r="2026" spans="1:9" ht="18.75" customHeight="1" x14ac:dyDescent="0.25">
      <c r="A2026" s="455"/>
      <c r="B2026" s="408" t="s">
        <v>538</v>
      </c>
      <c r="C2026" s="409"/>
      <c r="D2026" s="409"/>
      <c r="E2026" s="409"/>
      <c r="F2026" s="409"/>
      <c r="G2026" s="409"/>
      <c r="H2026" s="409"/>
      <c r="I2026" s="409"/>
    </row>
    <row r="2027" spans="1:9" ht="18.75" customHeight="1" x14ac:dyDescent="0.25">
      <c r="A2027" s="456"/>
      <c r="B2027" s="410" t="s">
        <v>539</v>
      </c>
      <c r="C2027" s="410"/>
      <c r="D2027" s="410"/>
      <c r="E2027" s="410"/>
      <c r="F2027" s="410"/>
      <c r="G2027" s="411" t="s">
        <v>540</v>
      </c>
      <c r="H2027" s="170">
        <f>'Process (5)'!H140</f>
        <v>554.34645917025705</v>
      </c>
      <c r="I2027" s="412" t="s">
        <v>417</v>
      </c>
    </row>
    <row r="2028" spans="1:9" ht="18.75" customHeight="1" x14ac:dyDescent="0.25">
      <c r="A2028" s="456"/>
      <c r="B2028" s="410" t="s">
        <v>541</v>
      </c>
      <c r="C2028" s="410"/>
      <c r="D2028" s="410"/>
      <c r="E2028" s="413"/>
      <c r="F2028" s="413"/>
      <c r="G2028" s="411" t="s">
        <v>243</v>
      </c>
      <c r="H2028" s="67">
        <f>'Process (5)'!H141</f>
        <v>1000</v>
      </c>
      <c r="I2028" s="412" t="s">
        <v>49</v>
      </c>
    </row>
    <row r="2029" spans="1:9" ht="18.75" customHeight="1" x14ac:dyDescent="0.25">
      <c r="A2029" s="456"/>
      <c r="B2029" s="410" t="s">
        <v>253</v>
      </c>
      <c r="C2029" s="410"/>
      <c r="D2029" s="410"/>
      <c r="E2029" s="413"/>
      <c r="F2029" s="413"/>
      <c r="G2029" s="411" t="s">
        <v>613</v>
      </c>
      <c r="H2029" s="67">
        <f>'Process (5)'!H142</f>
        <v>750</v>
      </c>
      <c r="I2029" s="412" t="s">
        <v>49</v>
      </c>
    </row>
    <row r="2030" spans="1:9" ht="18.75" customHeight="1" x14ac:dyDescent="0.25">
      <c r="A2030" s="456"/>
      <c r="B2030" s="410" t="s">
        <v>542</v>
      </c>
      <c r="C2030" s="410"/>
      <c r="D2030" s="410"/>
      <c r="E2030" s="413"/>
      <c r="F2030" s="413"/>
      <c r="G2030" s="411" t="s">
        <v>482</v>
      </c>
      <c r="H2030" s="209">
        <f>'Process (5)'!H143</f>
        <v>128.5</v>
      </c>
      <c r="I2030" s="412" t="s">
        <v>49</v>
      </c>
    </row>
    <row r="2031" spans="1:9" ht="18.75" customHeight="1" x14ac:dyDescent="0.25">
      <c r="A2031" s="456"/>
      <c r="B2031" s="410" t="s">
        <v>543</v>
      </c>
      <c r="C2031" s="410"/>
      <c r="D2031" s="410"/>
      <c r="E2031" s="413"/>
      <c r="F2031" s="413"/>
      <c r="G2031" s="411" t="s">
        <v>484</v>
      </c>
      <c r="H2031" s="209">
        <f>'Process (5)'!H144</f>
        <v>621.5</v>
      </c>
      <c r="I2031" s="412" t="s">
        <v>49</v>
      </c>
    </row>
    <row r="2032" spans="1:9" ht="18.75" customHeight="1" x14ac:dyDescent="0.25">
      <c r="A2032" s="456"/>
      <c r="B2032" s="410" t="s">
        <v>544</v>
      </c>
      <c r="C2032" s="410"/>
      <c r="D2032" s="410"/>
      <c r="E2032" s="413"/>
      <c r="F2032" s="413"/>
      <c r="G2032" s="414" t="s">
        <v>545</v>
      </c>
      <c r="H2032" s="209">
        <f>'Process (5)'!H145</f>
        <v>30</v>
      </c>
      <c r="I2032" s="412" t="s">
        <v>7</v>
      </c>
    </row>
    <row r="2033" spans="1:9" ht="18.75" customHeight="1" x14ac:dyDescent="0.25">
      <c r="A2033" s="456"/>
      <c r="B2033" s="410" t="s">
        <v>546</v>
      </c>
      <c r="C2033" s="410"/>
      <c r="D2033" s="410"/>
      <c r="E2033" s="413"/>
      <c r="F2033" s="413"/>
      <c r="G2033" s="411" t="s">
        <v>447</v>
      </c>
      <c r="H2033" s="209">
        <f>'Process (5)'!H146</f>
        <v>400</v>
      </c>
      <c r="I2033" s="412" t="s">
        <v>7</v>
      </c>
    </row>
    <row r="2034" spans="1:9" ht="18.75" customHeight="1" x14ac:dyDescent="0.25">
      <c r="A2034" s="456"/>
      <c r="B2034" s="415" t="s">
        <v>9</v>
      </c>
      <c r="C2034" s="410"/>
      <c r="D2034" s="410"/>
      <c r="E2034" s="413"/>
      <c r="F2034" s="413"/>
      <c r="G2034" s="411" t="s">
        <v>547</v>
      </c>
      <c r="H2034" s="221">
        <f>'Process (5)'!H147</f>
        <v>200000</v>
      </c>
      <c r="I2034" s="412" t="s">
        <v>7</v>
      </c>
    </row>
    <row r="2035" spans="1:9" ht="18.75" customHeight="1" x14ac:dyDescent="0.25">
      <c r="A2035" s="457"/>
      <c r="B2035" s="416" t="s">
        <v>548</v>
      </c>
      <c r="C2035" s="416"/>
      <c r="D2035" s="416"/>
      <c r="E2035" s="416"/>
      <c r="F2035" s="416"/>
      <c r="G2035" s="417" t="s">
        <v>549</v>
      </c>
      <c r="H2035" s="153" t="str">
        <f>'Process (5)'!H148</f>
        <v>-</v>
      </c>
      <c r="I2035" s="418"/>
    </row>
    <row r="2036" spans="1:9" ht="18.75" customHeight="1" x14ac:dyDescent="0.25">
      <c r="A2036" s="457"/>
      <c r="B2036" s="416" t="s">
        <v>550</v>
      </c>
      <c r="C2036" s="416"/>
      <c r="D2036" s="416"/>
      <c r="E2036" s="416"/>
      <c r="F2036" s="416"/>
      <c r="G2036" s="417" t="s">
        <v>551</v>
      </c>
      <c r="H2036" s="154">
        <f>'Process (5)'!H149</f>
        <v>0.83571428571428574</v>
      </c>
      <c r="I2036" s="418"/>
    </row>
    <row r="2037" spans="1:9" ht="18.75" customHeight="1" x14ac:dyDescent="0.25">
      <c r="A2037" s="457"/>
      <c r="B2037" s="416" t="s">
        <v>552</v>
      </c>
      <c r="C2037" s="416"/>
      <c r="D2037" s="416"/>
      <c r="E2037" s="416"/>
      <c r="F2037" s="416"/>
      <c r="G2037" s="417" t="s">
        <v>549</v>
      </c>
      <c r="H2037" s="154" t="str">
        <f>'Process (5)'!H150</f>
        <v>-</v>
      </c>
      <c r="I2037" s="418"/>
    </row>
    <row r="2038" spans="1:9" ht="18.75" customHeight="1" x14ac:dyDescent="0.25">
      <c r="A2038" s="457"/>
      <c r="B2038" s="416" t="s">
        <v>427</v>
      </c>
      <c r="C2038" s="416"/>
      <c r="D2038" s="416"/>
      <c r="E2038" s="416"/>
      <c r="F2038" s="419" t="s">
        <v>338</v>
      </c>
      <c r="G2038" s="417" t="s">
        <v>549</v>
      </c>
      <c r="H2038" s="154">
        <f>'Process (5)'!H151</f>
        <v>0.83571428571428574</v>
      </c>
      <c r="I2038" s="418"/>
    </row>
    <row r="2039" spans="1:9" ht="18.75" customHeight="1" x14ac:dyDescent="0.25">
      <c r="A2039" s="457"/>
      <c r="B2039" s="416" t="s">
        <v>428</v>
      </c>
      <c r="C2039" s="416"/>
      <c r="D2039" s="416"/>
      <c r="E2039" s="416"/>
      <c r="F2039" s="419"/>
      <c r="G2039" s="417"/>
      <c r="H2039" s="420"/>
      <c r="I2039" s="418"/>
    </row>
    <row r="2040" spans="1:9" ht="18.75" customHeight="1" x14ac:dyDescent="0.25">
      <c r="A2040" s="457"/>
      <c r="B2040" s="416"/>
      <c r="C2040" s="421"/>
      <c r="D2040" s="416"/>
      <c r="E2040" s="416"/>
      <c r="F2040" s="416"/>
      <c r="G2040" s="417" t="s">
        <v>429</v>
      </c>
      <c r="H2040" s="224">
        <f>'Process (5)'!H153</f>
        <v>3.1966071428571427E-2</v>
      </c>
      <c r="I2040" s="418"/>
    </row>
    <row r="2041" spans="1:9" ht="18.75" customHeight="1" x14ac:dyDescent="0.25">
      <c r="A2041" s="457"/>
      <c r="B2041" s="416" t="s">
        <v>430</v>
      </c>
      <c r="C2041" s="416"/>
      <c r="D2041" s="422"/>
      <c r="E2041" s="420"/>
      <c r="F2041" s="423"/>
      <c r="G2041" s="417" t="s">
        <v>431</v>
      </c>
      <c r="H2041" s="224">
        <f>'Process (5)'!H154</f>
        <v>2.397455357142857E-2</v>
      </c>
      <c r="I2041" s="418"/>
    </row>
    <row r="2042" spans="1:9" ht="18.75" customHeight="1" x14ac:dyDescent="0.25">
      <c r="A2042" s="457"/>
      <c r="B2042" s="416" t="s">
        <v>432</v>
      </c>
      <c r="C2042" s="416"/>
      <c r="D2042" s="416"/>
      <c r="E2042" s="423"/>
      <c r="F2042" s="416"/>
      <c r="G2042" s="411" t="s">
        <v>594</v>
      </c>
      <c r="H2042" s="224">
        <f>'Process (5)'!H155</f>
        <v>2E-3</v>
      </c>
      <c r="I2042" s="418"/>
    </row>
    <row r="2043" spans="1:9" ht="18.75" customHeight="1" x14ac:dyDescent="0.25">
      <c r="A2043" s="457"/>
      <c r="B2043" s="416"/>
      <c r="C2043" s="416"/>
      <c r="D2043" s="416"/>
      <c r="E2043" s="416"/>
      <c r="F2043" s="416"/>
      <c r="G2043" s="417"/>
      <c r="H2043" s="225"/>
      <c r="I2043" s="418"/>
    </row>
    <row r="2044" spans="1:9" ht="18.75" customHeight="1" x14ac:dyDescent="0.25">
      <c r="A2044" s="457"/>
      <c r="B2044" s="416" t="s">
        <v>553</v>
      </c>
      <c r="C2044" s="416"/>
      <c r="D2044" s="416"/>
      <c r="E2044" s="416"/>
      <c r="F2044" s="417"/>
      <c r="G2044" s="417" t="s">
        <v>554</v>
      </c>
      <c r="H2044" s="155">
        <f>'Process (5)'!H157</f>
        <v>0.85</v>
      </c>
      <c r="I2044" s="418"/>
    </row>
    <row r="2045" spans="1:9" ht="18.75" customHeight="1" x14ac:dyDescent="0.25">
      <c r="A2045" s="457"/>
      <c r="B2045" s="416" t="s">
        <v>555</v>
      </c>
      <c r="C2045" s="416"/>
      <c r="D2045" s="416"/>
      <c r="E2045" s="416"/>
      <c r="F2045" s="417"/>
      <c r="G2045" s="417" t="s">
        <v>556</v>
      </c>
      <c r="H2045" s="154">
        <f>'Process (5)'!H158</f>
        <v>652.17230490618476</v>
      </c>
      <c r="I2045" s="418" t="s">
        <v>145</v>
      </c>
    </row>
    <row r="2046" spans="1:9" ht="18.75" customHeight="1" x14ac:dyDescent="0.25">
      <c r="A2046" s="457"/>
      <c r="B2046" s="416" t="s">
        <v>557</v>
      </c>
      <c r="C2046" s="421"/>
      <c r="D2046" s="416"/>
      <c r="E2046" s="416"/>
      <c r="F2046" s="416"/>
      <c r="G2046" s="424" t="s">
        <v>558</v>
      </c>
      <c r="H2046" s="154">
        <f>'Process (5)'!H159</f>
        <v>1.6884184382661904</v>
      </c>
      <c r="I2046" s="354"/>
    </row>
    <row r="2047" spans="1:9" ht="18.75" customHeight="1" x14ac:dyDescent="0.25">
      <c r="A2047" s="457"/>
      <c r="B2047" s="416" t="s">
        <v>559</v>
      </c>
      <c r="C2047" s="416"/>
      <c r="D2047" s="416"/>
      <c r="E2047" s="416"/>
      <c r="F2047" s="416"/>
      <c r="I2047" s="355"/>
    </row>
    <row r="2048" spans="1:9" ht="18.75" customHeight="1" x14ac:dyDescent="0.25">
      <c r="A2048" s="457"/>
      <c r="B2048" s="416"/>
      <c r="C2048" s="416"/>
      <c r="D2048" s="416"/>
      <c r="E2048" s="416"/>
      <c r="F2048" s="416"/>
      <c r="G2048" s="417" t="s">
        <v>560</v>
      </c>
      <c r="H2048" s="154">
        <f>'Process (5)'!H160</f>
        <v>15.686274509803921</v>
      </c>
      <c r="I2048" s="355"/>
    </row>
    <row r="2049" spans="1:9" ht="18.75" customHeight="1" x14ac:dyDescent="0.25">
      <c r="A2049" s="457"/>
      <c r="B2049" s="416" t="s">
        <v>561</v>
      </c>
      <c r="C2049" s="421"/>
      <c r="D2049" s="416"/>
      <c r="E2049" s="416"/>
      <c r="F2049" s="416"/>
      <c r="G2049" s="424" t="s">
        <v>562</v>
      </c>
      <c r="H2049" s="224">
        <f>'Process (5)'!H161</f>
        <v>4.3708864767867065E-3</v>
      </c>
      <c r="I2049" s="354"/>
    </row>
    <row r="2050" spans="1:9" ht="18.75" customHeight="1" x14ac:dyDescent="0.25">
      <c r="A2050" s="457"/>
      <c r="B2050" s="416" t="s">
        <v>434</v>
      </c>
      <c r="C2050" s="416"/>
      <c r="D2050" s="416"/>
      <c r="E2050" s="416"/>
      <c r="F2050" s="416"/>
      <c r="G2050" s="425"/>
      <c r="H2050" s="418"/>
      <c r="I2050" s="426"/>
    </row>
    <row r="2051" spans="1:9" ht="18.75" customHeight="1" x14ac:dyDescent="0.25">
      <c r="A2051" s="457"/>
      <c r="B2051" s="416"/>
      <c r="C2051" s="416" t="s">
        <v>334</v>
      </c>
      <c r="D2051" s="420" t="s">
        <v>435</v>
      </c>
      <c r="E2051" s="420" t="s">
        <v>436</v>
      </c>
      <c r="F2051" s="420" t="s">
        <v>437</v>
      </c>
      <c r="G2051" s="417"/>
      <c r="H2051" s="425"/>
      <c r="I2051" s="416"/>
    </row>
    <row r="2052" spans="1:9" ht="18.75" customHeight="1" x14ac:dyDescent="0.25">
      <c r="A2052" s="457"/>
      <c r="B2052" s="416"/>
      <c r="C2052" s="416"/>
      <c r="D2052" s="425">
        <f>'Process (5)'!D164</f>
        <v>2E-3</v>
      </c>
      <c r="E2052" s="425">
        <f>'Process (5)'!E164</f>
        <v>4.3708864767867065E-3</v>
      </c>
      <c r="F2052" s="425">
        <f>'Process (5)'!F164</f>
        <v>2.397455357142857E-2</v>
      </c>
      <c r="G2052" s="419" t="s">
        <v>338</v>
      </c>
      <c r="H2052" s="427" t="str">
        <f>IF(D2052&lt;E2052,(IF(E2052&lt;F2052,"[ OK ]","[ NOT OK ]")),"[ Pakai ρmin ]")</f>
        <v>[ OK ]</v>
      </c>
      <c r="I2052" s="416"/>
    </row>
    <row r="2053" spans="1:9" ht="18.75" customHeight="1" x14ac:dyDescent="0.25">
      <c r="A2053" s="457"/>
      <c r="B2053" s="416"/>
      <c r="C2053" s="416"/>
      <c r="D2053" s="416"/>
      <c r="E2053" s="416"/>
      <c r="F2053" s="416"/>
      <c r="G2053" s="417"/>
      <c r="H2053" s="420"/>
      <c r="I2053" s="426"/>
    </row>
    <row r="2054" spans="1:9" ht="18.75" customHeight="1" x14ac:dyDescent="0.25">
      <c r="A2054" s="457"/>
      <c r="B2054" s="416" t="s">
        <v>563</v>
      </c>
      <c r="C2054" s="416"/>
      <c r="D2054" s="416"/>
      <c r="E2054" s="416"/>
      <c r="F2054" s="416"/>
      <c r="G2054" s="417" t="s">
        <v>564</v>
      </c>
      <c r="H2054" s="224">
        <f>'Process (5)'!H166</f>
        <v>4.3708864767867065E-3</v>
      </c>
      <c r="I2054" s="355"/>
    </row>
    <row r="2055" spans="1:9" ht="18.75" customHeight="1" x14ac:dyDescent="0.25">
      <c r="A2055" s="457"/>
      <c r="B2055" s="416"/>
      <c r="C2055" s="416"/>
      <c r="D2055" s="425"/>
      <c r="E2055" s="425"/>
      <c r="F2055" s="425"/>
      <c r="G2055" s="427"/>
      <c r="H2055" s="418"/>
      <c r="I2055" s="426"/>
    </row>
    <row r="2056" spans="1:9" ht="18.75" customHeight="1" x14ac:dyDescent="0.25">
      <c r="A2056" s="457"/>
      <c r="B2056" s="416" t="s">
        <v>438</v>
      </c>
      <c r="C2056" s="416"/>
      <c r="D2056" s="416"/>
      <c r="E2056" s="416"/>
      <c r="F2056" s="416"/>
      <c r="G2056" s="417" t="s">
        <v>565</v>
      </c>
      <c r="H2056" s="231">
        <f>'Process (5)'!H168</f>
        <v>2716.5059453229383</v>
      </c>
      <c r="I2056" s="418" t="s">
        <v>439</v>
      </c>
    </row>
    <row r="2057" spans="1:9" ht="18.75" customHeight="1" x14ac:dyDescent="0.25">
      <c r="A2057" s="457"/>
      <c r="B2057" s="416" t="s">
        <v>440</v>
      </c>
      <c r="C2057" s="416"/>
      <c r="D2057" s="416"/>
      <c r="E2057" s="416"/>
      <c r="F2057" s="416"/>
      <c r="G2057" s="417" t="s">
        <v>566</v>
      </c>
      <c r="H2057" s="157">
        <f>'Process (5)'!H169</f>
        <v>104.37258106305116</v>
      </c>
      <c r="I2057" s="418" t="s">
        <v>49</v>
      </c>
    </row>
    <row r="2058" spans="1:9" ht="18.75" customHeight="1" x14ac:dyDescent="0.25">
      <c r="A2058" s="457"/>
      <c r="B2058" s="416" t="s">
        <v>441</v>
      </c>
      <c r="C2058" s="416"/>
      <c r="D2058" s="416"/>
      <c r="E2058" s="416"/>
      <c r="F2058" s="416"/>
      <c r="G2058" s="417" t="s">
        <v>567</v>
      </c>
      <c r="H2058" s="157">
        <f>'Process (5)'!H170</f>
        <v>2250</v>
      </c>
      <c r="I2058" s="418" t="s">
        <v>49</v>
      </c>
    </row>
    <row r="2059" spans="1:9" ht="18.75" customHeight="1" x14ac:dyDescent="0.25">
      <c r="A2059" s="457"/>
      <c r="B2059" s="416" t="s">
        <v>441</v>
      </c>
      <c r="C2059" s="416"/>
      <c r="D2059" s="416"/>
      <c r="E2059" s="416"/>
      <c r="F2059" s="416"/>
      <c r="G2059" s="417" t="s">
        <v>442</v>
      </c>
      <c r="H2059" s="157">
        <f>'Process (5)'!H171</f>
        <v>450</v>
      </c>
      <c r="I2059" s="418" t="s">
        <v>49</v>
      </c>
    </row>
    <row r="2060" spans="1:9" ht="18.75" customHeight="1" x14ac:dyDescent="0.25">
      <c r="A2060" s="457"/>
      <c r="B2060" s="416" t="s">
        <v>443</v>
      </c>
      <c r="C2060" s="416"/>
      <c r="D2060" s="416"/>
      <c r="E2060" s="416"/>
      <c r="F2060" s="416"/>
      <c r="G2060" s="417" t="s">
        <v>245</v>
      </c>
      <c r="H2060" s="157">
        <f>'Process (5)'!H172</f>
        <v>104.37258106305116</v>
      </c>
      <c r="I2060" s="418" t="s">
        <v>49</v>
      </c>
    </row>
    <row r="2061" spans="1:9" ht="18.75" customHeight="1" x14ac:dyDescent="0.25">
      <c r="A2061" s="457"/>
      <c r="B2061" s="416" t="s">
        <v>444</v>
      </c>
      <c r="C2061" s="416"/>
      <c r="D2061" s="416"/>
      <c r="E2061" s="416"/>
      <c r="F2061" s="416"/>
      <c r="G2061" s="417" t="s">
        <v>245</v>
      </c>
      <c r="H2061" s="232">
        <f>'Process (5)'!H173</f>
        <v>100</v>
      </c>
      <c r="I2061" s="418" t="s">
        <v>49</v>
      </c>
    </row>
    <row r="2062" spans="1:9" ht="18.75" customHeight="1" x14ac:dyDescent="0.25">
      <c r="A2062" s="457"/>
      <c r="B2062" s="416" t="s">
        <v>445</v>
      </c>
      <c r="C2062" s="416"/>
      <c r="D2062" s="416"/>
      <c r="E2062" s="416"/>
      <c r="F2062" s="416"/>
      <c r="G2062" s="233">
        <f>'Process (5)'!G174</f>
        <v>19</v>
      </c>
      <c r="H2062" s="234">
        <f>'Process (5)'!H174</f>
        <v>100</v>
      </c>
      <c r="I2062" s="418"/>
    </row>
    <row r="2063" spans="1:9" ht="18.75" customHeight="1" x14ac:dyDescent="0.25">
      <c r="A2063" s="457"/>
      <c r="B2063" s="416" t="s">
        <v>568</v>
      </c>
      <c r="C2063" s="416"/>
      <c r="D2063" s="416"/>
      <c r="E2063" s="416"/>
      <c r="F2063" s="416"/>
      <c r="G2063" s="417" t="s">
        <v>569</v>
      </c>
      <c r="H2063" s="235">
        <f>'Process (5)'!H175</f>
        <v>2835.2873698647877</v>
      </c>
      <c r="I2063" s="418" t="s">
        <v>439</v>
      </c>
    </row>
    <row r="2064" spans="1:9" ht="18.75" customHeight="1" x14ac:dyDescent="0.25">
      <c r="A2064" s="457"/>
      <c r="B2064" s="416"/>
      <c r="C2064" s="416"/>
      <c r="D2064" s="416"/>
      <c r="E2064" s="416"/>
      <c r="F2064" s="416"/>
      <c r="G2064" s="416"/>
      <c r="H2064" s="416"/>
      <c r="I2064" s="418"/>
    </row>
    <row r="2065" spans="1:9" ht="18.75" customHeight="1" x14ac:dyDescent="0.25">
      <c r="A2065" s="457"/>
      <c r="B2065" s="416" t="s">
        <v>570</v>
      </c>
      <c r="C2065" s="416"/>
      <c r="D2065" s="416"/>
      <c r="E2065" s="416"/>
      <c r="F2065" s="416"/>
      <c r="G2065" s="417" t="s">
        <v>571</v>
      </c>
      <c r="H2065" s="154">
        <f>'Process (5)'!H177</f>
        <v>1134.1149479459152</v>
      </c>
      <c r="I2065" s="428" t="s">
        <v>115</v>
      </c>
    </row>
    <row r="2066" spans="1:9" ht="18.75" customHeight="1" x14ac:dyDescent="0.25">
      <c r="A2066" s="457"/>
      <c r="B2066" s="416" t="s">
        <v>572</v>
      </c>
      <c r="C2066" s="416"/>
      <c r="D2066" s="416"/>
      <c r="E2066" s="416"/>
      <c r="F2066" s="420"/>
      <c r="G2066" s="417" t="s">
        <v>573</v>
      </c>
      <c r="H2066" s="237">
        <f>'Process (5)'!H178</f>
        <v>21.310714285714287</v>
      </c>
      <c r="I2066" s="418" t="s">
        <v>115</v>
      </c>
    </row>
    <row r="2067" spans="1:9" ht="18.75" customHeight="1" x14ac:dyDescent="0.25">
      <c r="A2067" s="457"/>
      <c r="B2067" s="423"/>
      <c r="C2067" s="421"/>
      <c r="D2067" s="420"/>
      <c r="E2067" s="416"/>
      <c r="F2067" s="429"/>
      <c r="G2067" s="416"/>
      <c r="H2067" s="416"/>
      <c r="I2067" s="416"/>
    </row>
    <row r="2068" spans="1:9" ht="18.75" customHeight="1" x14ac:dyDescent="0.25">
      <c r="A2068" s="457"/>
      <c r="B2068" s="423" t="s">
        <v>574</v>
      </c>
      <c r="C2068" s="416"/>
      <c r="D2068" s="416"/>
      <c r="E2068" s="416"/>
      <c r="F2068" s="416"/>
      <c r="G2068" s="417" t="s">
        <v>575</v>
      </c>
      <c r="H2068" s="423" t="s">
        <v>576</v>
      </c>
      <c r="I2068" s="416"/>
    </row>
    <row r="2069" spans="1:9" ht="18.75" customHeight="1" x14ac:dyDescent="0.25">
      <c r="A2069" s="457"/>
      <c r="B2069" s="423"/>
      <c r="C2069" s="416"/>
      <c r="D2069" s="416"/>
      <c r="E2069" s="416"/>
      <c r="F2069" s="416"/>
      <c r="G2069" s="430">
        <f>'Process (5)'!G181</f>
        <v>21.310714285714287</v>
      </c>
      <c r="H2069" s="431">
        <f>'Process (5)'!H181</f>
        <v>1134.1149479459152</v>
      </c>
      <c r="I2069" s="416"/>
    </row>
    <row r="2070" spans="1:9" ht="18.75" customHeight="1" x14ac:dyDescent="0.25">
      <c r="A2070" s="457"/>
      <c r="B2070" s="416"/>
      <c r="C2070" s="416"/>
      <c r="D2070" s="416"/>
      <c r="E2070" s="416"/>
      <c r="F2070" s="416"/>
      <c r="G2070" s="417"/>
      <c r="H2070" s="431"/>
      <c r="I2070" s="428"/>
    </row>
    <row r="2071" spans="1:9" ht="18.75" customHeight="1" x14ac:dyDescent="0.25">
      <c r="A2071" s="457"/>
      <c r="B2071" s="423" t="s">
        <v>577</v>
      </c>
      <c r="C2071" s="416"/>
      <c r="D2071" s="417"/>
      <c r="E2071" s="416"/>
      <c r="F2071" s="420"/>
      <c r="G2071" s="417" t="s">
        <v>578</v>
      </c>
      <c r="H2071" s="155">
        <f>'Process (5)'!H183</f>
        <v>53.21806358720567</v>
      </c>
      <c r="I2071" s="428" t="s">
        <v>49</v>
      </c>
    </row>
    <row r="2072" spans="1:9" ht="18.75" customHeight="1" x14ac:dyDescent="0.25">
      <c r="A2072" s="457"/>
      <c r="B2072" s="416" t="s">
        <v>572</v>
      </c>
      <c r="C2072" s="417"/>
      <c r="D2072" s="420"/>
      <c r="E2072" s="416"/>
      <c r="F2072" s="420"/>
      <c r="G2072" s="417" t="s">
        <v>579</v>
      </c>
      <c r="H2072" s="154">
        <f>'Process (5)'!H184</f>
        <v>1134.1149479459152</v>
      </c>
      <c r="I2072" s="428" t="s">
        <v>115</v>
      </c>
    </row>
    <row r="2073" spans="1:9" ht="18.75" customHeight="1" x14ac:dyDescent="0.25">
      <c r="A2073" s="457"/>
      <c r="B2073" s="416" t="s">
        <v>570</v>
      </c>
      <c r="C2073" s="417"/>
      <c r="D2073" s="420"/>
      <c r="E2073" s="416"/>
      <c r="F2073" s="420"/>
      <c r="G2073" s="417" t="s">
        <v>580</v>
      </c>
      <c r="H2073" s="154">
        <f>'Process (5)'!H185</f>
        <v>1134.1149479459152</v>
      </c>
      <c r="I2073" s="428" t="s">
        <v>115</v>
      </c>
    </row>
    <row r="2074" spans="1:9" ht="18.75" customHeight="1" x14ac:dyDescent="0.25">
      <c r="A2074" s="457"/>
      <c r="B2074" s="423"/>
      <c r="C2074" s="416"/>
      <c r="D2074" s="416"/>
      <c r="E2074" s="416"/>
      <c r="F2074" s="416"/>
      <c r="G2074" s="420"/>
      <c r="H2074" s="418"/>
      <c r="I2074" s="426"/>
    </row>
    <row r="2075" spans="1:9" ht="18.75" customHeight="1" x14ac:dyDescent="0.25">
      <c r="A2075" s="457"/>
      <c r="B2075" s="423" t="s">
        <v>581</v>
      </c>
      <c r="C2075" s="416"/>
      <c r="D2075" s="416"/>
      <c r="E2075" s="416"/>
      <c r="F2075" s="416"/>
      <c r="G2075" s="420"/>
      <c r="H2075" s="418"/>
      <c r="I2075" s="426"/>
    </row>
    <row r="2076" spans="1:9" ht="18.75" customHeight="1" x14ac:dyDescent="0.25">
      <c r="A2076" s="457"/>
      <c r="B2076" s="416"/>
      <c r="C2076" s="423" t="s">
        <v>582</v>
      </c>
      <c r="D2076" s="416"/>
      <c r="E2076" s="417"/>
      <c r="F2076" s="420"/>
      <c r="G2076" s="418"/>
      <c r="H2076" s="416"/>
      <c r="I2076" s="416"/>
    </row>
    <row r="2077" spans="1:9" ht="18.75" customHeight="1" x14ac:dyDescent="0.25">
      <c r="A2077" s="457"/>
      <c r="B2077" s="423"/>
      <c r="C2077" s="416"/>
      <c r="D2077" s="420" t="s">
        <v>583</v>
      </c>
      <c r="E2077" s="416"/>
      <c r="F2077" s="416" t="s">
        <v>584</v>
      </c>
      <c r="G2077" s="417"/>
      <c r="H2077" s="420"/>
      <c r="I2077" s="416"/>
    </row>
    <row r="2078" spans="1:9" ht="18.75" customHeight="1" x14ac:dyDescent="0.25">
      <c r="A2078" s="457"/>
      <c r="B2078" s="416"/>
      <c r="C2078" s="416"/>
      <c r="D2078" s="425">
        <f>'Process (5)'!D190</f>
        <v>3.2035096625504633E-2</v>
      </c>
      <c r="E2078" s="420" t="str">
        <f>IF(D2078&lt;F2078,"&lt;","&gt;")</f>
        <v>&gt;</v>
      </c>
      <c r="F2078" s="420">
        <f>'Process (5)'!F190</f>
        <v>2E-3</v>
      </c>
      <c r="G2078" s="416"/>
      <c r="H2078" s="416"/>
      <c r="I2078" s="416"/>
    </row>
    <row r="2079" spans="1:9" ht="18.75" customHeight="1" x14ac:dyDescent="0.25">
      <c r="A2079" s="457"/>
      <c r="B2079" s="423" t="s">
        <v>585</v>
      </c>
      <c r="C2079" s="416"/>
      <c r="D2079" s="416"/>
      <c r="E2079" s="416"/>
      <c r="F2079" s="416"/>
      <c r="G2079" s="419" t="s">
        <v>338</v>
      </c>
      <c r="H2079" s="432" t="str">
        <f>IF(D2078&lt;=F2078,"Tekanan Terkontrol",IF(D2078&lt;0.005,"Transisi",IF(D2078&gt;0.005,"Tegangan Terkontrol","EROR")))</f>
        <v>Tegangan Terkontrol</v>
      </c>
      <c r="I2079" s="418"/>
    </row>
    <row r="2080" spans="1:9" ht="18.75" customHeight="1" x14ac:dyDescent="0.25">
      <c r="A2080" s="457"/>
      <c r="B2080" s="423"/>
      <c r="C2080" s="416"/>
      <c r="D2080" s="416"/>
      <c r="E2080" s="416"/>
      <c r="F2080" s="416"/>
      <c r="G2080" s="419"/>
      <c r="H2080" s="432"/>
      <c r="I2080" s="418"/>
    </row>
    <row r="2081" spans="1:9" ht="18.75" customHeight="1" x14ac:dyDescent="0.25">
      <c r="A2081" s="457"/>
      <c r="B2081" s="423" t="s">
        <v>586</v>
      </c>
      <c r="C2081" s="416"/>
      <c r="D2081" s="416"/>
      <c r="E2081" s="416"/>
      <c r="F2081" s="416"/>
      <c r="G2081" s="417" t="str">
        <f>IF(D2078&lt;=F2078,"φ =",IF(D2078&lt;0.005,"φ = 0,65 + 0,25 * (εs' - εs-yield)/(0,005 - εs-yield) =",IF(D2078&gt;0.005,"φ =","EROR")))</f>
        <v>φ =</v>
      </c>
      <c r="H2081" s="155">
        <f>'Process (5)'!H193</f>
        <v>0.9</v>
      </c>
      <c r="I2081" s="418"/>
    </row>
    <row r="2082" spans="1:9" ht="18.75" customHeight="1" x14ac:dyDescent="0.25">
      <c r="A2082" s="457"/>
      <c r="B2082" s="423" t="s">
        <v>587</v>
      </c>
      <c r="C2082" s="416"/>
      <c r="D2082" s="416"/>
      <c r="E2082" s="416"/>
      <c r="F2082" s="416"/>
      <c r="G2082" s="417" t="s">
        <v>588</v>
      </c>
      <c r="H2082" s="154">
        <f>'Process (5)'!H194</f>
        <v>679.63250455712421</v>
      </c>
      <c r="I2082" s="418" t="s">
        <v>145</v>
      </c>
    </row>
    <row r="2083" spans="1:9" ht="18.75" customHeight="1" x14ac:dyDescent="0.25">
      <c r="A2083" s="457"/>
      <c r="B2083" s="423"/>
      <c r="C2083" s="416"/>
      <c r="D2083" s="416"/>
      <c r="E2083" s="416"/>
      <c r="F2083" s="416"/>
      <c r="G2083" s="417"/>
      <c r="H2083" s="431"/>
      <c r="I2083" s="418"/>
    </row>
    <row r="2084" spans="1:9" ht="18.75" customHeight="1" x14ac:dyDescent="0.25">
      <c r="A2084" s="457"/>
      <c r="B2084" s="416"/>
      <c r="C2084" s="416" t="s">
        <v>334</v>
      </c>
      <c r="D2084" s="242" t="s">
        <v>589</v>
      </c>
      <c r="E2084" s="420" t="s">
        <v>449</v>
      </c>
      <c r="F2084" s="242" t="s">
        <v>590</v>
      </c>
      <c r="G2084" s="416"/>
      <c r="H2084" s="416"/>
      <c r="I2084" s="416"/>
    </row>
    <row r="2085" spans="1:9" ht="18.75" customHeight="1" x14ac:dyDescent="0.25">
      <c r="A2085" s="457"/>
      <c r="B2085" s="416"/>
      <c r="C2085" s="416"/>
      <c r="D2085" s="154">
        <f>'Process (5)'!D197</f>
        <v>611.66925410141175</v>
      </c>
      <c r="E2085" s="420" t="str">
        <f>IF(D2085&gt;F2085,"&gt;","&lt;")</f>
        <v>&gt;</v>
      </c>
      <c r="F2085" s="154">
        <f>'Process (5)'!F197</f>
        <v>554.34645917025705</v>
      </c>
      <c r="G2085" s="419" t="s">
        <v>338</v>
      </c>
      <c r="H2085" s="427" t="str">
        <f>IF(D2085&gt;=F2085,"[ OK ]","[ NOT OK ]")</f>
        <v>[ OK ]</v>
      </c>
      <c r="I2085" s="416"/>
    </row>
    <row r="2086" spans="1:9" ht="18.75" customHeight="1" x14ac:dyDescent="0.25">
      <c r="A2086" s="456"/>
      <c r="B2086" s="433"/>
      <c r="C2086" s="410"/>
      <c r="D2086" s="410"/>
      <c r="E2086" s="413"/>
      <c r="F2086" s="413"/>
      <c r="G2086" s="413"/>
      <c r="H2086" s="410"/>
      <c r="I2086" s="410"/>
    </row>
    <row r="2087" spans="1:9" ht="18.75" customHeight="1" x14ac:dyDescent="0.25">
      <c r="A2087" s="455"/>
      <c r="B2087" s="408" t="s">
        <v>592</v>
      </c>
      <c r="C2087" s="409"/>
      <c r="D2087" s="409"/>
      <c r="E2087" s="481"/>
      <c r="F2087" s="481"/>
      <c r="G2087" s="481"/>
      <c r="H2087" s="409"/>
      <c r="I2087" s="409"/>
    </row>
    <row r="2088" spans="1:9" ht="18.75" customHeight="1" x14ac:dyDescent="0.25">
      <c r="A2088" s="456"/>
      <c r="B2088" s="410" t="s">
        <v>593</v>
      </c>
      <c r="C2088" s="410"/>
      <c r="D2088" s="410"/>
      <c r="E2088" s="413"/>
      <c r="F2088" s="413"/>
      <c r="G2088" s="411" t="s">
        <v>594</v>
      </c>
      <c r="H2088" s="175">
        <f>'Process (5)'!H200</f>
        <v>2E-3</v>
      </c>
      <c r="I2088" s="410"/>
    </row>
    <row r="2089" spans="1:9" ht="18.75" customHeight="1" x14ac:dyDescent="0.25">
      <c r="A2089" s="456"/>
      <c r="B2089" s="410" t="s">
        <v>615</v>
      </c>
      <c r="C2089" s="410"/>
      <c r="D2089" s="410"/>
      <c r="E2089" s="413"/>
      <c r="F2089" s="413"/>
      <c r="G2089" s="411" t="s">
        <v>614</v>
      </c>
      <c r="H2089" s="209">
        <f>'Process (5)'!H201</f>
        <v>1243</v>
      </c>
      <c r="I2089" s="412" t="s">
        <v>439</v>
      </c>
    </row>
    <row r="2090" spans="1:9" ht="18.75" customHeight="1" x14ac:dyDescent="0.25">
      <c r="A2090" s="456"/>
      <c r="B2090" s="410" t="s">
        <v>595</v>
      </c>
      <c r="C2090" s="435"/>
      <c r="D2090" s="482"/>
      <c r="E2090" s="413"/>
      <c r="F2090" s="413"/>
      <c r="G2090" s="245" t="s">
        <v>74</v>
      </c>
      <c r="H2090" s="246">
        <f>'Process (5)'!H202</f>
        <v>19</v>
      </c>
      <c r="I2090" s="412" t="s">
        <v>49</v>
      </c>
    </row>
    <row r="2091" spans="1:9" ht="18.75" customHeight="1" x14ac:dyDescent="0.25">
      <c r="A2091" s="456"/>
      <c r="B2091" s="410" t="s">
        <v>616</v>
      </c>
      <c r="C2091" s="435"/>
      <c r="D2091" s="482"/>
      <c r="E2091" s="413"/>
      <c r="F2091" s="413"/>
      <c r="G2091" s="411" t="s">
        <v>619</v>
      </c>
      <c r="H2091" s="247">
        <f>'Process (5)'!H203</f>
        <v>228.10035155790732</v>
      </c>
      <c r="I2091" s="412" t="s">
        <v>49</v>
      </c>
    </row>
    <row r="2092" spans="1:9" ht="18.75" customHeight="1" x14ac:dyDescent="0.25">
      <c r="A2092" s="456"/>
      <c r="B2092" s="410" t="s">
        <v>617</v>
      </c>
      <c r="C2092" s="435"/>
      <c r="D2092" s="482"/>
      <c r="E2092" s="413"/>
      <c r="F2092" s="413"/>
      <c r="G2092" s="417" t="s">
        <v>567</v>
      </c>
      <c r="H2092" s="209">
        <f>'Process (5)'!H204</f>
        <v>2250</v>
      </c>
      <c r="I2092" s="412" t="s">
        <v>49</v>
      </c>
    </row>
    <row r="2093" spans="1:9" ht="18.75" customHeight="1" x14ac:dyDescent="0.25">
      <c r="A2093" s="456"/>
      <c r="B2093" s="410"/>
      <c r="C2093" s="435"/>
      <c r="D2093" s="482"/>
      <c r="E2093" s="413"/>
      <c r="F2093" s="413"/>
      <c r="G2093" s="417" t="s">
        <v>620</v>
      </c>
      <c r="H2093" s="243">
        <f>'Process (5)'!H205</f>
        <v>450</v>
      </c>
      <c r="I2093" s="412"/>
    </row>
    <row r="2094" spans="1:9" ht="18.75" customHeight="1" x14ac:dyDescent="0.25">
      <c r="A2094" s="456"/>
      <c r="B2094" s="410" t="s">
        <v>618</v>
      </c>
      <c r="C2094" s="435"/>
      <c r="D2094" s="482"/>
      <c r="E2094" s="413"/>
      <c r="F2094" s="413"/>
      <c r="G2094" s="417" t="s">
        <v>621</v>
      </c>
      <c r="H2094" s="243">
        <f>'Process (5)'!H206</f>
        <v>200</v>
      </c>
      <c r="I2094" s="412" t="s">
        <v>49</v>
      </c>
    </row>
    <row r="2095" spans="1:9" ht="18.75" customHeight="1" x14ac:dyDescent="0.25">
      <c r="A2095" s="456"/>
      <c r="B2095" s="410" t="s">
        <v>596</v>
      </c>
      <c r="C2095" s="410"/>
      <c r="D2095" s="410"/>
      <c r="E2095" s="413"/>
      <c r="F2095" s="248"/>
      <c r="G2095" s="249">
        <f>'Process (5)'!G207</f>
        <v>19</v>
      </c>
      <c r="H2095" s="250">
        <f>'Process (5)'!H207</f>
        <v>200</v>
      </c>
      <c r="I2095" s="413"/>
    </row>
    <row r="2096" spans="1:9" ht="18.75" customHeight="1" x14ac:dyDescent="0.25">
      <c r="A2096" s="456"/>
      <c r="B2096" s="410" t="s">
        <v>597</v>
      </c>
      <c r="C2096" s="410"/>
      <c r="D2096" s="410"/>
      <c r="E2096" s="413"/>
      <c r="F2096" s="248"/>
      <c r="G2096" s="249">
        <f>'Process (5)'!G208</f>
        <v>19</v>
      </c>
      <c r="H2096" s="250">
        <f>'Process (5)'!H208</f>
        <v>200</v>
      </c>
      <c r="I2096" s="413"/>
    </row>
    <row r="2097" spans="1:9" ht="18.75" customHeight="1" x14ac:dyDescent="0.25">
      <c r="A2097" s="456"/>
      <c r="B2097" s="413"/>
      <c r="C2097" s="413"/>
      <c r="D2097" s="413"/>
      <c r="E2097" s="413"/>
      <c r="F2097" s="413"/>
      <c r="G2097" s="413"/>
      <c r="H2097" s="413"/>
      <c r="I2097" s="413"/>
    </row>
    <row r="2098" spans="1:9" ht="18.75" customHeight="1" x14ac:dyDescent="0.25">
      <c r="A2098" s="456"/>
      <c r="B2098" s="274"/>
      <c r="C2098" s="274"/>
      <c r="D2098" s="274"/>
      <c r="E2098" s="274"/>
      <c r="F2098" s="274"/>
      <c r="G2098" s="274"/>
      <c r="H2098" s="274"/>
      <c r="I2098" s="274"/>
    </row>
    <row r="2099" spans="1:9" ht="18.75" customHeight="1" x14ac:dyDescent="0.25">
      <c r="A2099" s="456"/>
      <c r="B2099" s="274"/>
      <c r="C2099" s="274"/>
      <c r="D2099" s="274"/>
      <c r="E2099" s="274"/>
      <c r="F2099" s="274"/>
      <c r="G2099" s="274"/>
      <c r="H2099" s="274"/>
      <c r="I2099" s="274"/>
    </row>
    <row r="2100" spans="1:9" ht="18.75" customHeight="1" x14ac:dyDescent="0.25">
      <c r="A2100" s="456"/>
      <c r="B2100" s="274"/>
      <c r="C2100" s="274"/>
      <c r="D2100" s="274"/>
      <c r="E2100" s="274"/>
      <c r="F2100" s="274"/>
      <c r="G2100" s="274"/>
      <c r="H2100" s="274"/>
      <c r="I2100" s="274"/>
    </row>
    <row r="2101" spans="1:9" ht="18.75" customHeight="1" x14ac:dyDescent="0.25">
      <c r="A2101" s="456"/>
      <c r="B2101" s="274"/>
      <c r="C2101" s="274"/>
      <c r="D2101" s="274"/>
      <c r="E2101" s="274"/>
      <c r="F2101" s="274"/>
      <c r="G2101" s="274"/>
      <c r="H2101" s="274"/>
      <c r="I2101" s="274"/>
    </row>
    <row r="2102" spans="1:9" ht="18.75" customHeight="1" x14ac:dyDescent="0.25">
      <c r="A2102" s="563" t="s">
        <v>976</v>
      </c>
      <c r="B2102" s="565" t="s">
        <v>975</v>
      </c>
      <c r="C2102" s="564"/>
      <c r="D2102" s="564"/>
      <c r="E2102" s="564"/>
      <c r="F2102" s="564"/>
      <c r="G2102" s="564"/>
      <c r="H2102" s="564"/>
      <c r="I2102" s="564"/>
    </row>
    <row r="2103" spans="1:9" ht="18.75" customHeight="1" x14ac:dyDescent="0.25">
      <c r="A2103" s="271" t="s">
        <v>857</v>
      </c>
      <c r="B2103" s="130" t="s">
        <v>362</v>
      </c>
      <c r="C2103" s="131"/>
      <c r="D2103" s="131"/>
      <c r="E2103" s="131"/>
      <c r="F2103" s="131"/>
      <c r="G2103" s="132"/>
      <c r="H2103" s="133"/>
      <c r="I2103" s="134"/>
    </row>
    <row r="2104" spans="1:9" ht="18.75" customHeight="1" x14ac:dyDescent="0.25">
      <c r="A2104" s="272"/>
      <c r="G2104" s="7"/>
      <c r="H2104" s="35"/>
      <c r="I2104" s="5"/>
    </row>
    <row r="2105" spans="1:9" ht="18.75" customHeight="1" x14ac:dyDescent="0.25">
      <c r="A2105" s="272"/>
      <c r="G2105" s="7"/>
      <c r="H2105" s="35"/>
      <c r="I2105" s="5"/>
    </row>
    <row r="2106" spans="1:9" ht="18.75" customHeight="1" x14ac:dyDescent="0.25">
      <c r="A2106" s="272"/>
      <c r="G2106" s="7"/>
      <c r="H2106" s="35"/>
      <c r="I2106" s="5"/>
    </row>
    <row r="2107" spans="1:9" ht="18.75" customHeight="1" x14ac:dyDescent="0.25">
      <c r="A2107" s="272"/>
      <c r="G2107" s="7"/>
      <c r="H2107" s="35"/>
      <c r="I2107" s="5"/>
    </row>
    <row r="2108" spans="1:9" ht="18.75" customHeight="1" x14ac:dyDescent="0.25">
      <c r="A2108" s="272"/>
      <c r="G2108" s="7"/>
      <c r="H2108" s="35"/>
      <c r="I2108" s="5"/>
    </row>
    <row r="2109" spans="1:9" ht="18.75" customHeight="1" x14ac:dyDescent="0.25">
      <c r="A2109" s="272"/>
      <c r="G2109" s="7"/>
      <c r="H2109" s="35"/>
      <c r="I2109" s="5"/>
    </row>
    <row r="2110" spans="1:9" ht="18.75" customHeight="1" x14ac:dyDescent="0.25">
      <c r="A2110" s="272"/>
      <c r="G2110" s="7"/>
      <c r="H2110" s="35"/>
      <c r="I2110" s="5"/>
    </row>
    <row r="2111" spans="1:9" ht="18.75" customHeight="1" x14ac:dyDescent="0.25">
      <c r="A2111" s="272"/>
      <c r="G2111" s="7"/>
      <c r="H2111" s="35"/>
      <c r="I2111" s="5"/>
    </row>
    <row r="2112" spans="1:9" ht="18.75" customHeight="1" x14ac:dyDescent="0.25">
      <c r="A2112" s="272"/>
      <c r="G2112" s="7"/>
      <c r="H2112" s="35"/>
      <c r="I2112" s="5"/>
    </row>
    <row r="2113" spans="1:9" ht="18.75" customHeight="1" x14ac:dyDescent="0.25">
      <c r="A2113" s="272"/>
      <c r="G2113" s="7"/>
      <c r="H2113" s="35"/>
      <c r="I2113" s="5"/>
    </row>
    <row r="2114" spans="1:9" ht="18.75" customHeight="1" x14ac:dyDescent="0.25">
      <c r="A2114" s="272"/>
      <c r="G2114" s="7"/>
      <c r="H2114" s="35"/>
      <c r="I2114" s="5"/>
    </row>
    <row r="2115" spans="1:9" ht="18.75" customHeight="1" x14ac:dyDescent="0.25">
      <c r="A2115" s="272"/>
      <c r="G2115" s="7"/>
      <c r="H2115" s="35"/>
      <c r="I2115" s="5"/>
    </row>
    <row r="2116" spans="1:9" ht="18.75" customHeight="1" x14ac:dyDescent="0.25">
      <c r="A2116" s="272"/>
      <c r="B2116" s="1" t="s">
        <v>363</v>
      </c>
      <c r="G2116" s="7" t="s">
        <v>364</v>
      </c>
      <c r="H2116" s="52">
        <f>'Process (6)'!H15</f>
        <v>3.5</v>
      </c>
      <c r="I2116" s="5" t="s">
        <v>0</v>
      </c>
    </row>
    <row r="2117" spans="1:9" ht="18.75" customHeight="1" x14ac:dyDescent="0.25">
      <c r="A2117" s="272"/>
      <c r="G2117" s="7" t="s">
        <v>365</v>
      </c>
      <c r="H2117" s="52">
        <f>'Process (6)'!H16</f>
        <v>3.5</v>
      </c>
      <c r="I2117" s="5" t="s">
        <v>0</v>
      </c>
    </row>
    <row r="2118" spans="1:9" ht="18.75" customHeight="1" x14ac:dyDescent="0.25">
      <c r="A2118" s="272"/>
      <c r="G2118" s="7"/>
      <c r="H2118" s="35"/>
      <c r="I2118" s="5"/>
    </row>
    <row r="2119" spans="1:9" ht="18.75" customHeight="1" x14ac:dyDescent="0.25">
      <c r="A2119" s="272"/>
      <c r="B2119" s="1" t="s">
        <v>366</v>
      </c>
      <c r="F2119" s="7" t="s">
        <v>367</v>
      </c>
      <c r="G2119" s="7" t="s">
        <v>368</v>
      </c>
      <c r="H2119" s="4">
        <f>'Process (6)'!H18</f>
        <v>12307.330820000003</v>
      </c>
      <c r="I2119" s="5" t="s">
        <v>115</v>
      </c>
    </row>
    <row r="2120" spans="1:9" ht="18.75" customHeight="1" x14ac:dyDescent="0.25">
      <c r="A2120" s="272"/>
      <c r="F2120" s="7" t="s">
        <v>369</v>
      </c>
      <c r="G2120" s="7" t="s">
        <v>370</v>
      </c>
      <c r="H2120" s="4">
        <f>'Process (6)'!H19</f>
        <v>716.81124</v>
      </c>
      <c r="I2120" s="5" t="s">
        <v>145</v>
      </c>
    </row>
    <row r="2121" spans="1:9" ht="18.75" customHeight="1" x14ac:dyDescent="0.25">
      <c r="A2121" s="272"/>
      <c r="B2121" s="135" t="s">
        <v>371</v>
      </c>
      <c r="C2121" s="136"/>
      <c r="D2121" s="136"/>
      <c r="E2121" s="136"/>
      <c r="F2121" s="7" t="s">
        <v>367</v>
      </c>
      <c r="G2121" s="7" t="s">
        <v>368</v>
      </c>
      <c r="H2121" s="4">
        <f>'Process (6)'!H20</f>
        <v>11009.250820000001</v>
      </c>
      <c r="I2121" s="5" t="s">
        <v>115</v>
      </c>
    </row>
    <row r="2122" spans="1:9" ht="18.75" customHeight="1" x14ac:dyDescent="0.25">
      <c r="A2122" s="272"/>
      <c r="B2122" s="135"/>
      <c r="C2122" s="136"/>
      <c r="D2122" s="136"/>
      <c r="E2122" s="136"/>
      <c r="F2122" s="7" t="s">
        <v>369</v>
      </c>
      <c r="G2122" s="7" t="s">
        <v>370</v>
      </c>
      <c r="H2122" s="4">
        <f>'Process (6)'!H21</f>
        <v>3888.6633488879993</v>
      </c>
      <c r="I2122" s="5" t="s">
        <v>145</v>
      </c>
    </row>
    <row r="2123" spans="1:9" ht="18.75" customHeight="1" x14ac:dyDescent="0.25">
      <c r="A2123" s="272"/>
      <c r="B2123" s="135" t="s">
        <v>372</v>
      </c>
      <c r="C2123" s="136"/>
      <c r="D2123" s="136"/>
      <c r="E2123" s="136"/>
      <c r="F2123" s="7" t="s">
        <v>367</v>
      </c>
      <c r="G2123" s="7" t="s">
        <v>368</v>
      </c>
      <c r="H2123" s="4">
        <f>'Process (6)'!H22</f>
        <v>11009.250820000001</v>
      </c>
      <c r="I2123" s="5" t="s">
        <v>115</v>
      </c>
    </row>
    <row r="2124" spans="1:9" ht="18.75" customHeight="1" x14ac:dyDescent="0.25">
      <c r="A2124" s="272"/>
      <c r="B2124" s="135"/>
      <c r="C2124" s="136"/>
      <c r="D2124" s="136"/>
      <c r="E2124" s="136"/>
      <c r="F2124" s="7" t="s">
        <v>369</v>
      </c>
      <c r="G2124" s="7" t="s">
        <v>370</v>
      </c>
      <c r="H2124" s="4">
        <f>'Process (6)'!H23</f>
        <v>8088.734667912423</v>
      </c>
      <c r="I2124" s="5" t="s">
        <v>145</v>
      </c>
    </row>
    <row r="2125" spans="1:9" ht="18.75" customHeight="1" x14ac:dyDescent="0.25">
      <c r="A2125" s="272"/>
      <c r="B2125" s="1" t="s">
        <v>373</v>
      </c>
      <c r="G2125" s="7"/>
      <c r="H2125" s="35"/>
      <c r="I2125" s="5"/>
    </row>
    <row r="2126" spans="1:9" ht="18.75" customHeight="1" x14ac:dyDescent="0.25">
      <c r="A2126" s="272"/>
      <c r="B2126" s="1" t="s">
        <v>334</v>
      </c>
      <c r="D2126" s="35" t="s">
        <v>374</v>
      </c>
      <c r="E2126" s="35" t="s">
        <v>340</v>
      </c>
      <c r="F2126" s="35">
        <v>2</v>
      </c>
      <c r="G2126" s="7"/>
      <c r="H2126" s="35"/>
      <c r="I2126" s="5"/>
    </row>
    <row r="2127" spans="1:9" ht="18.75" customHeight="1" x14ac:dyDescent="0.25">
      <c r="A2127" s="272"/>
      <c r="D2127" s="35" t="s">
        <v>375</v>
      </c>
      <c r="E2127" s="35" t="s">
        <v>340</v>
      </c>
      <c r="F2127" s="35">
        <v>2</v>
      </c>
      <c r="G2127" s="35"/>
      <c r="H2127" s="35"/>
      <c r="I2127" s="5"/>
    </row>
    <row r="2128" spans="1:9" ht="18.75" customHeight="1" x14ac:dyDescent="0.25">
      <c r="A2128" s="272"/>
      <c r="G2128" s="7"/>
      <c r="H2128" s="35"/>
      <c r="I2128" s="5"/>
    </row>
    <row r="2129" spans="1:9" ht="18.75" customHeight="1" x14ac:dyDescent="0.25">
      <c r="A2129" s="272"/>
      <c r="B2129" s="5" t="s">
        <v>376</v>
      </c>
      <c r="D2129" s="4">
        <f>'Process (6)'!D28</f>
        <v>60.093446456001459</v>
      </c>
      <c r="E2129" s="35" t="str">
        <f>IF(D2129&gt;F2129,"&gt;","&lt;")</f>
        <v>&gt;</v>
      </c>
      <c r="F2129" s="52">
        <f>'Process (6)'!F28</f>
        <v>2</v>
      </c>
      <c r="G2129" s="137" t="s">
        <v>338</v>
      </c>
      <c r="H2129" s="138" t="str">
        <f>IF(D2129&gt;F2129,"[ OK ]","[ NOT OK ]")</f>
        <v>[ OK ]</v>
      </c>
      <c r="I2129" s="5"/>
    </row>
    <row r="2130" spans="1:9" ht="18.75" customHeight="1" x14ac:dyDescent="0.25">
      <c r="A2130" s="272"/>
      <c r="B2130" s="5" t="s">
        <v>377</v>
      </c>
      <c r="D2130" s="4">
        <f>'Process (6)'!D29</f>
        <v>9.9089004145907129</v>
      </c>
      <c r="E2130" s="35" t="str">
        <f>IF(D2130&gt;F2130,"&gt;","&lt;")</f>
        <v>&gt;</v>
      </c>
      <c r="F2130" s="52">
        <f>'Process (6)'!F29</f>
        <v>2</v>
      </c>
      <c r="G2130" s="137" t="s">
        <v>338</v>
      </c>
      <c r="H2130" s="138" t="str">
        <f>IF(D2130&gt;F2130,"[ OK ]","[ NOT OK ]")</f>
        <v>[ OK ]</v>
      </c>
      <c r="I2130" s="5"/>
    </row>
    <row r="2131" spans="1:9" ht="18.75" customHeight="1" x14ac:dyDescent="0.25">
      <c r="A2131" s="272"/>
      <c r="B2131" s="5" t="s">
        <v>378</v>
      </c>
      <c r="D2131" s="4">
        <f>'Process (6)'!D30</f>
        <v>4.7637089670966564</v>
      </c>
      <c r="E2131" s="35" t="str">
        <f>IF(D2131&gt;F2131,"&gt;","&lt;")</f>
        <v>&gt;</v>
      </c>
      <c r="F2131" s="52">
        <f>'Process (6)'!F30</f>
        <v>2</v>
      </c>
      <c r="G2131" s="137" t="s">
        <v>338</v>
      </c>
      <c r="H2131" s="138" t="str">
        <f>IF(D2131&gt;F2131,"[ OK ]","[ NOT OK ]")</f>
        <v>[ OK ]</v>
      </c>
      <c r="I2131" s="5"/>
    </row>
    <row r="2132" spans="1:9" ht="18.75" customHeight="1" x14ac:dyDescent="0.25">
      <c r="A2132" s="272"/>
      <c r="G2132" s="7"/>
      <c r="H2132" s="35"/>
      <c r="I2132" s="5"/>
    </row>
    <row r="2133" spans="1:9" ht="18.75" customHeight="1" x14ac:dyDescent="0.25">
      <c r="A2133" s="272"/>
      <c r="G2133" s="7"/>
      <c r="H2133" s="35"/>
      <c r="I2133" s="5"/>
    </row>
    <row r="2134" spans="1:9" ht="18.75" customHeight="1" x14ac:dyDescent="0.25">
      <c r="A2134" s="272"/>
      <c r="G2134" s="7"/>
      <c r="H2134" s="35"/>
      <c r="I2134" s="5"/>
    </row>
    <row r="2135" spans="1:9" ht="18.75" customHeight="1" x14ac:dyDescent="0.25">
      <c r="A2135" s="272"/>
      <c r="G2135" s="7"/>
      <c r="H2135" s="35"/>
      <c r="I2135" s="5"/>
    </row>
    <row r="2136" spans="1:9" ht="18.75" customHeight="1" x14ac:dyDescent="0.25">
      <c r="A2136" s="272"/>
      <c r="G2136" s="7"/>
      <c r="H2136" s="35"/>
      <c r="I2136" s="5"/>
    </row>
    <row r="2137" spans="1:9" ht="18.75" customHeight="1" x14ac:dyDescent="0.25">
      <c r="A2137" s="272"/>
      <c r="G2137" s="7"/>
      <c r="H2137" s="35"/>
      <c r="I2137" s="5"/>
    </row>
    <row r="2138" spans="1:9" ht="18.75" customHeight="1" x14ac:dyDescent="0.25">
      <c r="A2138" s="272"/>
      <c r="G2138" s="7"/>
      <c r="H2138" s="35"/>
      <c r="I2138" s="5"/>
    </row>
    <row r="2139" spans="1:9" ht="18.75" customHeight="1" x14ac:dyDescent="0.25">
      <c r="A2139" s="273" t="s">
        <v>858</v>
      </c>
      <c r="B2139" s="269" t="s">
        <v>379</v>
      </c>
      <c r="C2139" s="131"/>
      <c r="D2139" s="131"/>
      <c r="E2139" s="131"/>
      <c r="F2139" s="131"/>
      <c r="G2139" s="132"/>
      <c r="H2139" s="133"/>
      <c r="I2139" s="134"/>
    </row>
    <row r="2140" spans="1:9" ht="18.75" customHeight="1" x14ac:dyDescent="0.25">
      <c r="A2140" s="272"/>
      <c r="G2140" s="7"/>
      <c r="H2140" s="35"/>
      <c r="I2140" s="5"/>
    </row>
    <row r="2141" spans="1:9" ht="18.75" customHeight="1" x14ac:dyDescent="0.25">
      <c r="A2141" s="272"/>
      <c r="G2141" s="7"/>
      <c r="H2141" s="35"/>
      <c r="I2141" s="5"/>
    </row>
    <row r="2142" spans="1:9" ht="18.75" customHeight="1" x14ac:dyDescent="0.25">
      <c r="A2142" s="272"/>
      <c r="G2142" s="7"/>
      <c r="H2142" s="35"/>
      <c r="I2142" s="5"/>
    </row>
    <row r="2143" spans="1:9" ht="18.75" customHeight="1" x14ac:dyDescent="0.25">
      <c r="A2143" s="272"/>
      <c r="G2143" s="7"/>
      <c r="H2143" s="35"/>
      <c r="I2143" s="5"/>
    </row>
    <row r="2144" spans="1:9" ht="18.75" customHeight="1" x14ac:dyDescent="0.25">
      <c r="A2144" s="272"/>
      <c r="G2144" s="7"/>
      <c r="H2144" s="35"/>
      <c r="I2144" s="5"/>
    </row>
    <row r="2145" spans="1:9" ht="18.75" customHeight="1" x14ac:dyDescent="0.25">
      <c r="A2145" s="272"/>
      <c r="G2145" s="7"/>
      <c r="H2145" s="35"/>
      <c r="I2145" s="5"/>
    </row>
    <row r="2146" spans="1:9" ht="18.75" customHeight="1" x14ac:dyDescent="0.25">
      <c r="A2146" s="272"/>
      <c r="G2146" s="7"/>
      <c r="H2146" s="35"/>
      <c r="I2146" s="5"/>
    </row>
    <row r="2147" spans="1:9" ht="18.75" customHeight="1" x14ac:dyDescent="0.25">
      <c r="A2147" s="272"/>
      <c r="G2147" s="7"/>
      <c r="H2147" s="35"/>
      <c r="I2147" s="5"/>
    </row>
    <row r="2148" spans="1:9" ht="18.75" customHeight="1" x14ac:dyDescent="0.25">
      <c r="A2148" s="272"/>
      <c r="G2148" s="7"/>
      <c r="H2148" s="35"/>
      <c r="I2148" s="5"/>
    </row>
    <row r="2149" spans="1:9" ht="18.75" customHeight="1" x14ac:dyDescent="0.25">
      <c r="A2149" s="272"/>
      <c r="G2149" s="7"/>
      <c r="H2149" s="35"/>
      <c r="I2149" s="5"/>
    </row>
    <row r="2150" spans="1:9" ht="18.75" customHeight="1" x14ac:dyDescent="0.25">
      <c r="A2150" s="272"/>
      <c r="G2150" s="7"/>
      <c r="H2150" s="35"/>
      <c r="I2150" s="5"/>
    </row>
    <row r="2151" spans="1:9" ht="18.75" customHeight="1" x14ac:dyDescent="0.25">
      <c r="A2151" s="272"/>
      <c r="G2151" s="7"/>
      <c r="H2151" s="35"/>
      <c r="I2151" s="5"/>
    </row>
    <row r="2152" spans="1:9" ht="18.75" customHeight="1" x14ac:dyDescent="0.25">
      <c r="A2152" s="272"/>
      <c r="B2152" s="1" t="s">
        <v>111</v>
      </c>
      <c r="G2152" s="50" t="s">
        <v>112</v>
      </c>
      <c r="H2152" s="52">
        <f>'Process (6)'!H45</f>
        <v>36.020000000000003</v>
      </c>
      <c r="I2152" s="15" t="s">
        <v>100</v>
      </c>
    </row>
    <row r="2153" spans="1:9" ht="18.75" customHeight="1" x14ac:dyDescent="0.25">
      <c r="A2153" s="272"/>
      <c r="B2153" s="1" t="s">
        <v>113</v>
      </c>
      <c r="G2153" s="7" t="s">
        <v>102</v>
      </c>
      <c r="H2153" s="4">
        <f>'Process (6)'!H46</f>
        <v>2.4220000000000002</v>
      </c>
      <c r="I2153" s="5" t="s">
        <v>103</v>
      </c>
    </row>
    <row r="2154" spans="1:9" ht="18.75" customHeight="1" x14ac:dyDescent="0.25">
      <c r="A2154" s="272"/>
      <c r="B2154" s="1" t="s">
        <v>380</v>
      </c>
      <c r="G2154" s="7" t="s">
        <v>381</v>
      </c>
      <c r="H2154" s="6">
        <f>'Process (6)'!H47</f>
        <v>17.3</v>
      </c>
      <c r="I2154" s="5" t="s">
        <v>0</v>
      </c>
    </row>
    <row r="2155" spans="1:9" ht="18.75" customHeight="1" x14ac:dyDescent="0.25">
      <c r="A2155" s="272"/>
      <c r="B2155" s="1" t="s">
        <v>382</v>
      </c>
      <c r="G2155" s="7" t="s">
        <v>383</v>
      </c>
      <c r="H2155" s="6">
        <f>'Process (6)'!H48</f>
        <v>7</v>
      </c>
      <c r="I2155" s="5" t="s">
        <v>0</v>
      </c>
    </row>
    <row r="2156" spans="1:9" ht="18.75" customHeight="1" x14ac:dyDescent="0.25">
      <c r="A2156" s="272"/>
      <c r="G2156" s="7"/>
      <c r="H2156" s="35"/>
      <c r="I2156" s="5"/>
    </row>
    <row r="2157" spans="1:9" ht="18.75" customHeight="1" x14ac:dyDescent="0.25">
      <c r="A2157" s="272"/>
      <c r="B2157" s="1" t="s">
        <v>366</v>
      </c>
      <c r="F2157" s="7" t="s">
        <v>367</v>
      </c>
      <c r="G2157" s="7" t="s">
        <v>368</v>
      </c>
      <c r="H2157" s="4">
        <f>'Process (6)'!H50</f>
        <v>12307.330820000003</v>
      </c>
      <c r="I2157" s="5" t="s">
        <v>115</v>
      </c>
    </row>
    <row r="2158" spans="1:9" ht="18.75" customHeight="1" x14ac:dyDescent="0.25">
      <c r="A2158" s="272"/>
      <c r="F2158" s="7" t="s">
        <v>384</v>
      </c>
      <c r="G2158" s="7" t="s">
        <v>385</v>
      </c>
      <c r="H2158" s="4">
        <f>'Process (6)'!H51</f>
        <v>3565.2975395580247</v>
      </c>
      <c r="I2158" s="5" t="s">
        <v>115</v>
      </c>
    </row>
    <row r="2159" spans="1:9" ht="18.75" customHeight="1" x14ac:dyDescent="0.25">
      <c r="A2159" s="272"/>
      <c r="B2159" s="135" t="s">
        <v>371</v>
      </c>
      <c r="C2159" s="136"/>
      <c r="D2159" s="136"/>
      <c r="E2159" s="136"/>
      <c r="F2159" s="7" t="s">
        <v>367</v>
      </c>
      <c r="G2159" s="7" t="s">
        <v>368</v>
      </c>
      <c r="H2159" s="4">
        <f>'Process (6)'!H52</f>
        <v>11009.250820000001</v>
      </c>
      <c r="I2159" s="5" t="s">
        <v>115</v>
      </c>
    </row>
    <row r="2160" spans="1:9" ht="18.75" customHeight="1" x14ac:dyDescent="0.25">
      <c r="A2160" s="272"/>
      <c r="B2160" s="135"/>
      <c r="C2160" s="136"/>
      <c r="D2160" s="136"/>
      <c r="E2160" s="136"/>
      <c r="F2160" s="7" t="s">
        <v>384</v>
      </c>
      <c r="G2160" s="7" t="s">
        <v>385</v>
      </c>
      <c r="H2160" s="4">
        <f>'Process (6)'!H53</f>
        <v>7164.3774324077231</v>
      </c>
      <c r="I2160" s="5" t="s">
        <v>115</v>
      </c>
    </row>
    <row r="2161" spans="1:9" ht="18.75" customHeight="1" x14ac:dyDescent="0.25">
      <c r="A2161" s="272"/>
      <c r="B2161" s="135" t="s">
        <v>372</v>
      </c>
      <c r="C2161" s="136"/>
      <c r="D2161" s="136"/>
      <c r="E2161" s="136"/>
      <c r="F2161" s="7" t="s">
        <v>367</v>
      </c>
      <c r="G2161" s="7" t="s">
        <v>368</v>
      </c>
      <c r="H2161" s="4">
        <f>'Process (6)'!H54</f>
        <v>11009.250820000001</v>
      </c>
      <c r="I2161" s="5" t="s">
        <v>115</v>
      </c>
    </row>
    <row r="2162" spans="1:9" ht="18.75" customHeight="1" x14ac:dyDescent="0.25">
      <c r="A2162" s="272"/>
      <c r="B2162" s="135"/>
      <c r="C2162" s="136"/>
      <c r="D2162" s="136"/>
      <c r="E2162" s="136"/>
      <c r="F2162" s="7" t="s">
        <v>384</v>
      </c>
      <c r="G2162" s="7" t="s">
        <v>385</v>
      </c>
      <c r="H2162" s="4">
        <f>'Process (6)'!H55</f>
        <v>5007.2812146193155</v>
      </c>
      <c r="I2162" s="5" t="s">
        <v>115</v>
      </c>
    </row>
    <row r="2163" spans="1:9" ht="18.75" customHeight="1" x14ac:dyDescent="0.25">
      <c r="A2163" s="272"/>
      <c r="B2163" s="1" t="s">
        <v>386</v>
      </c>
      <c r="G2163" s="7"/>
      <c r="H2163" s="35"/>
      <c r="I2163" s="5"/>
    </row>
    <row r="2164" spans="1:9" ht="18.75" customHeight="1" x14ac:dyDescent="0.25">
      <c r="A2164" s="272"/>
      <c r="B2164" s="1" t="s">
        <v>334</v>
      </c>
      <c r="D2164" s="35" t="s">
        <v>387</v>
      </c>
      <c r="E2164" s="35" t="s">
        <v>340</v>
      </c>
      <c r="F2164" s="35">
        <v>1.5</v>
      </c>
      <c r="G2164" s="8" t="s">
        <v>671</v>
      </c>
      <c r="H2164" s="35"/>
      <c r="I2164" s="5"/>
    </row>
    <row r="2165" spans="1:9" ht="18.75" customHeight="1" x14ac:dyDescent="0.25">
      <c r="A2165" s="272"/>
      <c r="D2165" s="35" t="s">
        <v>387</v>
      </c>
      <c r="E2165" s="35" t="s">
        <v>340</v>
      </c>
      <c r="F2165" s="35">
        <v>1.1000000000000001</v>
      </c>
      <c r="G2165" s="8" t="s">
        <v>672</v>
      </c>
      <c r="H2165" s="35"/>
      <c r="I2165" s="5"/>
    </row>
    <row r="2166" spans="1:9" ht="18.75" customHeight="1" x14ac:dyDescent="0.25">
      <c r="A2166" s="272"/>
      <c r="D2166" s="35" t="s">
        <v>388</v>
      </c>
      <c r="E2166" s="35" t="s">
        <v>11</v>
      </c>
      <c r="F2166" s="8" t="s">
        <v>389</v>
      </c>
      <c r="G2166" s="35"/>
      <c r="H2166" s="35"/>
      <c r="I2166" s="5"/>
    </row>
    <row r="2167" spans="1:9" ht="18.75" customHeight="1" x14ac:dyDescent="0.25">
      <c r="A2167" s="272"/>
      <c r="G2167" s="7"/>
      <c r="H2167" s="35"/>
      <c r="I2167" s="5"/>
    </row>
    <row r="2168" spans="1:9" ht="18.75" customHeight="1" x14ac:dyDescent="0.25">
      <c r="A2168" s="272"/>
      <c r="B2168" s="5" t="s">
        <v>376</v>
      </c>
      <c r="D2168" s="4">
        <f>'Process (6)'!D61</f>
        <v>2.5921171568352603</v>
      </c>
      <c r="E2168" s="35" t="str">
        <f>IF(D2168&gt;F2168,"&gt;","&lt;")</f>
        <v>&gt;</v>
      </c>
      <c r="F2168" s="52">
        <v>1.5</v>
      </c>
      <c r="G2168" s="137" t="s">
        <v>338</v>
      </c>
      <c r="H2168" s="138" t="str">
        <f>IF(D2168&gt;F2168,"[ OK ]","[ NOT OK ]")</f>
        <v>[ OK ]</v>
      </c>
      <c r="I2168" s="5"/>
    </row>
    <row r="2169" spans="1:9" ht="18.75" customHeight="1" x14ac:dyDescent="0.25">
      <c r="A2169" s="272"/>
      <c r="B2169" s="5" t="s">
        <v>377</v>
      </c>
      <c r="D2169" s="4">
        <f>'Process (6)'!D62</f>
        <v>1.158211749823344</v>
      </c>
      <c r="E2169" s="35" t="str">
        <f>IF(D2169&gt;F2169,"&gt;","&lt;")</f>
        <v>&gt;</v>
      </c>
      <c r="F2169" s="52">
        <v>1.1000000000000001</v>
      </c>
      <c r="G2169" s="137" t="s">
        <v>338</v>
      </c>
      <c r="H2169" s="138" t="str">
        <f>IF(D2169&gt;F2169,"[ OK ]","[ NOT OK ]")</f>
        <v>[ OK ]</v>
      </c>
      <c r="I2169" s="5"/>
    </row>
    <row r="2170" spans="1:9" ht="18.75" customHeight="1" x14ac:dyDescent="0.25">
      <c r="A2170" s="272"/>
      <c r="B2170" s="5" t="s">
        <v>378</v>
      </c>
      <c r="D2170" s="4">
        <f>'Process (6)'!D63</f>
        <v>1.6571599969574866</v>
      </c>
      <c r="E2170" s="35" t="str">
        <f>IF(D2170&gt;F2170,"&gt;","&lt;")</f>
        <v>&gt;</v>
      </c>
      <c r="F2170" s="52">
        <v>1.1000000000000001</v>
      </c>
      <c r="G2170" s="137" t="s">
        <v>338</v>
      </c>
      <c r="H2170" s="138" t="str">
        <f>IF(D2170&gt;F2170,"[ OK ]","[ NOT OK ]")</f>
        <v>[ OK ]</v>
      </c>
      <c r="I2170" s="5"/>
    </row>
    <row r="2171" spans="1:9" ht="18.75" customHeight="1" x14ac:dyDescent="0.25">
      <c r="A2171" s="272"/>
      <c r="G2171" s="7"/>
      <c r="H2171" s="35"/>
      <c r="I2171" s="5"/>
    </row>
    <row r="2172" spans="1:9" ht="18.75" customHeight="1" x14ac:dyDescent="0.25">
      <c r="A2172" s="272"/>
      <c r="G2172" s="7"/>
      <c r="H2172" s="35"/>
      <c r="I2172" s="5"/>
    </row>
    <row r="2173" spans="1:9" ht="18.75" customHeight="1" x14ac:dyDescent="0.25">
      <c r="A2173" s="272"/>
      <c r="G2173" s="7"/>
      <c r="H2173" s="35"/>
      <c r="I2173" s="5"/>
    </row>
    <row r="2174" spans="1:9" ht="18.75" customHeight="1" x14ac:dyDescent="0.25">
      <c r="A2174" s="272"/>
      <c r="G2174" s="7"/>
      <c r="H2174" s="35"/>
      <c r="I2174" s="5"/>
    </row>
    <row r="2175" spans="1:9" ht="18.75" customHeight="1" x14ac:dyDescent="0.25">
      <c r="A2175" s="272"/>
      <c r="G2175" s="7"/>
      <c r="H2175" s="35"/>
      <c r="I2175" s="5"/>
    </row>
    <row r="2176" spans="1:9" ht="18.75" customHeight="1" x14ac:dyDescent="0.25">
      <c r="A2176" s="271" t="s">
        <v>859</v>
      </c>
      <c r="B2176" s="269" t="s">
        <v>390</v>
      </c>
      <c r="C2176" s="130"/>
      <c r="D2176" s="130"/>
      <c r="E2176" s="130"/>
      <c r="F2176" s="130"/>
      <c r="G2176" s="140"/>
      <c r="H2176" s="139"/>
      <c r="I2176" s="141"/>
    </row>
    <row r="2177" spans="1:9" ht="18.75" customHeight="1" x14ac:dyDescent="0.25">
      <c r="A2177" s="272"/>
      <c r="G2177" s="7"/>
      <c r="H2177" s="35"/>
      <c r="I2177" s="5"/>
    </row>
    <row r="2178" spans="1:9" ht="18.75" customHeight="1" x14ac:dyDescent="0.25">
      <c r="A2178" s="272"/>
      <c r="G2178" s="7"/>
      <c r="H2178" s="35"/>
      <c r="I2178" s="5"/>
    </row>
    <row r="2179" spans="1:9" ht="18.75" customHeight="1" x14ac:dyDescent="0.25">
      <c r="A2179" s="272"/>
      <c r="G2179" s="7"/>
      <c r="H2179" s="35"/>
      <c r="I2179" s="5"/>
    </row>
    <row r="2180" spans="1:9" ht="18.75" customHeight="1" x14ac:dyDescent="0.25">
      <c r="A2180" s="272"/>
      <c r="G2180" s="7"/>
      <c r="H2180" s="35"/>
      <c r="I2180" s="5"/>
    </row>
    <row r="2181" spans="1:9" ht="18.75" customHeight="1" x14ac:dyDescent="0.25">
      <c r="A2181" s="272"/>
      <c r="G2181" s="7"/>
      <c r="H2181" s="35"/>
      <c r="I2181" s="5"/>
    </row>
    <row r="2182" spans="1:9" ht="18.75" customHeight="1" x14ac:dyDescent="0.25">
      <c r="A2182" s="272"/>
      <c r="G2182" s="7"/>
      <c r="H2182" s="35"/>
      <c r="I2182" s="5"/>
    </row>
    <row r="2183" spans="1:9" ht="18.75" customHeight="1" x14ac:dyDescent="0.25">
      <c r="A2183" s="272"/>
      <c r="G2183" s="7"/>
      <c r="H2183" s="35"/>
      <c r="I2183" s="5"/>
    </row>
    <row r="2184" spans="1:9" ht="18.75" customHeight="1" x14ac:dyDescent="0.25">
      <c r="A2184" s="272"/>
      <c r="G2184" s="7"/>
      <c r="H2184" s="35"/>
      <c r="I2184" s="5"/>
    </row>
    <row r="2185" spans="1:9" ht="18.75" customHeight="1" x14ac:dyDescent="0.25">
      <c r="A2185" s="272"/>
      <c r="G2185" s="7"/>
      <c r="H2185" s="35"/>
      <c r="I2185" s="5"/>
    </row>
    <row r="2186" spans="1:9" ht="18.75" customHeight="1" x14ac:dyDescent="0.25">
      <c r="A2186" s="272"/>
      <c r="G2186" s="7"/>
      <c r="H2186" s="35"/>
      <c r="I2186" s="5"/>
    </row>
    <row r="2187" spans="1:9" ht="18.75" customHeight="1" x14ac:dyDescent="0.25">
      <c r="A2187" s="272"/>
      <c r="G2187" s="7"/>
      <c r="H2187" s="35"/>
      <c r="I2187" s="5"/>
    </row>
    <row r="2188" spans="1:9" ht="18.75" customHeight="1" x14ac:dyDescent="0.25">
      <c r="A2188" s="272"/>
      <c r="G2188" s="7"/>
      <c r="H2188" s="35"/>
      <c r="I2188" s="5"/>
    </row>
    <row r="2189" spans="1:9" ht="18.75" customHeight="1" x14ac:dyDescent="0.25">
      <c r="A2189" s="272"/>
      <c r="G2189" s="7"/>
      <c r="H2189" s="35"/>
      <c r="I2189" s="5"/>
    </row>
    <row r="2190" spans="1:9" ht="18.75" customHeight="1" x14ac:dyDescent="0.25">
      <c r="A2190" s="272"/>
      <c r="B2190" s="1" t="s">
        <v>363</v>
      </c>
      <c r="G2190" s="7" t="s">
        <v>391</v>
      </c>
      <c r="H2190" s="52">
        <f>'Process (6)'!H79</f>
        <v>8.65</v>
      </c>
      <c r="I2190" s="5" t="s">
        <v>0</v>
      </c>
    </row>
    <row r="2191" spans="1:9" ht="18.75" customHeight="1" x14ac:dyDescent="0.25">
      <c r="A2191" s="272"/>
      <c r="G2191" s="7" t="s">
        <v>392</v>
      </c>
      <c r="H2191" s="52">
        <f>'Process (6)'!H80</f>
        <v>8.65</v>
      </c>
      <c r="I2191" s="5" t="s">
        <v>0</v>
      </c>
    </row>
    <row r="2192" spans="1:9" ht="18.75" customHeight="1" x14ac:dyDescent="0.25">
      <c r="A2192" s="272"/>
      <c r="G2192" s="7"/>
      <c r="H2192" s="35"/>
      <c r="I2192" s="5"/>
    </row>
    <row r="2193" spans="1:9" ht="18.75" customHeight="1" x14ac:dyDescent="0.25">
      <c r="A2193" s="272"/>
      <c r="B2193" s="1" t="s">
        <v>366</v>
      </c>
      <c r="F2193" s="7" t="s">
        <v>367</v>
      </c>
      <c r="G2193" s="7" t="s">
        <v>368</v>
      </c>
      <c r="H2193" s="4">
        <f>'Process (6)'!H82</f>
        <v>12307.330820000003</v>
      </c>
      <c r="I2193" s="5" t="s">
        <v>115</v>
      </c>
    </row>
    <row r="2194" spans="1:9" ht="18.75" customHeight="1" x14ac:dyDescent="0.25">
      <c r="A2194" s="272"/>
      <c r="F2194" s="7" t="s">
        <v>369</v>
      </c>
      <c r="G2194" s="7" t="s">
        <v>393</v>
      </c>
      <c r="H2194" s="4">
        <f>'Process (6)'!H83</f>
        <v>-2643.3204641952179</v>
      </c>
      <c r="I2194" s="5" t="s">
        <v>145</v>
      </c>
    </row>
    <row r="2195" spans="1:9" ht="18.75" customHeight="1" x14ac:dyDescent="0.25">
      <c r="A2195" s="272"/>
      <c r="B2195" s="135" t="s">
        <v>371</v>
      </c>
      <c r="C2195" s="136"/>
      <c r="D2195" s="136"/>
      <c r="E2195" s="136"/>
      <c r="F2195" s="7" t="s">
        <v>367</v>
      </c>
      <c r="G2195" s="7" t="s">
        <v>368</v>
      </c>
      <c r="H2195" s="4">
        <f>'Process (6)'!H84</f>
        <v>11009.250820000001</v>
      </c>
      <c r="I2195" s="5" t="s">
        <v>115</v>
      </c>
    </row>
    <row r="2196" spans="1:9" ht="18.75" customHeight="1" x14ac:dyDescent="0.25">
      <c r="A2196" s="272"/>
      <c r="B2196" s="135"/>
      <c r="C2196" s="136"/>
      <c r="D2196" s="136"/>
      <c r="E2196" s="136"/>
      <c r="F2196" s="7" t="s">
        <v>369</v>
      </c>
      <c r="G2196" s="7" t="s">
        <v>393</v>
      </c>
      <c r="H2196" s="4">
        <f>'Process (6)'!H85</f>
        <v>14991.660732468616</v>
      </c>
      <c r="I2196" s="5" t="s">
        <v>145</v>
      </c>
    </row>
    <row r="2197" spans="1:9" ht="18.75" customHeight="1" x14ac:dyDescent="0.25">
      <c r="A2197" s="272"/>
      <c r="B2197" s="135" t="s">
        <v>372</v>
      </c>
      <c r="C2197" s="136"/>
      <c r="D2197" s="136"/>
      <c r="E2197" s="136"/>
      <c r="F2197" s="7" t="s">
        <v>367</v>
      </c>
      <c r="G2197" s="7" t="s">
        <v>368</v>
      </c>
      <c r="H2197" s="4">
        <f>'Process (6)'!H86</f>
        <v>11009.250820000001</v>
      </c>
      <c r="I2197" s="5" t="s">
        <v>115</v>
      </c>
    </row>
    <row r="2198" spans="1:9" ht="18.75" customHeight="1" x14ac:dyDescent="0.25">
      <c r="A2198" s="272"/>
      <c r="B2198" s="135"/>
      <c r="C2198" s="136"/>
      <c r="D2198" s="136"/>
      <c r="E2198" s="136"/>
      <c r="F2198" s="7" t="s">
        <v>369</v>
      </c>
      <c r="G2198" s="7" t="s">
        <v>393</v>
      </c>
      <c r="H2198" s="4">
        <f>'Process (6)'!H87</f>
        <v>4456.0699698823446</v>
      </c>
      <c r="I2198" s="5" t="s">
        <v>145</v>
      </c>
    </row>
    <row r="2199" spans="1:9" ht="18.75" customHeight="1" x14ac:dyDescent="0.25">
      <c r="A2199" s="272"/>
      <c r="B2199" s="1" t="s">
        <v>909</v>
      </c>
      <c r="G2199" s="7"/>
      <c r="H2199" s="35"/>
      <c r="I2199" s="5"/>
    </row>
    <row r="2200" spans="1:9" ht="18.75" customHeight="1" x14ac:dyDescent="0.25">
      <c r="A2200" s="272"/>
      <c r="B2200" s="1" t="s">
        <v>334</v>
      </c>
      <c r="D2200" s="35" t="s">
        <v>394</v>
      </c>
      <c r="E2200" s="35" t="s">
        <v>340</v>
      </c>
      <c r="F2200" s="35">
        <v>2</v>
      </c>
      <c r="G2200" s="7"/>
      <c r="H2200" s="35"/>
      <c r="I2200" s="5"/>
    </row>
    <row r="2201" spans="1:9" ht="18.75" customHeight="1" x14ac:dyDescent="0.25">
      <c r="A2201" s="272"/>
      <c r="D2201" s="35" t="s">
        <v>395</v>
      </c>
      <c r="E2201" s="35" t="s">
        <v>340</v>
      </c>
      <c r="F2201" s="35">
        <v>2</v>
      </c>
      <c r="G2201" s="35"/>
      <c r="H2201" s="35"/>
      <c r="I2201" s="5"/>
    </row>
    <row r="2202" spans="1:9" ht="18.75" customHeight="1" x14ac:dyDescent="0.25">
      <c r="A2202" s="272"/>
      <c r="G2202" s="7"/>
      <c r="H2202" s="35"/>
      <c r="I2202" s="5"/>
    </row>
    <row r="2203" spans="1:9" ht="18.75" customHeight="1" x14ac:dyDescent="0.25">
      <c r="A2203" s="272"/>
      <c r="B2203" s="5" t="s">
        <v>376</v>
      </c>
      <c r="D2203" s="4">
        <f>'Process (6)'!D92</f>
        <v>40.274500589323068</v>
      </c>
      <c r="E2203" s="35" t="str">
        <f>IF(D2203&gt;F2203,"&gt;","&lt;")</f>
        <v>&gt;</v>
      </c>
      <c r="F2203" s="52">
        <v>2</v>
      </c>
      <c r="G2203" s="137" t="s">
        <v>338</v>
      </c>
      <c r="H2203" s="138" t="str">
        <f>IF(D2203&gt;F2203,"[ OK ]","[ NOT OK ]")</f>
        <v>[ OK ]</v>
      </c>
      <c r="I2203" s="5"/>
    </row>
    <row r="2204" spans="1:9" ht="18.75" customHeight="1" x14ac:dyDescent="0.25">
      <c r="A2204" s="272"/>
      <c r="B2204" s="5" t="s">
        <v>377</v>
      </c>
      <c r="D2204" s="4">
        <f>'Process (6)'!D93</f>
        <v>6.3521994855948742</v>
      </c>
      <c r="E2204" s="35" t="str">
        <f>IF(D2204&gt;F2204,"&gt;","&lt;")</f>
        <v>&gt;</v>
      </c>
      <c r="F2204" s="52">
        <v>2</v>
      </c>
      <c r="G2204" s="137" t="s">
        <v>338</v>
      </c>
      <c r="H2204" s="138" t="str">
        <f>IF(D2204&gt;F2204,"[ OK ]","[ NOT OK ]")</f>
        <v>[ OK ]</v>
      </c>
      <c r="I2204" s="5"/>
    </row>
    <row r="2205" spans="1:9" ht="18.75" customHeight="1" x14ac:dyDescent="0.25">
      <c r="A2205" s="272"/>
      <c r="B2205" s="5" t="s">
        <v>378</v>
      </c>
      <c r="D2205" s="4">
        <f>'Process (6)'!D94</f>
        <v>21.370853742566887</v>
      </c>
      <c r="E2205" s="35" t="str">
        <f>IF(D2205&gt;F2205,"&gt;","&lt;")</f>
        <v>&gt;</v>
      </c>
      <c r="F2205" s="52">
        <v>2</v>
      </c>
      <c r="G2205" s="137" t="s">
        <v>338</v>
      </c>
      <c r="H2205" s="138" t="str">
        <f>IF(D2205&gt;F2205,"[ OK ]","[ NOT OK ]")</f>
        <v>[ OK ]</v>
      </c>
      <c r="I2205" s="5"/>
    </row>
    <row r="2206" spans="1:9" ht="18.75" customHeight="1" x14ac:dyDescent="0.25">
      <c r="A2206" s="272"/>
      <c r="G2206" s="7"/>
      <c r="H2206" s="35"/>
      <c r="I2206" s="5"/>
    </row>
    <row r="2207" spans="1:9" ht="18.75" customHeight="1" x14ac:dyDescent="0.25">
      <c r="A2207" s="272"/>
      <c r="G2207" s="7"/>
      <c r="H2207" s="35"/>
      <c r="I2207" s="5"/>
    </row>
    <row r="2208" spans="1:9" ht="18.75" customHeight="1" x14ac:dyDescent="0.25">
      <c r="A2208" s="272"/>
      <c r="G2208" s="7"/>
      <c r="H2208" s="35"/>
      <c r="I2208" s="5"/>
    </row>
    <row r="2209" spans="1:9" ht="18.75" customHeight="1" x14ac:dyDescent="0.25">
      <c r="A2209" s="272"/>
      <c r="G2209" s="7"/>
      <c r="H2209" s="35"/>
      <c r="I2209" s="5"/>
    </row>
    <row r="2210" spans="1:9" ht="18.75" customHeight="1" x14ac:dyDescent="0.25">
      <c r="A2210" s="272"/>
      <c r="G2210" s="7"/>
      <c r="H2210" s="35"/>
      <c r="I2210" s="5"/>
    </row>
    <row r="2211" spans="1:9" ht="18.75" customHeight="1" x14ac:dyDescent="0.25">
      <c r="A2211" s="272"/>
      <c r="G2211" s="7"/>
      <c r="H2211" s="35"/>
      <c r="I2211" s="5"/>
    </row>
    <row r="2212" spans="1:9" ht="18.75" customHeight="1" x14ac:dyDescent="0.25">
      <c r="A2212" s="272"/>
      <c r="G2212" s="7"/>
      <c r="H2212" s="35"/>
      <c r="I2212" s="5"/>
    </row>
    <row r="2213" spans="1:9" ht="18.75" customHeight="1" x14ac:dyDescent="0.25">
      <c r="A2213" s="271" t="s">
        <v>860</v>
      </c>
      <c r="B2213" s="270" t="s">
        <v>396</v>
      </c>
      <c r="C2213" s="131"/>
      <c r="D2213" s="131"/>
      <c r="E2213" s="131"/>
      <c r="F2213" s="131"/>
      <c r="G2213" s="132"/>
      <c r="H2213" s="133"/>
      <c r="I2213" s="134"/>
    </row>
    <row r="2214" spans="1:9" ht="18.75" customHeight="1" x14ac:dyDescent="0.25">
      <c r="A2214" s="272"/>
      <c r="G2214" s="7"/>
      <c r="H2214" s="35"/>
      <c r="I2214" s="5"/>
    </row>
    <row r="2215" spans="1:9" ht="18.75" customHeight="1" x14ac:dyDescent="0.25">
      <c r="A2215" s="272"/>
      <c r="G2215" s="7"/>
      <c r="H2215" s="35"/>
      <c r="I2215" s="5"/>
    </row>
    <row r="2216" spans="1:9" ht="18.75" customHeight="1" x14ac:dyDescent="0.25">
      <c r="A2216" s="272"/>
      <c r="G2216" s="7"/>
      <c r="H2216" s="35"/>
      <c r="I2216" s="5"/>
    </row>
    <row r="2217" spans="1:9" ht="18.75" customHeight="1" x14ac:dyDescent="0.25">
      <c r="A2217" s="272"/>
      <c r="G2217" s="7"/>
      <c r="H2217" s="35"/>
      <c r="I2217" s="5"/>
    </row>
    <row r="2218" spans="1:9" ht="18.75" customHeight="1" x14ac:dyDescent="0.25">
      <c r="A2218" s="272"/>
      <c r="G2218" s="7"/>
      <c r="H2218" s="35"/>
      <c r="I2218" s="5"/>
    </row>
    <row r="2219" spans="1:9" ht="18.75" customHeight="1" x14ac:dyDescent="0.25">
      <c r="A2219" s="272"/>
      <c r="G2219" s="7"/>
      <c r="H2219" s="35"/>
      <c r="I2219" s="5"/>
    </row>
    <row r="2220" spans="1:9" ht="18.75" customHeight="1" x14ac:dyDescent="0.25">
      <c r="A2220" s="272"/>
      <c r="G2220" s="7"/>
      <c r="H2220" s="35"/>
      <c r="I2220" s="5"/>
    </row>
    <row r="2221" spans="1:9" ht="18.75" customHeight="1" x14ac:dyDescent="0.25">
      <c r="A2221" s="272"/>
      <c r="G2221" s="7"/>
      <c r="H2221" s="35"/>
      <c r="I2221" s="5"/>
    </row>
    <row r="2222" spans="1:9" ht="18.75" customHeight="1" x14ac:dyDescent="0.25">
      <c r="A2222" s="272"/>
      <c r="G2222" s="7"/>
      <c r="H2222" s="35"/>
      <c r="I2222" s="5"/>
    </row>
    <row r="2223" spans="1:9" ht="18.75" customHeight="1" x14ac:dyDescent="0.25">
      <c r="A2223" s="272"/>
      <c r="G2223" s="7"/>
      <c r="H2223" s="35"/>
      <c r="I2223" s="5"/>
    </row>
    <row r="2224" spans="1:9" ht="18.75" customHeight="1" x14ac:dyDescent="0.25">
      <c r="A2224" s="272"/>
      <c r="G2224" s="7"/>
      <c r="H2224" s="35"/>
      <c r="I2224" s="5"/>
    </row>
    <row r="2225" spans="1:9" ht="18.75" customHeight="1" x14ac:dyDescent="0.25">
      <c r="A2225" s="272"/>
      <c r="G2225" s="7"/>
      <c r="H2225" s="35"/>
      <c r="I2225" s="5"/>
    </row>
    <row r="2226" spans="1:9" ht="18.75" customHeight="1" x14ac:dyDescent="0.25">
      <c r="A2226" s="272"/>
      <c r="B2226" s="1" t="s">
        <v>111</v>
      </c>
      <c r="G2226" s="50" t="s">
        <v>112</v>
      </c>
      <c r="H2226" s="52">
        <f>'Process (6)'!H109</f>
        <v>36.020000000000003</v>
      </c>
      <c r="I2226" s="15" t="s">
        <v>100</v>
      </c>
    </row>
    <row r="2227" spans="1:9" ht="18.75" customHeight="1" x14ac:dyDescent="0.25">
      <c r="A2227" s="272"/>
      <c r="B2227" s="1" t="s">
        <v>113</v>
      </c>
      <c r="G2227" s="7" t="s">
        <v>102</v>
      </c>
      <c r="H2227" s="4">
        <f>'Process (6)'!H110</f>
        <v>2.4220000000000002</v>
      </c>
      <c r="I2227" s="5" t="s">
        <v>103</v>
      </c>
    </row>
    <row r="2228" spans="1:9" ht="18.75" customHeight="1" x14ac:dyDescent="0.25">
      <c r="A2228" s="272"/>
      <c r="B2228" s="1" t="s">
        <v>380</v>
      </c>
      <c r="G2228" s="7" t="s">
        <v>381</v>
      </c>
      <c r="H2228" s="6">
        <f>'Process (6)'!H111</f>
        <v>17.3</v>
      </c>
      <c r="I2228" s="5" t="s">
        <v>0</v>
      </c>
    </row>
    <row r="2229" spans="1:9" ht="18.75" customHeight="1" x14ac:dyDescent="0.25">
      <c r="A2229" s="272"/>
      <c r="B2229" s="1" t="s">
        <v>382</v>
      </c>
      <c r="G2229" s="7" t="s">
        <v>383</v>
      </c>
      <c r="H2229" s="6">
        <f>'Process (6)'!H112</f>
        <v>7</v>
      </c>
      <c r="I2229" s="5" t="s">
        <v>0</v>
      </c>
    </row>
    <row r="2230" spans="1:9" ht="18.75" customHeight="1" x14ac:dyDescent="0.25">
      <c r="A2230" s="272"/>
      <c r="G2230" s="7"/>
      <c r="H2230" s="35"/>
      <c r="I2230" s="5"/>
    </row>
    <row r="2231" spans="1:9" ht="18.75" customHeight="1" x14ac:dyDescent="0.25">
      <c r="A2231" s="272"/>
      <c r="B2231" s="1" t="s">
        <v>366</v>
      </c>
      <c r="F2231" s="7" t="s">
        <v>367</v>
      </c>
      <c r="G2231" s="7" t="s">
        <v>368</v>
      </c>
      <c r="H2231" s="4">
        <f>'Process (6)'!H114</f>
        <v>12307.330820000003</v>
      </c>
      <c r="I2231" s="5" t="s">
        <v>115</v>
      </c>
    </row>
    <row r="2232" spans="1:9" ht="18.75" customHeight="1" x14ac:dyDescent="0.25">
      <c r="A2232" s="272"/>
      <c r="F2232" s="7" t="s">
        <v>384</v>
      </c>
      <c r="G2232" s="7" t="s">
        <v>397</v>
      </c>
      <c r="H2232" s="4">
        <f>'Process (6)'!H115</f>
        <v>143.93799999999999</v>
      </c>
      <c r="I2232" s="5" t="s">
        <v>115</v>
      </c>
    </row>
    <row r="2233" spans="1:9" ht="18.75" customHeight="1" x14ac:dyDescent="0.25">
      <c r="A2233" s="272"/>
      <c r="B2233" s="135" t="s">
        <v>371</v>
      </c>
      <c r="C2233" s="136"/>
      <c r="D2233" s="136"/>
      <c r="E2233" s="136"/>
      <c r="F2233" s="7" t="s">
        <v>367</v>
      </c>
      <c r="G2233" s="7" t="s">
        <v>368</v>
      </c>
      <c r="H2233" s="4">
        <f>'Process (6)'!H116</f>
        <v>11009.250820000001</v>
      </c>
      <c r="I2233" s="5" t="s">
        <v>115</v>
      </c>
    </row>
    <row r="2234" spans="1:9" ht="18.75" customHeight="1" x14ac:dyDescent="0.25">
      <c r="A2234" s="272"/>
      <c r="B2234" s="135"/>
      <c r="C2234" s="136"/>
      <c r="D2234" s="136"/>
      <c r="E2234" s="136"/>
      <c r="F2234" s="7" t="s">
        <v>384</v>
      </c>
      <c r="G2234" s="7" t="s">
        <v>397</v>
      </c>
      <c r="H2234" s="4">
        <f>'Process (6)'!H117</f>
        <v>798.64855559999978</v>
      </c>
      <c r="I2234" s="5" t="s">
        <v>115</v>
      </c>
    </row>
    <row r="2235" spans="1:9" ht="18.75" customHeight="1" x14ac:dyDescent="0.25">
      <c r="A2235" s="272"/>
      <c r="B2235" s="135" t="s">
        <v>372</v>
      </c>
      <c r="C2235" s="136"/>
      <c r="D2235" s="136"/>
      <c r="E2235" s="136"/>
      <c r="F2235" s="7" t="s">
        <v>367</v>
      </c>
      <c r="G2235" s="7" t="s">
        <v>368</v>
      </c>
      <c r="H2235" s="4">
        <f>'Process (6)'!H118</f>
        <v>11009.250820000001</v>
      </c>
      <c r="I2235" s="5" t="s">
        <v>115</v>
      </c>
    </row>
    <row r="2236" spans="1:9" ht="18.75" customHeight="1" x14ac:dyDescent="0.25">
      <c r="A2236" s="272"/>
      <c r="B2236" s="135"/>
      <c r="C2236" s="136"/>
      <c r="D2236" s="136"/>
      <c r="E2236" s="136"/>
      <c r="F2236" s="7" t="s">
        <v>384</v>
      </c>
      <c r="G2236" s="7" t="s">
        <v>397</v>
      </c>
      <c r="H2236" s="4">
        <f>'Process (6)'!H119</f>
        <v>1683.552114038639</v>
      </c>
      <c r="I2236" s="5" t="s">
        <v>115</v>
      </c>
    </row>
    <row r="2237" spans="1:9" ht="18.75" customHeight="1" x14ac:dyDescent="0.25">
      <c r="A2237" s="272"/>
      <c r="B2237" s="1" t="s">
        <v>910</v>
      </c>
      <c r="G2237" s="7"/>
      <c r="H2237" s="35"/>
      <c r="I2237" s="5"/>
    </row>
    <row r="2238" spans="1:9" ht="18.75" customHeight="1" x14ac:dyDescent="0.25">
      <c r="A2238" s="272"/>
      <c r="B2238" s="1" t="s">
        <v>334</v>
      </c>
      <c r="D2238" s="35" t="s">
        <v>387</v>
      </c>
      <c r="E2238" s="35" t="s">
        <v>340</v>
      </c>
      <c r="F2238" s="35">
        <v>1.5</v>
      </c>
      <c r="G2238" s="8" t="s">
        <v>671</v>
      </c>
      <c r="H2238" s="35"/>
      <c r="I2238" s="5"/>
    </row>
    <row r="2239" spans="1:9" ht="18.75" customHeight="1" x14ac:dyDescent="0.25">
      <c r="A2239" s="272"/>
      <c r="D2239" s="35" t="s">
        <v>387</v>
      </c>
      <c r="E2239" s="35" t="s">
        <v>340</v>
      </c>
      <c r="F2239" s="35">
        <v>1.1000000000000001</v>
      </c>
      <c r="G2239" s="8" t="s">
        <v>672</v>
      </c>
      <c r="H2239" s="35"/>
      <c r="I2239" s="5"/>
    </row>
    <row r="2240" spans="1:9" ht="18.75" customHeight="1" x14ac:dyDescent="0.25">
      <c r="A2240" s="272"/>
      <c r="D2240" s="35" t="s">
        <v>388</v>
      </c>
      <c r="E2240" s="35" t="s">
        <v>11</v>
      </c>
      <c r="F2240" s="8" t="s">
        <v>389</v>
      </c>
      <c r="G2240" s="35"/>
      <c r="H2240" s="35"/>
      <c r="I2240" s="5"/>
    </row>
    <row r="2241" spans="1:9" ht="18.75" customHeight="1" x14ac:dyDescent="0.25">
      <c r="A2241" s="272"/>
      <c r="G2241" s="7"/>
      <c r="H2241" s="35"/>
      <c r="I2241" s="5"/>
    </row>
    <row r="2242" spans="1:9" ht="18.75" customHeight="1" x14ac:dyDescent="0.25">
      <c r="A2242" s="272"/>
      <c r="B2242" s="5" t="s">
        <v>376</v>
      </c>
      <c r="D2242" s="4">
        <f>'Process (6)'!D125</f>
        <v>64.205900606586837</v>
      </c>
      <c r="E2242" s="35" t="str">
        <f>IF(D2242&gt;F2242,"&gt;","&lt;")</f>
        <v>&gt;</v>
      </c>
      <c r="F2242" s="52">
        <v>1.5</v>
      </c>
      <c r="G2242" s="137" t="s">
        <v>338</v>
      </c>
      <c r="H2242" s="138" t="str">
        <f>IF(D2242&gt;F2242,"[ OK ]","[ NOT OK ]")</f>
        <v>[ OK ]</v>
      </c>
      <c r="I2242" s="5"/>
    </row>
    <row r="2243" spans="1:9" ht="18.75" customHeight="1" x14ac:dyDescent="0.25">
      <c r="A2243" s="272"/>
      <c r="B2243" s="5" t="s">
        <v>377</v>
      </c>
      <c r="D2243" s="4">
        <f>'Process (6)'!D126</f>
        <v>10.389884341742652</v>
      </c>
      <c r="E2243" s="35" t="str">
        <f>IF(D2243&gt;F2243,"&gt;","&lt;")</f>
        <v>&gt;</v>
      </c>
      <c r="F2243" s="52">
        <v>1.1000000000000001</v>
      </c>
      <c r="G2243" s="137" t="s">
        <v>338</v>
      </c>
      <c r="H2243" s="138" t="str">
        <f>IF(D2243&gt;F2243,"[ OK ]","[ NOT OK ]")</f>
        <v>[ OK ]</v>
      </c>
      <c r="I2243" s="5"/>
    </row>
    <row r="2244" spans="1:9" ht="18.75" customHeight="1" x14ac:dyDescent="0.25">
      <c r="A2244" s="272"/>
      <c r="B2244" s="5" t="s">
        <v>378</v>
      </c>
      <c r="D2244" s="4">
        <f>'Process (6)'!D127</f>
        <v>4.9287848313042364</v>
      </c>
      <c r="E2244" s="35" t="str">
        <f>IF(D2244&gt;F2244,"&gt;","&lt;")</f>
        <v>&gt;</v>
      </c>
      <c r="F2244" s="52">
        <v>1.1000000000000001</v>
      </c>
      <c r="G2244" s="137" t="s">
        <v>338</v>
      </c>
      <c r="H2244" s="138" t="str">
        <f>IF(D2244&gt;F2244,"[ OK ]","[ NOT OK ]")</f>
        <v>[ OK ]</v>
      </c>
      <c r="I2244" s="5"/>
    </row>
    <row r="2245" spans="1:9" ht="18.75" customHeight="1" x14ac:dyDescent="0.25">
      <c r="A2245" s="272"/>
      <c r="G2245" s="7"/>
      <c r="H2245" s="35"/>
      <c r="I2245" s="5"/>
    </row>
  </sheetData>
  <mergeCells count="180">
    <mergeCell ref="A1:I1"/>
    <mergeCell ref="A3:C5"/>
    <mergeCell ref="F3:I3"/>
    <mergeCell ref="F4:I4"/>
    <mergeCell ref="F5:I5"/>
    <mergeCell ref="B170:B171"/>
    <mergeCell ref="G170:I170"/>
    <mergeCell ref="C170:F171"/>
    <mergeCell ref="B97:F97"/>
    <mergeCell ref="B98:F98"/>
    <mergeCell ref="G99:H99"/>
    <mergeCell ref="C172:F172"/>
    <mergeCell ref="C173:F173"/>
    <mergeCell ref="C174:F174"/>
    <mergeCell ref="C175:F175"/>
    <mergeCell ref="C176:F176"/>
    <mergeCell ref="B376:E376"/>
    <mergeCell ref="C177:F177"/>
    <mergeCell ref="C178:F178"/>
    <mergeCell ref="C179:F179"/>
    <mergeCell ref="B221:I221"/>
    <mergeCell ref="B231:I231"/>
    <mergeCell ref="B241:I241"/>
    <mergeCell ref="B348:B349"/>
    <mergeCell ref="C348:F348"/>
    <mergeCell ref="B350:I350"/>
    <mergeCell ref="B369:I369"/>
    <mergeCell ref="B533:B534"/>
    <mergeCell ref="C533:F533"/>
    <mergeCell ref="B535:I535"/>
    <mergeCell ref="C586:I586"/>
    <mergeCell ref="C587:D587"/>
    <mergeCell ref="C588:D588"/>
    <mergeCell ref="C589:D589"/>
    <mergeCell ref="C590:D590"/>
    <mergeCell ref="C591:D591"/>
    <mergeCell ref="B554:E554"/>
    <mergeCell ref="B573:B574"/>
    <mergeCell ref="E573:I573"/>
    <mergeCell ref="C573:D574"/>
    <mergeCell ref="C575:I575"/>
    <mergeCell ref="C576:D576"/>
    <mergeCell ref="C577:D577"/>
    <mergeCell ref="C578:D578"/>
    <mergeCell ref="C579:D579"/>
    <mergeCell ref="C580:D580"/>
    <mergeCell ref="C581:D581"/>
    <mergeCell ref="C582:D582"/>
    <mergeCell ref="B594:B595"/>
    <mergeCell ref="E594:I594"/>
    <mergeCell ref="C594:D595"/>
    <mergeCell ref="C583:D583"/>
    <mergeCell ref="C584:D584"/>
    <mergeCell ref="C585:D585"/>
    <mergeCell ref="C942:E942"/>
    <mergeCell ref="C943:E943"/>
    <mergeCell ref="C944:E944"/>
    <mergeCell ref="F662:I662"/>
    <mergeCell ref="C602:D602"/>
    <mergeCell ref="C603:D603"/>
    <mergeCell ref="B662:E662"/>
    <mergeCell ref="C596:D596"/>
    <mergeCell ref="C597:D597"/>
    <mergeCell ref="C598:D598"/>
    <mergeCell ref="C599:D599"/>
    <mergeCell ref="C600:D600"/>
    <mergeCell ref="C601:D601"/>
    <mergeCell ref="C945:E945"/>
    <mergeCell ref="B733:I733"/>
    <mergeCell ref="B743:I743"/>
    <mergeCell ref="B753:I753"/>
    <mergeCell ref="B788:B789"/>
    <mergeCell ref="C788:F788"/>
    <mergeCell ref="C1163:E1164"/>
    <mergeCell ref="C1165:E1165"/>
    <mergeCell ref="C1166:E1166"/>
    <mergeCell ref="B1157:F1157"/>
    <mergeCell ref="B973:F973"/>
    <mergeCell ref="B1042:B1043"/>
    <mergeCell ref="C1042:F1042"/>
    <mergeCell ref="B1046:F1046"/>
    <mergeCell ref="B1052:B1053"/>
    <mergeCell ref="F1052:H1052"/>
    <mergeCell ref="C1052:E1053"/>
    <mergeCell ref="C1167:E1167"/>
    <mergeCell ref="B797:F797"/>
    <mergeCell ref="B885:B886"/>
    <mergeCell ref="C885:F885"/>
    <mergeCell ref="B894:F894"/>
    <mergeCell ref="B969:B970"/>
    <mergeCell ref="C969:F969"/>
    <mergeCell ref="C927:E927"/>
    <mergeCell ref="C928:E928"/>
    <mergeCell ref="C929:E929"/>
    <mergeCell ref="C930:E930"/>
    <mergeCell ref="C918:E919"/>
    <mergeCell ref="C920:H920"/>
    <mergeCell ref="C921:E921"/>
    <mergeCell ref="C922:E922"/>
    <mergeCell ref="C923:E923"/>
    <mergeCell ref="C924:E924"/>
    <mergeCell ref="C925:E925"/>
    <mergeCell ref="C926:E926"/>
    <mergeCell ref="C940:E940"/>
    <mergeCell ref="C941:E941"/>
    <mergeCell ref="B1084:F1084"/>
    <mergeCell ref="B1153:B1154"/>
    <mergeCell ref="C1153:F1153"/>
    <mergeCell ref="C1170:E1170"/>
    <mergeCell ref="C1319:D1320"/>
    <mergeCell ref="B1330:D1330"/>
    <mergeCell ref="B1080:B1081"/>
    <mergeCell ref="C1347:D1347"/>
    <mergeCell ref="C1348:D1348"/>
    <mergeCell ref="B918:B919"/>
    <mergeCell ref="F918:H918"/>
    <mergeCell ref="B938:B939"/>
    <mergeCell ref="B1341:B1342"/>
    <mergeCell ref="C1341:D1342"/>
    <mergeCell ref="E1341:I1341"/>
    <mergeCell ref="C1343:D1343"/>
    <mergeCell ref="C1344:D1344"/>
    <mergeCell ref="C1345:D1345"/>
    <mergeCell ref="B1319:B1321"/>
    <mergeCell ref="E1319:E1320"/>
    <mergeCell ref="F1319:G1319"/>
    <mergeCell ref="H1319:I1319"/>
    <mergeCell ref="B1163:B1164"/>
    <mergeCell ref="F1163:H1163"/>
    <mergeCell ref="B1214:B1215"/>
    <mergeCell ref="C1214:F1214"/>
    <mergeCell ref="B1224:E1224"/>
    <mergeCell ref="B1911:C1911"/>
    <mergeCell ref="F1912:G1912"/>
    <mergeCell ref="E1910:F1910"/>
    <mergeCell ref="E1911:F1911"/>
    <mergeCell ref="B1902:D1902"/>
    <mergeCell ref="B1903:D1903"/>
    <mergeCell ref="B1904:C1904"/>
    <mergeCell ref="C931:H931"/>
    <mergeCell ref="C932:E932"/>
    <mergeCell ref="C933:E933"/>
    <mergeCell ref="C934:E934"/>
    <mergeCell ref="C935:E935"/>
    <mergeCell ref="C938:E939"/>
    <mergeCell ref="F938:H938"/>
    <mergeCell ref="C1168:E1168"/>
    <mergeCell ref="C1169:E1169"/>
    <mergeCell ref="C1054:E1054"/>
    <mergeCell ref="C1055:E1055"/>
    <mergeCell ref="C1056:E1056"/>
    <mergeCell ref="C1057:E1057"/>
    <mergeCell ref="C1058:E1058"/>
    <mergeCell ref="C1059:E1059"/>
    <mergeCell ref="C1346:D1346"/>
    <mergeCell ref="C1080:F1080"/>
    <mergeCell ref="B1905:C1905"/>
    <mergeCell ref="B1906:C1906"/>
    <mergeCell ref="B1907:C1907"/>
    <mergeCell ref="B1908:C1908"/>
    <mergeCell ref="B1909:C1909"/>
    <mergeCell ref="B1947:C1947"/>
    <mergeCell ref="D1947:F1947"/>
    <mergeCell ref="G1947:H1947"/>
    <mergeCell ref="E1902:F1903"/>
    <mergeCell ref="E1904:F1904"/>
    <mergeCell ref="E1905:F1905"/>
    <mergeCell ref="E1906:F1906"/>
    <mergeCell ref="E1907:F1907"/>
    <mergeCell ref="E1908:F1908"/>
    <mergeCell ref="E1909:F1909"/>
    <mergeCell ref="B1936:B1938"/>
    <mergeCell ref="C1936:E1936"/>
    <mergeCell ref="F1936:F1937"/>
    <mergeCell ref="G1936:G1937"/>
    <mergeCell ref="H1936:H1937"/>
    <mergeCell ref="B1946:C1946"/>
    <mergeCell ref="D1946:F1946"/>
    <mergeCell ref="G1946:H1946"/>
    <mergeCell ref="B1910:C1910"/>
  </mergeCells>
  <conditionalFormatting sqref="H325:H327 H316:H318 H306:H308 H297:H299 H290 H287 H284 H281 H277 H274 H271 H268 H249 H246 H243 H239 H236 H233 H229 H226 H223">
    <cfRule type="containsText" dxfId="20" priority="26" operator="containsText" text="[ OK ]">
      <formula>NOT(ISERROR(SEARCH("[ OK ]",H223)))</formula>
    </cfRule>
  </conditionalFormatting>
  <conditionalFormatting sqref="H325:H327 H316:H318 H306:H308 H297:H299 H290 H287 H284 H281 H277 H274 H271 H268 H249 H243 H239 H233 H229 H223">
    <cfRule type="containsText" dxfId="19" priority="25" operator="containsText" text="[ NOT OK }">
      <formula>NOT(ISERROR(SEARCH("[ NOT OK }",H223)))</formula>
    </cfRule>
  </conditionalFormatting>
  <conditionalFormatting sqref="H246 H236 H226">
    <cfRule type="containsText" dxfId="18" priority="24" operator="containsText" text="[ SISA GAYA DILIMPAHKAN ]">
      <formula>NOT(ISERROR(SEARCH("[ SISA GAYA DILIMPAHKAN ]",H226)))</formula>
    </cfRule>
  </conditionalFormatting>
  <conditionalFormatting sqref="E596:E603">
    <cfRule type="colorScale" priority="23">
      <colorScale>
        <cfvo type="min"/>
        <cfvo type="max"/>
        <color theme="0"/>
        <color rgb="FFFFEF9C"/>
      </colorScale>
    </cfRule>
  </conditionalFormatting>
  <conditionalFormatting sqref="F596:F603">
    <cfRule type="colorScale" priority="22">
      <colorScale>
        <cfvo type="min"/>
        <cfvo type="max"/>
        <color theme="0"/>
        <color rgb="FFFFEF9C"/>
      </colorScale>
    </cfRule>
  </conditionalFormatting>
  <conditionalFormatting sqref="G596:G603">
    <cfRule type="colorScale" priority="21">
      <colorScale>
        <cfvo type="min"/>
        <cfvo type="max"/>
        <color theme="0"/>
        <color rgb="FFFFEF9C"/>
      </colorScale>
    </cfRule>
  </conditionalFormatting>
  <conditionalFormatting sqref="H596:H603">
    <cfRule type="colorScale" priority="20">
      <colorScale>
        <cfvo type="min"/>
        <cfvo type="max"/>
        <color theme="0"/>
        <color rgb="FFFFEF9C"/>
      </colorScale>
    </cfRule>
  </conditionalFormatting>
  <conditionalFormatting sqref="I596:I603">
    <cfRule type="colorScale" priority="19">
      <colorScale>
        <cfvo type="min"/>
        <cfvo type="max"/>
        <color theme="0"/>
        <color rgb="FFFFEF9C"/>
      </colorScale>
    </cfRule>
  </conditionalFormatting>
  <conditionalFormatting sqref="H681 H686 H691">
    <cfRule type="containsText" dxfId="17" priority="17" operator="containsText" text="[ NOT OK ]">
      <formula>NOT(ISERROR(SEARCH("[ NOT OK ]",H681)))</formula>
    </cfRule>
    <cfRule type="containsText" dxfId="16" priority="18" operator="containsText" text="[ OK ]">
      <formula>NOT(ISERROR(SEARCH("[ OK ]",H681)))</formula>
    </cfRule>
  </conditionalFormatting>
  <conditionalFormatting sqref="H741 H738 H735">
    <cfRule type="containsText" dxfId="15" priority="16" operator="containsText" text="[ OK ]">
      <formula>NOT(ISERROR(SEARCH("[ OK ]",H735)))</formula>
    </cfRule>
  </conditionalFormatting>
  <conditionalFormatting sqref="H741 H735">
    <cfRule type="containsText" dxfId="14" priority="15" operator="containsText" text="[ NOT OK }">
      <formula>NOT(ISERROR(SEARCH("[ NOT OK }",H735)))</formula>
    </cfRule>
  </conditionalFormatting>
  <conditionalFormatting sqref="H738">
    <cfRule type="containsText" dxfId="13" priority="14" operator="containsText" text="[ SISA GAYA DILIMPAHKAN ]">
      <formula>NOT(ISERROR(SEARCH("[ SISA GAYA DILIMPAHKAN ]",H738)))</formula>
    </cfRule>
  </conditionalFormatting>
  <conditionalFormatting sqref="H751 H748 H745">
    <cfRule type="containsText" dxfId="12" priority="13" operator="containsText" text="[ OK ]">
      <formula>NOT(ISERROR(SEARCH("[ OK ]",H745)))</formula>
    </cfRule>
  </conditionalFormatting>
  <conditionalFormatting sqref="H751 H745">
    <cfRule type="containsText" dxfId="11" priority="12" operator="containsText" text="[ NOT OK }">
      <formula>NOT(ISERROR(SEARCH("[ NOT OK }",H745)))</formula>
    </cfRule>
  </conditionalFormatting>
  <conditionalFormatting sqref="H748">
    <cfRule type="containsText" dxfId="10" priority="11" operator="containsText" text="[ SISA GAYA DILIMPAHKAN ]">
      <formula>NOT(ISERROR(SEARCH("[ SISA GAYA DILIMPAHKAN ]",H748)))</formula>
    </cfRule>
  </conditionalFormatting>
  <conditionalFormatting sqref="H761 H758 H755">
    <cfRule type="containsText" dxfId="9" priority="10" operator="containsText" text="[ OK ]">
      <formula>NOT(ISERROR(SEARCH("[ OK ]",H755)))</formula>
    </cfRule>
  </conditionalFormatting>
  <conditionalFormatting sqref="H761 H755">
    <cfRule type="containsText" dxfId="8" priority="9" operator="containsText" text="[ NOT OK }">
      <formula>NOT(ISERROR(SEARCH("[ NOT OK }",H755)))</formula>
    </cfRule>
  </conditionalFormatting>
  <conditionalFormatting sqref="H758">
    <cfRule type="containsText" dxfId="7" priority="8" operator="containsText" text="[ SISA GAYA DILIMPAHKAN ]">
      <formula>NOT(ISERROR(SEARCH("[ SISA GAYA DILIMPAHKAN ]",H758)))</formula>
    </cfRule>
  </conditionalFormatting>
  <conditionalFormatting sqref="H1826 H1808 H1771 H1759 H1742 H1679 H1662 H1599 H1582 H1518 H1502 H1440 H1423">
    <cfRule type="containsText" dxfId="6" priority="6" operator="containsText" text="[ NOT OK ]">
      <formula>NOT(ISERROR(SEARCH("[ NOT OK ]",H1423)))</formula>
    </cfRule>
    <cfRule type="containsText" dxfId="5" priority="7" operator="containsText" text="[ OK ]">
      <formula>NOT(ISERROR(SEARCH("[ OK ]",H1423)))</formula>
    </cfRule>
  </conditionalFormatting>
  <conditionalFormatting sqref="H1808 H1771">
    <cfRule type="containsText" dxfId="4" priority="5" operator="containsText" text="[ UBAH DIMENSI PENAMPANG ]">
      <formula>NOT(ISERROR(SEARCH("[ UBAH DIMENSI PENAMPANG ]",H1771)))</formula>
    </cfRule>
  </conditionalFormatting>
  <conditionalFormatting sqref="H2085 H2022 H1977">
    <cfRule type="containsText" dxfId="3" priority="3" operator="containsText" text="[ NOT OK ]">
      <formula>NOT(ISERROR(SEARCH("[ NOT OK ]",H1977)))</formula>
    </cfRule>
    <cfRule type="containsText" dxfId="2" priority="4" operator="containsText" text="[ OK ]">
      <formula>NOT(ISERROR(SEARCH("[ OK ]",H1977)))</formula>
    </cfRule>
  </conditionalFormatting>
  <conditionalFormatting sqref="H2129:H2131 H2168:H2170 H2203:H2205 H2242:H2244">
    <cfRule type="containsText" dxfId="1" priority="1" operator="containsText" text="[ NOT OK ]">
      <formula>NOT(ISERROR(SEARCH("[ NOT OK ]",H2129)))</formula>
    </cfRule>
    <cfRule type="containsText" dxfId="0" priority="2" operator="containsText" text="[ OK ]">
      <formula>NOT(ISERROR(SEARCH("[ OK ]",H2129)))</formula>
    </cfRule>
  </conditionalFormatting>
  <dataValidations disablePrompts="1" count="3">
    <dataValidation type="list" allowBlank="1" showInputMessage="1" showErrorMessage="1" sqref="F5:I5" xr:uid="{CD56367F-57F3-4065-A0E5-EFA2C0BA06E0}">
      <formula1>"Penulangan Daerah Lapangan, Penulangan Daerah Tumpuan"</formula1>
    </dataValidation>
    <dataValidation type="list" allowBlank="1" showInputMessage="1" showErrorMessage="1" sqref="H127:H128" xr:uid="{9EC9238A-ED5C-46AF-A8E8-58F7E561C3CE}">
      <formula1>"2,3,4,5,6,7,8"</formula1>
    </dataValidation>
    <dataValidation type="list" allowBlank="1" showInputMessage="1" showErrorMessage="1" sqref="G99" xr:uid="{E172E15C-7AFE-46E5-90B8-314F2639A3AE}">
      <formula1>"Batuan Keras (SA), Batuan (SB), Tanah Keras (SC), Tanah Sedang (SD), Tanah Lunak (SE)"</formula1>
    </dataValidation>
  </dataValidations>
  <pageMargins left="0.7" right="0.7" top="0.75" bottom="0.75" header="0.3" footer="0.3"/>
  <pageSetup orientation="portrait" r:id="rId1"/>
  <headerFooter>
    <oddHeader>&amp;L&amp;"-,Bold"&amp;K05-015Versi 1.0&amp;C&amp;"-,Bold"&amp;K05-015Page &amp;P</oddHeader>
    <oddFooter xml:space="preserve">&amp;L&amp;"-,Bold"&amp;K05-020Dapatkan program bantu spreadsheet ini hanya di https://www.inpetra.id/ </oddFooter>
  </headerFooter>
  <ignoredErrors>
    <ignoredError sqref="H16:H27 H90:H96 H144:H150 H608:H617 H643:H658 D665:H671 H688 H2090 H100:H103 H121:H131" unlockedFormula="1"/>
    <ignoredError sqref="E2203:E2205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3A337-44B6-42BB-B406-FC9BF44568C4}">
  <sheetPr>
    <tabColor theme="8" tint="0.79998168889431442"/>
  </sheetPr>
  <dimension ref="A1:S131"/>
  <sheetViews>
    <sheetView showGridLines="0" zoomScaleNormal="100" workbookViewId="0"/>
  </sheetViews>
  <sheetFormatPr defaultColWidth="8.85546875" defaultRowHeight="19.149999999999999" customHeight="1" x14ac:dyDescent="0.25"/>
  <cols>
    <col min="1" max="1" width="6" style="14" bestFit="1" customWidth="1"/>
    <col min="2" max="7" width="8.85546875" style="1"/>
    <col min="8" max="8" width="12.85546875" style="7" customWidth="1"/>
    <col min="9" max="9" width="14.28515625" style="1" customWidth="1"/>
    <col min="10" max="10" width="9.42578125" style="5" customWidth="1"/>
    <col min="11" max="11" width="8.85546875" style="1"/>
    <col min="12" max="13" width="12.85546875" style="1" customWidth="1"/>
    <col min="14" max="21" width="10.28515625" style="1" customWidth="1"/>
    <col min="22" max="16384" width="8.85546875" style="1"/>
  </cols>
  <sheetData>
    <row r="1" spans="1:19" ht="19.149999999999999" customHeight="1" x14ac:dyDescent="0.25">
      <c r="A1" s="14" t="s">
        <v>3</v>
      </c>
      <c r="B1" s="9" t="s">
        <v>37</v>
      </c>
      <c r="M1" s="9"/>
    </row>
    <row r="2" spans="1:19" ht="19.149999999999999" customHeight="1" x14ac:dyDescent="0.25">
      <c r="B2" s="9" t="s">
        <v>352</v>
      </c>
    </row>
    <row r="3" spans="1:19" ht="19.149999999999999" customHeight="1" x14ac:dyDescent="0.25">
      <c r="B3" s="2" t="s">
        <v>6</v>
      </c>
      <c r="C3" s="2"/>
      <c r="D3" s="2"/>
      <c r="E3" s="2"/>
      <c r="F3" s="2"/>
      <c r="G3" s="2"/>
      <c r="H3" s="11" t="s">
        <v>38</v>
      </c>
      <c r="I3" s="78">
        <v>30</v>
      </c>
      <c r="J3" s="10"/>
    </row>
    <row r="4" spans="1:19" ht="19.149999999999999" customHeight="1" x14ac:dyDescent="0.25">
      <c r="B4" s="1" t="s">
        <v>12</v>
      </c>
      <c r="H4" s="7" t="s">
        <v>8</v>
      </c>
      <c r="I4" s="107">
        <v>400</v>
      </c>
      <c r="J4" s="5" t="s">
        <v>7</v>
      </c>
    </row>
    <row r="5" spans="1:19" ht="19.149999999999999" customHeight="1" x14ac:dyDescent="0.25">
      <c r="B5" s="1" t="s">
        <v>13</v>
      </c>
      <c r="H5" s="7" t="s">
        <v>8</v>
      </c>
      <c r="I5" s="107">
        <v>240</v>
      </c>
      <c r="J5" s="5" t="s">
        <v>7</v>
      </c>
    </row>
    <row r="6" spans="1:19" ht="19.149999999999999" customHeight="1" x14ac:dyDescent="0.25">
      <c r="B6" s="12" t="s">
        <v>9</v>
      </c>
      <c r="H6" s="7" t="s">
        <v>10</v>
      </c>
      <c r="I6" s="107">
        <v>200000</v>
      </c>
      <c r="J6" s="5" t="s">
        <v>7</v>
      </c>
    </row>
    <row r="7" spans="1:19" ht="15" x14ac:dyDescent="0.25"/>
    <row r="8" spans="1:19" ht="15" x14ac:dyDescent="0.25"/>
    <row r="9" spans="1:19" ht="19.149999999999999" customHeight="1" x14ac:dyDescent="0.25">
      <c r="B9" s="9" t="s">
        <v>353</v>
      </c>
    </row>
    <row r="10" spans="1:19" s="12" customFormat="1" ht="19.5" customHeight="1" x14ac:dyDescent="0.25">
      <c r="B10" s="12" t="s">
        <v>710</v>
      </c>
      <c r="C10" s="28"/>
      <c r="D10" s="28"/>
      <c r="E10" s="29"/>
      <c r="F10" s="30"/>
      <c r="G10" s="30"/>
      <c r="H10" s="31" t="s">
        <v>48</v>
      </c>
      <c r="I10" s="263">
        <v>19</v>
      </c>
      <c r="J10" s="32" t="s">
        <v>49</v>
      </c>
      <c r="K10" s="33"/>
      <c r="L10" s="33"/>
      <c r="O10" s="34"/>
      <c r="P10" s="34"/>
      <c r="Q10" s="34"/>
      <c r="R10" s="34"/>
      <c r="S10" s="34"/>
    </row>
    <row r="11" spans="1:19" s="12" customFormat="1" ht="19.5" customHeight="1" x14ac:dyDescent="0.25">
      <c r="B11" s="12" t="s">
        <v>711</v>
      </c>
      <c r="C11" s="28"/>
      <c r="D11" s="28"/>
      <c r="E11" s="29"/>
      <c r="F11" s="30"/>
      <c r="G11" s="30"/>
      <c r="H11" s="31" t="s">
        <v>48</v>
      </c>
      <c r="I11" s="263">
        <v>16</v>
      </c>
      <c r="J11" s="32" t="s">
        <v>49</v>
      </c>
      <c r="K11" s="33"/>
      <c r="L11" s="33"/>
      <c r="O11" s="34"/>
      <c r="P11" s="34"/>
      <c r="Q11" s="34"/>
      <c r="R11" s="34"/>
      <c r="S11" s="34"/>
    </row>
    <row r="12" spans="1:19" s="12" customFormat="1" ht="19.5" customHeight="1" x14ac:dyDescent="0.25">
      <c r="B12" s="12" t="s">
        <v>714</v>
      </c>
      <c r="C12" s="28"/>
      <c r="D12" s="28"/>
      <c r="E12" s="29"/>
      <c r="F12" s="30"/>
      <c r="G12" s="30"/>
      <c r="H12" s="31" t="s">
        <v>48</v>
      </c>
      <c r="I12" s="263">
        <v>16</v>
      </c>
      <c r="J12" s="32" t="s">
        <v>49</v>
      </c>
      <c r="K12" s="33"/>
      <c r="L12" s="33"/>
      <c r="O12" s="34"/>
      <c r="P12" s="34"/>
      <c r="Q12" s="34"/>
      <c r="R12" s="34"/>
      <c r="S12" s="34"/>
    </row>
    <row r="13" spans="1:19" s="12" customFormat="1" ht="19.5" customHeight="1" x14ac:dyDescent="0.25">
      <c r="B13" s="12" t="s">
        <v>715</v>
      </c>
      <c r="C13" s="28"/>
      <c r="D13" s="28"/>
      <c r="E13" s="29"/>
      <c r="F13" s="30"/>
      <c r="G13" s="30"/>
      <c r="H13" s="31" t="s">
        <v>48</v>
      </c>
      <c r="I13" s="263">
        <v>13</v>
      </c>
      <c r="J13" s="32" t="s">
        <v>49</v>
      </c>
      <c r="K13" s="33"/>
      <c r="L13" s="33"/>
      <c r="O13" s="34"/>
      <c r="P13" s="34"/>
      <c r="Q13" s="34"/>
      <c r="R13" s="34"/>
      <c r="S13" s="34"/>
    </row>
    <row r="14" spans="1:19" s="12" customFormat="1" ht="19.5" customHeight="1" x14ac:dyDescent="0.25">
      <c r="B14" s="12" t="s">
        <v>716</v>
      </c>
      <c r="C14" s="28"/>
      <c r="D14" s="28"/>
      <c r="E14" s="29"/>
      <c r="F14" s="30"/>
      <c r="G14" s="30"/>
      <c r="H14" s="31" t="s">
        <v>48</v>
      </c>
      <c r="I14" s="263">
        <v>13</v>
      </c>
      <c r="J14" s="32" t="s">
        <v>49</v>
      </c>
      <c r="K14" s="33"/>
      <c r="L14" s="33"/>
      <c r="O14" s="34"/>
      <c r="P14" s="34"/>
      <c r="Q14" s="34"/>
      <c r="R14" s="34"/>
      <c r="S14" s="34"/>
    </row>
    <row r="15" spans="1:19" s="12" customFormat="1" ht="19.5" customHeight="1" x14ac:dyDescent="0.25">
      <c r="B15" s="12" t="s">
        <v>717</v>
      </c>
      <c r="C15" s="28"/>
      <c r="D15" s="28"/>
      <c r="E15" s="29"/>
      <c r="F15" s="30"/>
      <c r="G15" s="30"/>
      <c r="H15" s="31" t="s">
        <v>48</v>
      </c>
      <c r="I15" s="263">
        <v>10</v>
      </c>
      <c r="J15" s="32" t="s">
        <v>49</v>
      </c>
      <c r="K15" s="33"/>
      <c r="L15" s="33"/>
      <c r="O15" s="34"/>
      <c r="P15" s="34"/>
      <c r="Q15" s="34"/>
      <c r="R15" s="34"/>
      <c r="S15" s="34"/>
    </row>
    <row r="16" spans="1:19" s="12" customFormat="1" ht="19.5" customHeight="1" x14ac:dyDescent="0.25">
      <c r="B16" s="12" t="s">
        <v>721</v>
      </c>
      <c r="C16" s="28"/>
      <c r="D16" s="28"/>
      <c r="E16" s="29"/>
      <c r="F16" s="30"/>
      <c r="G16" s="30"/>
      <c r="H16" s="31" t="s">
        <v>48</v>
      </c>
      <c r="I16" s="263">
        <v>13</v>
      </c>
      <c r="J16" s="32" t="s">
        <v>49</v>
      </c>
      <c r="K16" s="33"/>
      <c r="L16" s="33"/>
      <c r="O16" s="34"/>
      <c r="P16" s="34"/>
      <c r="Q16" s="34"/>
      <c r="R16" s="34"/>
      <c r="S16" s="34"/>
    </row>
    <row r="17" spans="1:19" s="12" customFormat="1" ht="19.5" customHeight="1" x14ac:dyDescent="0.25">
      <c r="B17" s="12" t="s">
        <v>722</v>
      </c>
      <c r="C17" s="28"/>
      <c r="D17" s="28"/>
      <c r="E17" s="29"/>
      <c r="F17" s="30"/>
      <c r="G17" s="30"/>
      <c r="H17" s="31" t="s">
        <v>48</v>
      </c>
      <c r="I17" s="263">
        <v>13</v>
      </c>
      <c r="J17" s="32" t="s">
        <v>49</v>
      </c>
      <c r="K17" s="33"/>
      <c r="L17" s="33"/>
      <c r="O17" s="34"/>
      <c r="P17" s="34"/>
      <c r="Q17" s="34"/>
      <c r="R17" s="34"/>
      <c r="S17" s="34"/>
    </row>
    <row r="18" spans="1:19" s="12" customFormat="1" ht="19.5" customHeight="1" x14ac:dyDescent="0.25">
      <c r="B18" s="12" t="s">
        <v>837</v>
      </c>
      <c r="C18" s="28"/>
      <c r="D18" s="28"/>
      <c r="E18" s="29"/>
      <c r="F18" s="30"/>
      <c r="G18" s="30"/>
      <c r="H18" s="31" t="s">
        <v>48</v>
      </c>
      <c r="I18" s="263">
        <v>22</v>
      </c>
      <c r="J18" s="32" t="s">
        <v>49</v>
      </c>
      <c r="K18" s="33"/>
      <c r="L18" s="33"/>
      <c r="O18" s="34"/>
      <c r="P18" s="34"/>
      <c r="Q18" s="34"/>
      <c r="R18" s="34"/>
      <c r="S18" s="34"/>
    </row>
    <row r="19" spans="1:19" s="12" customFormat="1" ht="19.5" customHeight="1" x14ac:dyDescent="0.25">
      <c r="B19" s="12" t="s">
        <v>838</v>
      </c>
      <c r="C19" s="28"/>
      <c r="D19" s="28"/>
      <c r="E19" s="29"/>
      <c r="F19" s="30"/>
      <c r="G19" s="30"/>
      <c r="H19" s="31" t="s">
        <v>48</v>
      </c>
      <c r="I19" s="263">
        <v>19</v>
      </c>
      <c r="J19" s="32" t="s">
        <v>49</v>
      </c>
      <c r="K19" s="33"/>
      <c r="L19" s="33"/>
      <c r="O19" s="34"/>
      <c r="P19" s="34"/>
      <c r="Q19" s="34"/>
      <c r="R19" s="34"/>
      <c r="S19" s="34"/>
    </row>
    <row r="20" spans="1:19" s="12" customFormat="1" ht="19.5" customHeight="1" x14ac:dyDescent="0.25">
      <c r="B20" s="12" t="s">
        <v>349</v>
      </c>
      <c r="C20" s="28"/>
      <c r="D20" s="28"/>
      <c r="E20" s="29"/>
      <c r="F20" s="30"/>
      <c r="G20" s="30"/>
      <c r="H20" s="31" t="s">
        <v>48</v>
      </c>
      <c r="I20" s="263">
        <v>19</v>
      </c>
      <c r="J20" s="32" t="s">
        <v>49</v>
      </c>
      <c r="K20" s="33"/>
      <c r="L20" s="33"/>
      <c r="O20" s="34"/>
      <c r="P20" s="34"/>
      <c r="Q20" s="34"/>
      <c r="R20" s="34"/>
      <c r="S20" s="34"/>
    </row>
    <row r="21" spans="1:19" s="12" customFormat="1" ht="19.5" customHeight="1" x14ac:dyDescent="0.25">
      <c r="B21" s="12" t="s">
        <v>350</v>
      </c>
      <c r="C21" s="28"/>
      <c r="D21" s="28"/>
      <c r="E21" s="29"/>
      <c r="F21" s="30"/>
      <c r="G21" s="30"/>
      <c r="H21" s="31" t="s">
        <v>48</v>
      </c>
      <c r="I21" s="263">
        <v>19</v>
      </c>
      <c r="J21" s="32" t="s">
        <v>49</v>
      </c>
      <c r="K21" s="33"/>
      <c r="L21" s="33"/>
      <c r="O21" s="34"/>
      <c r="P21" s="34"/>
      <c r="Q21" s="34"/>
      <c r="R21" s="34"/>
      <c r="S21" s="34"/>
    </row>
    <row r="22" spans="1:19" s="12" customFormat="1" ht="19.5" customHeight="1" x14ac:dyDescent="0.25">
      <c r="C22" s="28"/>
      <c r="D22" s="28"/>
      <c r="E22" s="29"/>
      <c r="F22" s="30"/>
      <c r="G22" s="30"/>
      <c r="H22" s="31"/>
      <c r="I22" s="106"/>
      <c r="J22" s="32"/>
      <c r="K22" s="33"/>
      <c r="L22" s="33"/>
      <c r="O22" s="34"/>
      <c r="P22" s="34"/>
      <c r="Q22" s="34"/>
      <c r="R22" s="34"/>
      <c r="S22" s="34"/>
    </row>
    <row r="23" spans="1:19" ht="19.149999999999999" customHeight="1" x14ac:dyDescent="0.25">
      <c r="A23" s="14" t="s">
        <v>4</v>
      </c>
      <c r="B23" s="9" t="s">
        <v>871</v>
      </c>
    </row>
    <row r="24" spans="1:19" ht="18.75" customHeight="1" x14ac:dyDescent="0.25"/>
    <row r="25" spans="1:19" ht="18.75" customHeight="1" x14ac:dyDescent="0.25"/>
    <row r="26" spans="1:19" ht="18.75" customHeight="1" x14ac:dyDescent="0.25"/>
    <row r="27" spans="1:19" ht="18.75" customHeight="1" x14ac:dyDescent="0.25"/>
    <row r="28" spans="1:19" ht="18.75" customHeight="1" x14ac:dyDescent="0.25"/>
    <row r="29" spans="1:19" ht="18.75" customHeight="1" x14ac:dyDescent="0.25"/>
    <row r="30" spans="1:19" ht="18.75" customHeight="1" x14ac:dyDescent="0.25"/>
    <row r="31" spans="1:19" ht="18.75" customHeight="1" x14ac:dyDescent="0.25"/>
    <row r="32" spans="1:19" ht="18.75" customHeight="1" x14ac:dyDescent="0.25"/>
    <row r="33" spans="2:12" ht="18.75" customHeight="1" x14ac:dyDescent="0.25"/>
    <row r="34" spans="2:12" ht="18.75" customHeight="1" x14ac:dyDescent="0.25"/>
    <row r="35" spans="2:12" ht="18.75" customHeight="1" x14ac:dyDescent="0.25"/>
    <row r="36" spans="2:12" ht="18.75" customHeight="1" x14ac:dyDescent="0.25"/>
    <row r="37" spans="2:12" ht="15" x14ac:dyDescent="0.25">
      <c r="H37" s="8" t="s">
        <v>1019</v>
      </c>
      <c r="L37" s="1" t="s">
        <v>1020</v>
      </c>
    </row>
    <row r="38" spans="2:12" ht="19.149999999999999" customHeight="1" x14ac:dyDescent="0.25">
      <c r="B38" s="16" t="s">
        <v>39</v>
      </c>
      <c r="C38" s="78">
        <v>0.9</v>
      </c>
      <c r="D38" s="5" t="s">
        <v>0</v>
      </c>
      <c r="E38" s="16" t="s">
        <v>14</v>
      </c>
      <c r="F38" s="78">
        <v>0.35</v>
      </c>
      <c r="G38" s="5" t="s">
        <v>0</v>
      </c>
      <c r="L38" s="17"/>
    </row>
    <row r="39" spans="2:12" ht="19.149999999999999" customHeight="1" x14ac:dyDescent="0.25">
      <c r="B39" s="16" t="s">
        <v>15</v>
      </c>
      <c r="C39" s="78">
        <v>2.63</v>
      </c>
      <c r="D39" s="5" t="s">
        <v>0</v>
      </c>
      <c r="E39" s="16" t="s">
        <v>16</v>
      </c>
      <c r="F39" s="78">
        <v>0.55000000000000004</v>
      </c>
      <c r="G39" s="5" t="s">
        <v>0</v>
      </c>
      <c r="L39" s="17"/>
    </row>
    <row r="40" spans="2:12" ht="19.149999999999999" customHeight="1" x14ac:dyDescent="0.25">
      <c r="B40" s="16" t="s">
        <v>17</v>
      </c>
      <c r="C40" s="78">
        <v>0.6</v>
      </c>
      <c r="D40" s="5" t="s">
        <v>0</v>
      </c>
      <c r="E40" s="16" t="s">
        <v>18</v>
      </c>
      <c r="F40" s="78">
        <v>0.6</v>
      </c>
      <c r="G40" s="5" t="s">
        <v>0</v>
      </c>
      <c r="L40" s="17"/>
    </row>
    <row r="41" spans="2:12" ht="19.149999999999999" customHeight="1" x14ac:dyDescent="0.25">
      <c r="B41" s="16" t="s">
        <v>19</v>
      </c>
      <c r="C41" s="78">
        <v>2.1</v>
      </c>
      <c r="D41" s="5" t="s">
        <v>0</v>
      </c>
      <c r="E41" s="18"/>
      <c r="F41" s="19"/>
      <c r="G41" s="5"/>
      <c r="L41" s="17"/>
    </row>
    <row r="42" spans="2:12" ht="19.149999999999999" customHeight="1" x14ac:dyDescent="0.25">
      <c r="B42" s="16" t="s">
        <v>20</v>
      </c>
      <c r="C42" s="78">
        <v>0.5</v>
      </c>
      <c r="D42" s="5" t="s">
        <v>0</v>
      </c>
      <c r="E42" s="16" t="s">
        <v>21</v>
      </c>
      <c r="F42" s="78">
        <v>1</v>
      </c>
      <c r="G42" s="5" t="s">
        <v>0</v>
      </c>
      <c r="L42" s="17"/>
    </row>
    <row r="43" spans="2:12" ht="19.149999999999999" customHeight="1" x14ac:dyDescent="0.25">
      <c r="B43" s="16" t="s">
        <v>22</v>
      </c>
      <c r="C43" s="78">
        <v>0.75</v>
      </c>
      <c r="D43" s="5" t="s">
        <v>0</v>
      </c>
      <c r="E43" s="16" t="s">
        <v>862</v>
      </c>
      <c r="F43" s="78">
        <v>3</v>
      </c>
      <c r="G43" s="5" t="s">
        <v>0</v>
      </c>
      <c r="H43" s="500" t="s">
        <v>993</v>
      </c>
      <c r="I43" s="501">
        <f>0.5*(H49-F42)</f>
        <v>2.6</v>
      </c>
      <c r="L43" s="17"/>
    </row>
    <row r="44" spans="2:12" ht="19.149999999999999" customHeight="1" x14ac:dyDescent="0.25">
      <c r="E44" s="16" t="s">
        <v>863</v>
      </c>
      <c r="F44" s="78">
        <v>3</v>
      </c>
      <c r="G44" s="5" t="s">
        <v>0</v>
      </c>
      <c r="H44" s="500" t="s">
        <v>993</v>
      </c>
      <c r="I44" s="501">
        <f>0.5*(H49-F42)</f>
        <v>2.6</v>
      </c>
      <c r="L44" s="17"/>
    </row>
    <row r="45" spans="2:12" ht="19.149999999999999" customHeight="1" x14ac:dyDescent="0.25">
      <c r="B45" s="7"/>
      <c r="C45" s="20"/>
      <c r="D45" s="5"/>
      <c r="E45" s="16" t="s">
        <v>24</v>
      </c>
      <c r="F45" s="78">
        <v>0.6</v>
      </c>
      <c r="G45" s="5" t="s">
        <v>0</v>
      </c>
      <c r="L45" s="17"/>
    </row>
    <row r="46" spans="2:12" ht="19.149999999999999" customHeight="1" x14ac:dyDescent="0.25">
      <c r="B46" s="16" t="s">
        <v>23</v>
      </c>
      <c r="C46" s="143">
        <v>2.5</v>
      </c>
      <c r="D46" s="5" t="s">
        <v>0</v>
      </c>
      <c r="L46" s="17"/>
    </row>
    <row r="47" spans="2:12" ht="19.149999999999999" customHeight="1" x14ac:dyDescent="0.25">
      <c r="B47" s="16" t="s">
        <v>25</v>
      </c>
      <c r="C47" s="78">
        <v>0.55000000000000004</v>
      </c>
      <c r="D47" s="5" t="s">
        <v>0</v>
      </c>
      <c r="G47" s="5"/>
    </row>
    <row r="48" spans="2:12" ht="19.149999999999999" customHeight="1" thickBot="1" x14ac:dyDescent="0.3">
      <c r="B48" s="16" t="s">
        <v>26</v>
      </c>
      <c r="C48" s="78">
        <v>0.8</v>
      </c>
      <c r="D48" s="5" t="s">
        <v>0</v>
      </c>
      <c r="E48" s="16" t="s">
        <v>11</v>
      </c>
      <c r="F48" s="112">
        <f>C38+C39+C40+C41+C42+C43</f>
        <v>7.48</v>
      </c>
      <c r="G48" s="5" t="s">
        <v>0</v>
      </c>
      <c r="H48" s="21"/>
    </row>
    <row r="49" spans="1:17" ht="19.149999999999999" customHeight="1" thickTop="1" thickBot="1" x14ac:dyDescent="0.3">
      <c r="B49" s="16" t="s">
        <v>27</v>
      </c>
      <c r="C49" s="78">
        <v>0.6</v>
      </c>
      <c r="D49" s="5" t="s">
        <v>0</v>
      </c>
      <c r="E49" s="111" t="s">
        <v>1</v>
      </c>
      <c r="F49" s="113">
        <f>F42+F43+F44</f>
        <v>7</v>
      </c>
      <c r="G49" s="114" t="s">
        <v>0</v>
      </c>
      <c r="H49" s="115">
        <f>'Process (2)'!I65</f>
        <v>6.2</v>
      </c>
      <c r="I49" s="116" t="str">
        <f>IF(F49&gt;=H49,"[ OK ]","[ NOT OK ]")</f>
        <v>[ OK ]</v>
      </c>
    </row>
    <row r="50" spans="1:17" ht="19.149999999999999" customHeight="1" thickTop="1" x14ac:dyDescent="0.25">
      <c r="B50" s="16" t="s">
        <v>654</v>
      </c>
      <c r="C50" s="67">
        <f>C38+C39+C40+C41-C46-C47-C48-C49</f>
        <v>1.7800000000000007</v>
      </c>
      <c r="D50" s="22" t="s">
        <v>0</v>
      </c>
      <c r="E50" s="16" t="s">
        <v>28</v>
      </c>
      <c r="F50" s="256">
        <v>2</v>
      </c>
      <c r="G50" s="5" t="s">
        <v>0</v>
      </c>
    </row>
    <row r="51" spans="1:17" ht="19.149999999999999" customHeight="1" x14ac:dyDescent="0.25">
      <c r="E51" s="16" t="s">
        <v>29</v>
      </c>
      <c r="F51" s="6">
        <f>F48-C46-F50</f>
        <v>2.9800000000000004</v>
      </c>
      <c r="G51" s="5" t="s">
        <v>0</v>
      </c>
      <c r="L51" s="23"/>
    </row>
    <row r="54" spans="1:17" ht="19.149999999999999" customHeight="1" x14ac:dyDescent="0.25">
      <c r="B54" s="16" t="s">
        <v>30</v>
      </c>
      <c r="C54" s="78">
        <v>6</v>
      </c>
      <c r="D54" s="5" t="s">
        <v>0</v>
      </c>
      <c r="E54" s="16" t="s">
        <v>31</v>
      </c>
      <c r="F54" s="78">
        <v>4</v>
      </c>
      <c r="G54" s="5" t="s">
        <v>0</v>
      </c>
    </row>
    <row r="55" spans="1:17" ht="19.149999999999999" customHeight="1" x14ac:dyDescent="0.25">
      <c r="B55" s="16" t="s">
        <v>32</v>
      </c>
      <c r="C55" s="78">
        <v>0.5</v>
      </c>
      <c r="D55" s="5" t="s">
        <v>0</v>
      </c>
      <c r="F55" s="1" t="s">
        <v>1018</v>
      </c>
    </row>
    <row r="57" spans="1:17" ht="19.149999999999999" customHeight="1" thickBot="1" x14ac:dyDescent="0.3">
      <c r="B57" s="8" t="s">
        <v>33</v>
      </c>
      <c r="H57" s="7" t="s">
        <v>34</v>
      </c>
      <c r="I57" s="119">
        <f>C38*F38+(C46-C38)*F39+(C39+C38-C46)*F40+0.5*F40*C40+0.5*(C48+C48+C49)*F45+F42*(SUM(C47:C50)+C42)+F42*(SUM(C47:C50)+C42)+C42*F43*0.5+C42*F44*0.5+C43*F49</f>
        <v>17.863</v>
      </c>
      <c r="J57" s="15" t="s">
        <v>35</v>
      </c>
    </row>
    <row r="58" spans="1:17" ht="19.149999999999999" customHeight="1" thickTop="1" thickBot="1" x14ac:dyDescent="0.3">
      <c r="B58" s="8" t="s">
        <v>36</v>
      </c>
      <c r="H58" s="7" t="s">
        <v>2</v>
      </c>
      <c r="I58" s="257">
        <v>17.3</v>
      </c>
      <c r="J58" s="120" t="s">
        <v>0</v>
      </c>
      <c r="K58" s="121"/>
      <c r="L58" s="123">
        <f>'Process (2)'!I66</f>
        <v>17.2</v>
      </c>
      <c r="M58" s="122" t="str">
        <f>IF(J58&gt;=L58,"[ OK ]","[ NOT OK ]")</f>
        <v>[ OK ]</v>
      </c>
    </row>
    <row r="59" spans="1:17" ht="19.149999999999999" customHeight="1" thickTop="1" x14ac:dyDescent="0.25"/>
    <row r="60" spans="1:17" ht="19.149999999999999" customHeight="1" x14ac:dyDescent="0.25">
      <c r="A60" s="25" t="s">
        <v>5</v>
      </c>
      <c r="B60" s="9" t="s">
        <v>40</v>
      </c>
      <c r="C60" s="26"/>
      <c r="D60" s="26"/>
      <c r="E60" s="26"/>
      <c r="F60" s="26"/>
      <c r="G60" s="26"/>
      <c r="H60" s="26"/>
      <c r="I60" s="26"/>
      <c r="J60" s="13"/>
      <c r="P60" s="498"/>
      <c r="Q60" s="498"/>
    </row>
    <row r="61" spans="1:17" ht="19.149999999999999" customHeight="1" x14ac:dyDescent="0.25">
      <c r="A61" s="2"/>
      <c r="B61" s="2" t="s">
        <v>41</v>
      </c>
      <c r="C61" s="27"/>
      <c r="D61" s="27"/>
      <c r="E61" s="27"/>
      <c r="F61" s="27"/>
      <c r="G61" s="27"/>
      <c r="H61" s="3" t="s">
        <v>42</v>
      </c>
      <c r="I61" s="258">
        <v>17.2</v>
      </c>
      <c r="J61" s="10" t="s">
        <v>43</v>
      </c>
      <c r="P61" s="498"/>
      <c r="Q61" s="498"/>
    </row>
    <row r="62" spans="1:17" ht="19.149999999999999" customHeight="1" x14ac:dyDescent="0.25">
      <c r="A62" s="2"/>
      <c r="B62" s="2" t="s">
        <v>44</v>
      </c>
      <c r="C62" s="27"/>
      <c r="D62" s="27"/>
      <c r="E62" s="27"/>
      <c r="F62" s="27"/>
      <c r="G62" s="27"/>
      <c r="H62" s="3" t="s">
        <v>45</v>
      </c>
      <c r="I62" s="258">
        <v>9.81</v>
      </c>
      <c r="J62" s="10" t="s">
        <v>43</v>
      </c>
    </row>
    <row r="63" spans="1:17" ht="19.149999999999999" customHeight="1" x14ac:dyDescent="0.25">
      <c r="A63" s="26"/>
      <c r="B63" s="26" t="s">
        <v>46</v>
      </c>
      <c r="C63" s="26"/>
      <c r="D63" s="26"/>
      <c r="E63" s="26"/>
      <c r="F63" s="26"/>
      <c r="G63" s="26"/>
      <c r="H63" s="3" t="s">
        <v>47</v>
      </c>
      <c r="I63" s="258">
        <v>25</v>
      </c>
      <c r="J63" s="10" t="s">
        <v>43</v>
      </c>
    </row>
    <row r="65" spans="1:17" ht="19.149999999999999" customHeight="1" x14ac:dyDescent="0.25">
      <c r="A65" s="25" t="s">
        <v>166</v>
      </c>
      <c r="B65" s="9" t="s">
        <v>167</v>
      </c>
    </row>
    <row r="66" spans="1:17" ht="19.149999999999999" customHeight="1" x14ac:dyDescent="0.25">
      <c r="B66" s="8" t="s">
        <v>150</v>
      </c>
      <c r="G66" s="7"/>
      <c r="H66" s="7" t="s">
        <v>151</v>
      </c>
      <c r="I66" s="180">
        <v>0.3</v>
      </c>
      <c r="J66" s="5" t="s">
        <v>152</v>
      </c>
    </row>
    <row r="67" spans="1:17" ht="19.149999999999999" customHeight="1" x14ac:dyDescent="0.25">
      <c r="B67" s="8" t="s">
        <v>153</v>
      </c>
      <c r="G67" s="7"/>
      <c r="H67" s="7" t="s">
        <v>154</v>
      </c>
      <c r="I67" s="180">
        <v>1.2</v>
      </c>
    </row>
    <row r="68" spans="1:17" ht="48.75" customHeight="1" x14ac:dyDescent="0.25">
      <c r="B68" s="566" t="s">
        <v>1055</v>
      </c>
      <c r="C68" s="566"/>
      <c r="D68" s="566"/>
      <c r="E68" s="566"/>
      <c r="F68" s="566"/>
      <c r="G68" s="522"/>
      <c r="H68" s="7" t="s">
        <v>1056</v>
      </c>
      <c r="I68" s="259">
        <v>0.6</v>
      </c>
      <c r="J68" s="5" t="s">
        <v>152</v>
      </c>
      <c r="K68" s="514"/>
      <c r="L68" s="514"/>
      <c r="M68" s="514"/>
    </row>
    <row r="69" spans="1:17" ht="48.75" customHeight="1" x14ac:dyDescent="0.25">
      <c r="B69" s="566" t="s">
        <v>1057</v>
      </c>
      <c r="C69" s="566"/>
      <c r="D69" s="566"/>
      <c r="E69" s="566"/>
      <c r="F69" s="566"/>
      <c r="G69" s="522"/>
      <c r="H69" s="7" t="s">
        <v>1058</v>
      </c>
      <c r="I69" s="259">
        <v>0.25</v>
      </c>
      <c r="J69" s="5" t="s">
        <v>152</v>
      </c>
      <c r="K69" s="514"/>
      <c r="L69" s="514"/>
      <c r="M69" s="514"/>
    </row>
    <row r="70" spans="1:17" ht="18.75" customHeight="1" x14ac:dyDescent="0.25">
      <c r="B70" s="1" t="s">
        <v>1060</v>
      </c>
      <c r="H70" s="567" t="s">
        <v>1061</v>
      </c>
      <c r="I70" s="568"/>
    </row>
    <row r="72" spans="1:17" s="2" customFormat="1" ht="19.5" customHeight="1" x14ac:dyDescent="0.25">
      <c r="A72" s="25" t="s">
        <v>246</v>
      </c>
      <c r="B72" s="61" t="s">
        <v>224</v>
      </c>
      <c r="J72" s="10"/>
    </row>
    <row r="73" spans="1:17" s="2" customFormat="1" ht="19.5" customHeight="1" x14ac:dyDescent="0.25">
      <c r="A73" s="25"/>
      <c r="B73" s="2" t="s">
        <v>225</v>
      </c>
      <c r="H73" s="3" t="s">
        <v>226</v>
      </c>
      <c r="I73" s="258">
        <v>0</v>
      </c>
      <c r="J73" s="10" t="s">
        <v>0</v>
      </c>
    </row>
    <row r="74" spans="1:17" s="12" customFormat="1" ht="19.5" customHeight="1" x14ac:dyDescent="0.25">
      <c r="B74" s="12" t="s">
        <v>227</v>
      </c>
      <c r="D74" s="28"/>
      <c r="E74" s="29"/>
      <c r="F74" s="30"/>
      <c r="G74" s="30"/>
      <c r="H74" s="31" t="s">
        <v>228</v>
      </c>
      <c r="I74" s="260">
        <v>100</v>
      </c>
      <c r="J74" s="32" t="s">
        <v>49</v>
      </c>
      <c r="K74" s="33"/>
      <c r="L74" s="33"/>
      <c r="O74" s="34"/>
      <c r="P74" s="34"/>
      <c r="Q74" s="34"/>
    </row>
    <row r="76" spans="1:17" s="2" customFormat="1" ht="19.5" customHeight="1" x14ac:dyDescent="0.25">
      <c r="A76" s="25" t="s">
        <v>348</v>
      </c>
      <c r="B76" s="61" t="s">
        <v>229</v>
      </c>
      <c r="H76" s="3"/>
      <c r="I76" s="63"/>
      <c r="J76" s="10"/>
    </row>
    <row r="96" spans="1:10" s="2" customFormat="1" ht="19.5" customHeight="1" x14ac:dyDescent="0.25">
      <c r="A96" s="25"/>
      <c r="B96" s="2" t="s">
        <v>230</v>
      </c>
      <c r="H96" s="3" t="s">
        <v>48</v>
      </c>
      <c r="I96" s="258">
        <v>0.8</v>
      </c>
      <c r="J96" s="10" t="s">
        <v>0</v>
      </c>
    </row>
    <row r="97" spans="1:13" s="2" customFormat="1" ht="19.5" customHeight="1" x14ac:dyDescent="0.25">
      <c r="A97" s="25"/>
      <c r="B97" s="2" t="s">
        <v>231</v>
      </c>
      <c r="H97" s="3" t="s">
        <v>232</v>
      </c>
      <c r="I97" s="78">
        <v>3</v>
      </c>
      <c r="J97" s="64" t="s">
        <v>233</v>
      </c>
    </row>
    <row r="98" spans="1:13" s="2" customFormat="1" ht="19.5" customHeight="1" x14ac:dyDescent="0.25">
      <c r="A98" s="25"/>
      <c r="B98" s="2" t="s">
        <v>234</v>
      </c>
      <c r="H98" s="3" t="s">
        <v>232</v>
      </c>
      <c r="I98" s="78">
        <v>11</v>
      </c>
      <c r="J98" s="64" t="s">
        <v>233</v>
      </c>
    </row>
    <row r="99" spans="1:13" s="2" customFormat="1" ht="19.5" customHeight="1" x14ac:dyDescent="0.25">
      <c r="A99" s="25"/>
      <c r="B99" s="1" t="s">
        <v>235</v>
      </c>
      <c r="H99" s="3" t="s">
        <v>236</v>
      </c>
      <c r="I99" s="78">
        <v>33.799999999999997</v>
      </c>
      <c r="J99" s="64"/>
    </row>
    <row r="100" spans="1:13" s="2" customFormat="1" ht="19.5" customHeight="1" x14ac:dyDescent="0.25">
      <c r="A100" s="25"/>
      <c r="B100" s="1" t="s">
        <v>237</v>
      </c>
      <c r="H100" s="3" t="s">
        <v>236</v>
      </c>
      <c r="I100" s="78">
        <v>50</v>
      </c>
      <c r="J100" s="64"/>
    </row>
    <row r="101" spans="1:13" s="2" customFormat="1" ht="19.5" customHeight="1" x14ac:dyDescent="0.25">
      <c r="A101" s="25"/>
      <c r="B101" s="2" t="s">
        <v>238</v>
      </c>
      <c r="H101" s="3" t="s">
        <v>239</v>
      </c>
      <c r="I101" s="258">
        <v>1.6</v>
      </c>
      <c r="J101" s="10" t="s">
        <v>0</v>
      </c>
    </row>
    <row r="102" spans="1:13" s="2" customFormat="1" ht="19.5" customHeight="1" x14ac:dyDescent="0.25">
      <c r="A102" s="25"/>
      <c r="B102" s="2" t="s">
        <v>240</v>
      </c>
      <c r="H102" s="3" t="s">
        <v>241</v>
      </c>
      <c r="I102" s="261">
        <v>6</v>
      </c>
      <c r="J102" s="64"/>
    </row>
    <row r="103" spans="1:13" s="2" customFormat="1" ht="19.5" customHeight="1" x14ac:dyDescent="0.25">
      <c r="A103" s="25"/>
      <c r="B103" s="2" t="s">
        <v>242</v>
      </c>
      <c r="H103" s="3" t="s">
        <v>243</v>
      </c>
      <c r="I103" s="261">
        <v>2</v>
      </c>
      <c r="J103" s="64"/>
      <c r="L103" s="127" t="s">
        <v>360</v>
      </c>
      <c r="M103" s="336" t="s">
        <v>361</v>
      </c>
    </row>
    <row r="104" spans="1:13" s="2" customFormat="1" ht="19.5" customHeight="1" x14ac:dyDescent="0.25">
      <c r="A104" s="25"/>
      <c r="B104" s="2" t="s">
        <v>244</v>
      </c>
      <c r="G104" s="2" t="s">
        <v>354</v>
      </c>
      <c r="H104" s="3" t="s">
        <v>356</v>
      </c>
      <c r="I104" s="78">
        <v>3</v>
      </c>
      <c r="J104" s="10" t="s">
        <v>0</v>
      </c>
      <c r="L104" s="128">
        <f>H49</f>
        <v>6.2</v>
      </c>
      <c r="M104" s="337">
        <f>F49</f>
        <v>7</v>
      </c>
    </row>
    <row r="105" spans="1:13" s="2" customFormat="1" ht="19.5" customHeight="1" x14ac:dyDescent="0.25">
      <c r="A105" s="25"/>
      <c r="G105" s="2" t="s">
        <v>355</v>
      </c>
      <c r="H105" s="3" t="s">
        <v>357</v>
      </c>
      <c r="I105" s="78">
        <v>2.8</v>
      </c>
      <c r="J105" s="10" t="s">
        <v>0</v>
      </c>
      <c r="L105" s="128">
        <f>L58</f>
        <v>17.2</v>
      </c>
      <c r="M105" s="338">
        <f>I58</f>
        <v>17.3</v>
      </c>
    </row>
    <row r="123" spans="1:14" ht="19.149999999999999" customHeight="1" x14ac:dyDescent="0.25">
      <c r="A123" s="25" t="s">
        <v>840</v>
      </c>
      <c r="B123" s="9" t="s">
        <v>110</v>
      </c>
      <c r="C123" s="26"/>
      <c r="D123" s="26"/>
      <c r="E123" s="26"/>
      <c r="F123" s="26"/>
      <c r="G123" s="26"/>
      <c r="H123" s="26"/>
      <c r="I123" s="26"/>
      <c r="J123" s="13"/>
    </row>
    <row r="124" spans="1:14" ht="19.5" customHeight="1" x14ac:dyDescent="0.25">
      <c r="B124" s="1" t="s">
        <v>111</v>
      </c>
      <c r="H124" s="50" t="s">
        <v>112</v>
      </c>
      <c r="I124" s="107">
        <v>36.020000000000003</v>
      </c>
      <c r="J124" s="15" t="s">
        <v>100</v>
      </c>
    </row>
    <row r="125" spans="1:14" ht="19.5" customHeight="1" x14ac:dyDescent="0.25">
      <c r="B125" s="1" t="s">
        <v>113</v>
      </c>
      <c r="H125" s="7" t="s">
        <v>102</v>
      </c>
      <c r="I125" s="262">
        <v>2.4220000000000002</v>
      </c>
      <c r="J125" s="5" t="s">
        <v>103</v>
      </c>
    </row>
    <row r="126" spans="1:14" s="2" customFormat="1" ht="18" customHeight="1" x14ac:dyDescent="0.25">
      <c r="A126" s="25"/>
      <c r="B126" s="2" t="s">
        <v>247</v>
      </c>
      <c r="H126" s="3" t="s">
        <v>248</v>
      </c>
      <c r="I126" s="78">
        <v>5917.2525948894472</v>
      </c>
      <c r="J126" s="10" t="s">
        <v>115</v>
      </c>
      <c r="K126" s="65"/>
      <c r="L126" s="65"/>
      <c r="M126" s="45"/>
      <c r="N126" s="65"/>
    </row>
    <row r="127" spans="1:14" ht="19.5" customHeight="1" x14ac:dyDescent="0.25">
      <c r="A127" s="1"/>
      <c r="B127" s="2" t="s">
        <v>249</v>
      </c>
      <c r="H127" s="3" t="s">
        <v>250</v>
      </c>
      <c r="I127" s="78">
        <v>1856.0781622418669</v>
      </c>
      <c r="J127" s="10" t="s">
        <v>115</v>
      </c>
    </row>
    <row r="128" spans="1:14" ht="19.5" customHeight="1" x14ac:dyDescent="0.25">
      <c r="A128" s="1"/>
      <c r="B128" s="1" t="s">
        <v>864</v>
      </c>
      <c r="H128" s="3" t="s">
        <v>251</v>
      </c>
      <c r="I128" s="261">
        <v>3</v>
      </c>
      <c r="J128" s="10"/>
    </row>
    <row r="129" spans="1:10" ht="19.5" customHeight="1" x14ac:dyDescent="0.25">
      <c r="A129" s="1"/>
      <c r="B129" s="1" t="s">
        <v>861</v>
      </c>
      <c r="H129" s="3" t="s">
        <v>251</v>
      </c>
      <c r="I129" s="261">
        <v>5</v>
      </c>
      <c r="J129" s="10"/>
    </row>
    <row r="131" spans="1:10" ht="19.149999999999999" customHeight="1" x14ac:dyDescent="0.25">
      <c r="A131" s="25"/>
      <c r="B131" s="61"/>
    </row>
  </sheetData>
  <mergeCells count="3">
    <mergeCell ref="B68:F68"/>
    <mergeCell ref="B69:F69"/>
    <mergeCell ref="H70:I70"/>
  </mergeCells>
  <dataValidations count="2">
    <dataValidation type="list" allowBlank="1" showInputMessage="1" showErrorMessage="1" sqref="I102:I103" xr:uid="{0A70E71C-EF1E-4345-835C-B33752F75ED8}">
      <formula1>"2,3,4,5,6,7,8"</formula1>
    </dataValidation>
    <dataValidation type="list" allowBlank="1" showInputMessage="1" showErrorMessage="1" sqref="H70:I70" xr:uid="{0D7B002C-8227-46C2-BBC6-34107EE14C2E}">
      <formula1>"Batuan Keras (SA), Batuan (SB), Tanah Keras (SC), Tanah Sedang (SD), Tanah Lunak (SE)"</formula1>
    </dataValidation>
  </dataValidations>
  <pageMargins left="0.7" right="0.7" top="0.75" bottom="0.75" header="0.3" footer="0.3"/>
  <pageSetup orientation="portrait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D3314-0972-433F-A2D5-EB872399243D}">
  <sheetPr>
    <tabColor theme="8" tint="0.79998168889431442"/>
  </sheetPr>
  <dimension ref="A1:Y218"/>
  <sheetViews>
    <sheetView showGridLines="0" workbookViewId="0">
      <selection activeCell="X60" sqref="X60"/>
    </sheetView>
  </sheetViews>
  <sheetFormatPr defaultRowHeight="15" x14ac:dyDescent="0.25"/>
  <cols>
    <col min="1" max="16384" width="9.140625" style="503"/>
  </cols>
  <sheetData>
    <row r="1" spans="1:20" x14ac:dyDescent="0.25">
      <c r="A1" s="502" t="s">
        <v>995</v>
      </c>
      <c r="B1" s="502" t="s">
        <v>1010</v>
      </c>
      <c r="C1" s="502" t="s">
        <v>997</v>
      </c>
      <c r="D1" s="502" t="s">
        <v>1010</v>
      </c>
      <c r="E1" s="502" t="s">
        <v>998</v>
      </c>
      <c r="F1" s="502" t="s">
        <v>1010</v>
      </c>
      <c r="G1" s="502" t="s">
        <v>999</v>
      </c>
      <c r="H1" s="502" t="s">
        <v>1010</v>
      </c>
      <c r="I1" s="502" t="s">
        <v>1000</v>
      </c>
      <c r="J1" s="502" t="s">
        <v>1010</v>
      </c>
      <c r="K1" s="502" t="s">
        <v>1001</v>
      </c>
      <c r="L1" s="502" t="s">
        <v>1010</v>
      </c>
      <c r="M1" s="502" t="s">
        <v>1002</v>
      </c>
      <c r="N1" s="502" t="s">
        <v>1010</v>
      </c>
      <c r="O1" s="502" t="s">
        <v>1003</v>
      </c>
      <c r="P1" s="502" t="s">
        <v>1010</v>
      </c>
      <c r="Q1" s="570" t="s">
        <v>1014</v>
      </c>
      <c r="R1" s="570"/>
      <c r="S1" s="570"/>
      <c r="T1" s="570"/>
    </row>
    <row r="2" spans="1:20" x14ac:dyDescent="0.25">
      <c r="A2" s="502" t="s">
        <v>72</v>
      </c>
      <c r="B2" s="502" t="s">
        <v>71</v>
      </c>
      <c r="C2" s="502" t="s">
        <v>72</v>
      </c>
      <c r="D2" s="502" t="s">
        <v>71</v>
      </c>
      <c r="E2" s="502" t="s">
        <v>72</v>
      </c>
      <c r="F2" s="502" t="s">
        <v>71</v>
      </c>
      <c r="G2" s="502" t="s">
        <v>72</v>
      </c>
      <c r="H2" s="502" t="s">
        <v>71</v>
      </c>
      <c r="I2" s="502" t="s">
        <v>72</v>
      </c>
      <c r="J2" s="502" t="s">
        <v>71</v>
      </c>
      <c r="K2" s="502" t="s">
        <v>72</v>
      </c>
      <c r="L2" s="502" t="s">
        <v>71</v>
      </c>
      <c r="M2" s="502" t="s">
        <v>72</v>
      </c>
      <c r="N2" s="502" t="s">
        <v>71</v>
      </c>
      <c r="O2" s="502" t="s">
        <v>72</v>
      </c>
      <c r="P2" s="502" t="s">
        <v>71</v>
      </c>
      <c r="Q2" s="504" t="s">
        <v>988</v>
      </c>
      <c r="R2" s="504" t="s">
        <v>989</v>
      </c>
      <c r="S2" s="504" t="s">
        <v>988</v>
      </c>
      <c r="T2" s="504" t="s">
        <v>989</v>
      </c>
    </row>
    <row r="3" spans="1:20" x14ac:dyDescent="0.25">
      <c r="A3" s="502">
        <f>A27</f>
        <v>-7.7464788732394361</v>
      </c>
      <c r="B3" s="502">
        <f>Table!$Q$36/Table!$Q$35*IF('Process (2)'!D63="",100,'Process (2)'!D63)</f>
        <v>516.43192488262912</v>
      </c>
      <c r="C3" s="502">
        <f>C27</f>
        <v>7.7464788732394361</v>
      </c>
      <c r="D3" s="502">
        <f>B3</f>
        <v>516.43192488262912</v>
      </c>
      <c r="E3" s="502">
        <f>E27</f>
        <v>516.43192488262912</v>
      </c>
      <c r="F3" s="502">
        <f>D3</f>
        <v>516.43192488262912</v>
      </c>
      <c r="G3" s="502">
        <f>G27</f>
        <v>516.43192488262912</v>
      </c>
      <c r="H3" s="502">
        <f>F3</f>
        <v>516.43192488262912</v>
      </c>
      <c r="I3" s="502">
        <f>I27</f>
        <v>516.43192488262912</v>
      </c>
      <c r="J3" s="502">
        <f>H3</f>
        <v>516.43192488262912</v>
      </c>
      <c r="K3" s="502">
        <f>K27</f>
        <v>516.43192488262912</v>
      </c>
      <c r="L3" s="502">
        <f>J3</f>
        <v>516.43192488262912</v>
      </c>
      <c r="M3" s="502">
        <f>M27</f>
        <v>516.43192488262912</v>
      </c>
      <c r="N3" s="502">
        <f>L3</f>
        <v>516.43192488262912</v>
      </c>
      <c r="O3" s="502">
        <f>O27</f>
        <v>516.43192488262912</v>
      </c>
      <c r="P3" s="502">
        <f>N3</f>
        <v>516.43192488262912</v>
      </c>
      <c r="Q3" s="340">
        <v>-1</v>
      </c>
      <c r="R3" s="340">
        <v>0</v>
      </c>
      <c r="S3" s="505">
        <f t="shared" ref="S3:S19" si="0">$Q$36/$Q$35*Q3*$Q$21</f>
        <v>-2.0657276995305165</v>
      </c>
      <c r="T3" s="505">
        <f t="shared" ref="T3:T19" si="1">$Q$36/$Q$35*R3*$Q$21</f>
        <v>0</v>
      </c>
    </row>
    <row r="4" spans="1:20" x14ac:dyDescent="0.25">
      <c r="A4" s="506">
        <f>Table!$S3+A$3</f>
        <v>-9.8122065727699521</v>
      </c>
      <c r="B4" s="506">
        <f>Table!$T3+B$3</f>
        <v>516.43192488262912</v>
      </c>
      <c r="C4" s="506">
        <f>Table!$S3+C$3</f>
        <v>5.68075117370892</v>
      </c>
      <c r="D4" s="506">
        <f>Table!$T3+D$3</f>
        <v>516.43192488262912</v>
      </c>
      <c r="E4" s="506">
        <f>Table!$S3+E$3</f>
        <v>514.36619718309862</v>
      </c>
      <c r="F4" s="506">
        <f>Table!$T3+F$3</f>
        <v>516.43192488262912</v>
      </c>
      <c r="G4" s="506">
        <f>Table!$S3+G$3</f>
        <v>514.36619718309862</v>
      </c>
      <c r="H4" s="506">
        <f>Table!$T3+H$3</f>
        <v>516.43192488262912</v>
      </c>
      <c r="I4" s="506">
        <f>Table!$S3+I$3</f>
        <v>514.36619718309862</v>
      </c>
      <c r="J4" s="506">
        <f>Table!$T3+J$3</f>
        <v>516.43192488262912</v>
      </c>
      <c r="K4" s="506">
        <f>Table!$S3+K$3</f>
        <v>514.36619718309862</v>
      </c>
      <c r="L4" s="506">
        <f>Table!$T3+L$3</f>
        <v>516.43192488262912</v>
      </c>
      <c r="M4" s="506">
        <f>Table!$S3+M$3</f>
        <v>514.36619718309862</v>
      </c>
      <c r="N4" s="506">
        <f>Table!$T3+N$3</f>
        <v>516.43192488262912</v>
      </c>
      <c r="O4" s="506">
        <f>Table!$S3+O$3</f>
        <v>514.36619718309862</v>
      </c>
      <c r="P4" s="506">
        <f>Table!$T3+P$3</f>
        <v>516.43192488262912</v>
      </c>
      <c r="Q4" s="340">
        <v>-0.92379999999999995</v>
      </c>
      <c r="R4" s="340">
        <v>0.3826</v>
      </c>
      <c r="S4" s="505">
        <f t="shared" si="0"/>
        <v>-1.908319248826291</v>
      </c>
      <c r="T4" s="505">
        <f t="shared" si="1"/>
        <v>0.79034741784037565</v>
      </c>
    </row>
    <row r="5" spans="1:20" x14ac:dyDescent="0.25">
      <c r="A5" s="506">
        <f>Table!$S4+A$3</f>
        <v>-9.6547981220657277</v>
      </c>
      <c r="B5" s="506">
        <f>Table!$T4+B$3</f>
        <v>517.22227230046951</v>
      </c>
      <c r="C5" s="506">
        <f>Table!$S4+C$3</f>
        <v>5.8381596244131453</v>
      </c>
      <c r="D5" s="506">
        <f>Table!$T4+D$3</f>
        <v>517.22227230046951</v>
      </c>
      <c r="E5" s="506">
        <f>Table!$S4+E$3</f>
        <v>514.52360563380284</v>
      </c>
      <c r="F5" s="506">
        <f>Table!$T4+F$3</f>
        <v>517.22227230046951</v>
      </c>
      <c r="G5" s="506">
        <f>Table!$S4+G$3</f>
        <v>514.52360563380284</v>
      </c>
      <c r="H5" s="506">
        <f>Table!$T4+H$3</f>
        <v>517.22227230046951</v>
      </c>
      <c r="I5" s="506">
        <f>Table!$S4+I$3</f>
        <v>514.52360563380284</v>
      </c>
      <c r="J5" s="506">
        <f>Table!$T4+J$3</f>
        <v>517.22227230046951</v>
      </c>
      <c r="K5" s="506">
        <f>Table!$S4+K$3</f>
        <v>514.52360563380284</v>
      </c>
      <c r="L5" s="506">
        <f>Table!$T4+L$3</f>
        <v>517.22227230046951</v>
      </c>
      <c r="M5" s="506">
        <f>Table!$S4+M$3</f>
        <v>514.52360563380284</v>
      </c>
      <c r="N5" s="506">
        <f>Table!$T4+N$3</f>
        <v>517.22227230046951</v>
      </c>
      <c r="O5" s="506">
        <f>Table!$S4+O$3</f>
        <v>514.52360563380284</v>
      </c>
      <c r="P5" s="506">
        <f>Table!$T4+P$3</f>
        <v>517.22227230046951</v>
      </c>
      <c r="Q5" s="340">
        <v>-0.70720000000000005</v>
      </c>
      <c r="R5" s="340">
        <v>0.70720000000000005</v>
      </c>
      <c r="S5" s="505">
        <f t="shared" si="0"/>
        <v>-1.4608826291079815</v>
      </c>
      <c r="T5" s="505">
        <f t="shared" si="1"/>
        <v>1.4608826291079815</v>
      </c>
    </row>
    <row r="6" spans="1:20" x14ac:dyDescent="0.25">
      <c r="A6" s="506">
        <f>Table!$S5+A$3</f>
        <v>-9.2073615023474176</v>
      </c>
      <c r="B6" s="506">
        <f>Table!$T5+B$3</f>
        <v>517.89280751173715</v>
      </c>
      <c r="C6" s="506">
        <f>Table!$S5+C$3</f>
        <v>6.2855962441314546</v>
      </c>
      <c r="D6" s="506">
        <f>Table!$T5+D$3</f>
        <v>517.89280751173715</v>
      </c>
      <c r="E6" s="506">
        <f>Table!$S5+E$3</f>
        <v>514.97104225352109</v>
      </c>
      <c r="F6" s="506">
        <f>Table!$T5+F$3</f>
        <v>517.89280751173715</v>
      </c>
      <c r="G6" s="506">
        <f>Table!$S5+G$3</f>
        <v>514.97104225352109</v>
      </c>
      <c r="H6" s="506">
        <f>Table!$T5+H$3</f>
        <v>517.89280751173715</v>
      </c>
      <c r="I6" s="506">
        <f>Table!$S5+I$3</f>
        <v>514.97104225352109</v>
      </c>
      <c r="J6" s="506">
        <f>Table!$T5+J$3</f>
        <v>517.89280751173715</v>
      </c>
      <c r="K6" s="506">
        <f>Table!$S5+K$3</f>
        <v>514.97104225352109</v>
      </c>
      <c r="L6" s="506">
        <f>Table!$T5+L$3</f>
        <v>517.89280751173715</v>
      </c>
      <c r="M6" s="506">
        <f>Table!$S5+M$3</f>
        <v>514.97104225352109</v>
      </c>
      <c r="N6" s="506">
        <f>Table!$T5+N$3</f>
        <v>517.89280751173715</v>
      </c>
      <c r="O6" s="506">
        <f>Table!$S5+O$3</f>
        <v>514.97104225352109</v>
      </c>
      <c r="P6" s="506">
        <f>Table!$T5+P$3</f>
        <v>517.89280751173715</v>
      </c>
      <c r="Q6" s="340">
        <v>-0.3826</v>
      </c>
      <c r="R6" s="340">
        <v>0.92379999999999995</v>
      </c>
      <c r="S6" s="505">
        <f t="shared" si="0"/>
        <v>-0.79034741784037565</v>
      </c>
      <c r="T6" s="505">
        <f t="shared" si="1"/>
        <v>1.908319248826291</v>
      </c>
    </row>
    <row r="7" spans="1:20" x14ac:dyDescent="0.25">
      <c r="A7" s="506">
        <f>Table!$S6+A$3</f>
        <v>-8.5368262910798123</v>
      </c>
      <c r="B7" s="506">
        <f>Table!$T6+B$3</f>
        <v>518.34024413145539</v>
      </c>
      <c r="C7" s="506">
        <f>Table!$S6+C$3</f>
        <v>6.9561314553990607</v>
      </c>
      <c r="D7" s="506">
        <f>Table!$T6+D$3</f>
        <v>518.34024413145539</v>
      </c>
      <c r="E7" s="506">
        <f>Table!$S6+E$3</f>
        <v>515.64157746478872</v>
      </c>
      <c r="F7" s="506">
        <f>Table!$T6+F$3</f>
        <v>518.34024413145539</v>
      </c>
      <c r="G7" s="506">
        <f>Table!$S6+G$3</f>
        <v>515.64157746478872</v>
      </c>
      <c r="H7" s="506">
        <f>Table!$T6+H$3</f>
        <v>518.34024413145539</v>
      </c>
      <c r="I7" s="506">
        <f>Table!$S6+I$3</f>
        <v>515.64157746478872</v>
      </c>
      <c r="J7" s="506">
        <f>Table!$T6+J$3</f>
        <v>518.34024413145539</v>
      </c>
      <c r="K7" s="506">
        <f>Table!$S6+K$3</f>
        <v>515.64157746478872</v>
      </c>
      <c r="L7" s="506">
        <f>Table!$T6+L$3</f>
        <v>518.34024413145539</v>
      </c>
      <c r="M7" s="506">
        <f>Table!$S6+M$3</f>
        <v>515.64157746478872</v>
      </c>
      <c r="N7" s="506">
        <f>Table!$T6+N$3</f>
        <v>518.34024413145539</v>
      </c>
      <c r="O7" s="506">
        <f>Table!$S6+O$3</f>
        <v>515.64157746478872</v>
      </c>
      <c r="P7" s="506">
        <f>Table!$T6+P$3</f>
        <v>518.34024413145539</v>
      </c>
      <c r="Q7" s="340">
        <v>0</v>
      </c>
      <c r="R7" s="340">
        <v>1</v>
      </c>
      <c r="S7" s="505">
        <f t="shared" si="0"/>
        <v>0</v>
      </c>
      <c r="T7" s="505">
        <f t="shared" si="1"/>
        <v>2.0657276995305165</v>
      </c>
    </row>
    <row r="8" spans="1:20" x14ac:dyDescent="0.25">
      <c r="A8" s="506">
        <f>Table!$S7+A$3</f>
        <v>-7.7464788732394361</v>
      </c>
      <c r="B8" s="506">
        <f>Table!$T7+B$3</f>
        <v>518.49765258215962</v>
      </c>
      <c r="C8" s="506">
        <f>Table!$S7+C$3</f>
        <v>7.7464788732394361</v>
      </c>
      <c r="D8" s="506">
        <f>Table!$T7+D$3</f>
        <v>518.49765258215962</v>
      </c>
      <c r="E8" s="506">
        <f>Table!$S7+E$3</f>
        <v>516.43192488262912</v>
      </c>
      <c r="F8" s="506">
        <f>Table!$T7+F$3</f>
        <v>518.49765258215962</v>
      </c>
      <c r="G8" s="506">
        <f>Table!$S7+G$3</f>
        <v>516.43192488262912</v>
      </c>
      <c r="H8" s="506">
        <f>Table!$T7+H$3</f>
        <v>518.49765258215962</v>
      </c>
      <c r="I8" s="506">
        <f>Table!$S7+I$3</f>
        <v>516.43192488262912</v>
      </c>
      <c r="J8" s="506">
        <f>Table!$T7+J$3</f>
        <v>518.49765258215962</v>
      </c>
      <c r="K8" s="506">
        <f>Table!$S7+K$3</f>
        <v>516.43192488262912</v>
      </c>
      <c r="L8" s="506">
        <f>Table!$T7+L$3</f>
        <v>518.49765258215962</v>
      </c>
      <c r="M8" s="506">
        <f>Table!$S7+M$3</f>
        <v>516.43192488262912</v>
      </c>
      <c r="N8" s="506">
        <f>Table!$T7+N$3</f>
        <v>518.49765258215962</v>
      </c>
      <c r="O8" s="506">
        <f>Table!$S7+O$3</f>
        <v>516.43192488262912</v>
      </c>
      <c r="P8" s="506">
        <f>Table!$T7+P$3</f>
        <v>518.49765258215962</v>
      </c>
      <c r="Q8" s="340">
        <v>0.3826</v>
      </c>
      <c r="R8" s="340">
        <v>0.92379999999999995</v>
      </c>
      <c r="S8" s="505">
        <f t="shared" si="0"/>
        <v>0.79034741784037565</v>
      </c>
      <c r="T8" s="505">
        <f t="shared" si="1"/>
        <v>1.908319248826291</v>
      </c>
    </row>
    <row r="9" spans="1:20" x14ac:dyDescent="0.25">
      <c r="A9" s="506">
        <f>Table!$S8+A$3</f>
        <v>-6.9561314553990607</v>
      </c>
      <c r="B9" s="506">
        <f>Table!$T8+B$3</f>
        <v>518.34024413145539</v>
      </c>
      <c r="C9" s="506">
        <f>Table!$S8+C$3</f>
        <v>8.5368262910798123</v>
      </c>
      <c r="D9" s="506">
        <f>Table!$T8+D$3</f>
        <v>518.34024413145539</v>
      </c>
      <c r="E9" s="506">
        <f>Table!$S8+E$3</f>
        <v>517.22227230046951</v>
      </c>
      <c r="F9" s="506">
        <f>Table!$T8+F$3</f>
        <v>518.34024413145539</v>
      </c>
      <c r="G9" s="506">
        <f>Table!$S8+G$3</f>
        <v>517.22227230046951</v>
      </c>
      <c r="H9" s="506">
        <f>Table!$T8+H$3</f>
        <v>518.34024413145539</v>
      </c>
      <c r="I9" s="506">
        <f>Table!$S8+I$3</f>
        <v>517.22227230046951</v>
      </c>
      <c r="J9" s="506">
        <f>Table!$T8+J$3</f>
        <v>518.34024413145539</v>
      </c>
      <c r="K9" s="506">
        <f>Table!$S8+K$3</f>
        <v>517.22227230046951</v>
      </c>
      <c r="L9" s="506">
        <f>Table!$T8+L$3</f>
        <v>518.34024413145539</v>
      </c>
      <c r="M9" s="506">
        <f>Table!$S8+M$3</f>
        <v>517.22227230046951</v>
      </c>
      <c r="N9" s="506">
        <f>Table!$T8+N$3</f>
        <v>518.34024413145539</v>
      </c>
      <c r="O9" s="506">
        <f>Table!$S8+O$3</f>
        <v>517.22227230046951</v>
      </c>
      <c r="P9" s="506">
        <f>Table!$T8+P$3</f>
        <v>518.34024413145539</v>
      </c>
      <c r="Q9" s="340">
        <v>0.70720000000000005</v>
      </c>
      <c r="R9" s="340">
        <v>0.70720000000000005</v>
      </c>
      <c r="S9" s="505">
        <f t="shared" si="0"/>
        <v>1.4608826291079815</v>
      </c>
      <c r="T9" s="505">
        <f t="shared" si="1"/>
        <v>1.4608826291079815</v>
      </c>
    </row>
    <row r="10" spans="1:20" x14ac:dyDescent="0.25">
      <c r="A10" s="506">
        <f>Table!$S9+A$3</f>
        <v>-6.2855962441314546</v>
      </c>
      <c r="B10" s="506">
        <f>Table!$T9+B$3</f>
        <v>517.89280751173715</v>
      </c>
      <c r="C10" s="506">
        <f>Table!$S9+C$3</f>
        <v>9.2073615023474176</v>
      </c>
      <c r="D10" s="506">
        <f>Table!$T9+D$3</f>
        <v>517.89280751173715</v>
      </c>
      <c r="E10" s="506">
        <f>Table!$S9+E$3</f>
        <v>517.89280751173715</v>
      </c>
      <c r="F10" s="506">
        <f>Table!$T9+F$3</f>
        <v>517.89280751173715</v>
      </c>
      <c r="G10" s="506">
        <f>Table!$S9+G$3</f>
        <v>517.89280751173715</v>
      </c>
      <c r="H10" s="506">
        <f>Table!$T9+H$3</f>
        <v>517.89280751173715</v>
      </c>
      <c r="I10" s="506">
        <f>Table!$S9+I$3</f>
        <v>517.89280751173715</v>
      </c>
      <c r="J10" s="506">
        <f>Table!$T9+J$3</f>
        <v>517.89280751173715</v>
      </c>
      <c r="K10" s="506">
        <f>Table!$S9+K$3</f>
        <v>517.89280751173715</v>
      </c>
      <c r="L10" s="506">
        <f>Table!$T9+L$3</f>
        <v>517.89280751173715</v>
      </c>
      <c r="M10" s="506">
        <f>Table!$S9+M$3</f>
        <v>517.89280751173715</v>
      </c>
      <c r="N10" s="506">
        <f>Table!$T9+N$3</f>
        <v>517.89280751173715</v>
      </c>
      <c r="O10" s="506">
        <f>Table!$S9+O$3</f>
        <v>517.89280751173715</v>
      </c>
      <c r="P10" s="506">
        <f>Table!$T9+P$3</f>
        <v>517.89280751173715</v>
      </c>
      <c r="Q10" s="340">
        <v>0.92</v>
      </c>
      <c r="R10" s="340">
        <v>0.3826</v>
      </c>
      <c r="S10" s="505">
        <f t="shared" si="0"/>
        <v>1.9004694835680753</v>
      </c>
      <c r="T10" s="505">
        <f t="shared" si="1"/>
        <v>0.79034741784037565</v>
      </c>
    </row>
    <row r="11" spans="1:20" x14ac:dyDescent="0.25">
      <c r="A11" s="506">
        <f>Table!$S10+A$3</f>
        <v>-5.8460093896713605</v>
      </c>
      <c r="B11" s="506">
        <f>Table!$T10+B$3</f>
        <v>517.22227230046951</v>
      </c>
      <c r="C11" s="506">
        <f>Table!$S10+C$3</f>
        <v>9.6469483568075116</v>
      </c>
      <c r="D11" s="506">
        <f>Table!$T10+D$3</f>
        <v>517.22227230046951</v>
      </c>
      <c r="E11" s="506">
        <f>Table!$S10+E$3</f>
        <v>518.33239436619715</v>
      </c>
      <c r="F11" s="506">
        <f>Table!$T10+F$3</f>
        <v>517.22227230046951</v>
      </c>
      <c r="G11" s="506">
        <f>Table!$S10+G$3</f>
        <v>518.33239436619715</v>
      </c>
      <c r="H11" s="506">
        <f>Table!$T10+H$3</f>
        <v>517.22227230046951</v>
      </c>
      <c r="I11" s="506">
        <f>Table!$S10+I$3</f>
        <v>518.33239436619715</v>
      </c>
      <c r="J11" s="506">
        <f>Table!$T10+J$3</f>
        <v>517.22227230046951</v>
      </c>
      <c r="K11" s="506">
        <f>Table!$S10+K$3</f>
        <v>518.33239436619715</v>
      </c>
      <c r="L11" s="506">
        <f>Table!$T10+L$3</f>
        <v>517.22227230046951</v>
      </c>
      <c r="M11" s="506">
        <f>Table!$S10+M$3</f>
        <v>518.33239436619715</v>
      </c>
      <c r="N11" s="506">
        <f>Table!$T10+N$3</f>
        <v>517.22227230046951</v>
      </c>
      <c r="O11" s="506">
        <f>Table!$S10+O$3</f>
        <v>518.33239436619715</v>
      </c>
      <c r="P11" s="506">
        <f>Table!$T10+P$3</f>
        <v>517.22227230046951</v>
      </c>
      <c r="Q11" s="340">
        <v>1</v>
      </c>
      <c r="R11" s="340">
        <v>0</v>
      </c>
      <c r="S11" s="505">
        <f t="shared" si="0"/>
        <v>2.0657276995305165</v>
      </c>
      <c r="T11" s="505">
        <f t="shared" si="1"/>
        <v>0</v>
      </c>
    </row>
    <row r="12" spans="1:20" x14ac:dyDescent="0.25">
      <c r="A12" s="506">
        <f>Table!$S11+A$3</f>
        <v>-5.68075117370892</v>
      </c>
      <c r="B12" s="506">
        <f>Table!$T11+B$3</f>
        <v>516.43192488262912</v>
      </c>
      <c r="C12" s="506">
        <f>Table!$S11+C$3</f>
        <v>9.8122065727699521</v>
      </c>
      <c r="D12" s="506">
        <f>Table!$T11+D$3</f>
        <v>516.43192488262912</v>
      </c>
      <c r="E12" s="506">
        <f>Table!$S11+E$3</f>
        <v>518.49765258215962</v>
      </c>
      <c r="F12" s="506">
        <f>Table!$T11+F$3</f>
        <v>516.43192488262912</v>
      </c>
      <c r="G12" s="506">
        <f>Table!$S11+G$3</f>
        <v>518.49765258215962</v>
      </c>
      <c r="H12" s="506">
        <f>Table!$T11+H$3</f>
        <v>516.43192488262912</v>
      </c>
      <c r="I12" s="506">
        <f>Table!$S11+I$3</f>
        <v>518.49765258215962</v>
      </c>
      <c r="J12" s="506">
        <f>Table!$T11+J$3</f>
        <v>516.43192488262912</v>
      </c>
      <c r="K12" s="506">
        <f>Table!$S11+K$3</f>
        <v>518.49765258215962</v>
      </c>
      <c r="L12" s="506">
        <f>Table!$T11+L$3</f>
        <v>516.43192488262912</v>
      </c>
      <c r="M12" s="506">
        <f>Table!$S11+M$3</f>
        <v>518.49765258215962</v>
      </c>
      <c r="N12" s="506">
        <f>Table!$T11+N$3</f>
        <v>516.43192488262912</v>
      </c>
      <c r="O12" s="506">
        <f>Table!$S11+O$3</f>
        <v>518.49765258215962</v>
      </c>
      <c r="P12" s="506">
        <f>Table!$T11+P$3</f>
        <v>516.43192488262912</v>
      </c>
      <c r="Q12" s="340">
        <v>0.92</v>
      </c>
      <c r="R12" s="340">
        <v>-0.3826</v>
      </c>
      <c r="S12" s="505">
        <f t="shared" si="0"/>
        <v>1.9004694835680753</v>
      </c>
      <c r="T12" s="505">
        <f t="shared" si="1"/>
        <v>-0.79034741784037565</v>
      </c>
    </row>
    <row r="13" spans="1:20" x14ac:dyDescent="0.25">
      <c r="A13" s="506">
        <f>Table!$S12+A$3</f>
        <v>-5.8460093896713605</v>
      </c>
      <c r="B13" s="506">
        <f>Table!$T12+B$3</f>
        <v>515.64157746478872</v>
      </c>
      <c r="C13" s="506">
        <f>Table!$S12+C$3</f>
        <v>9.6469483568075116</v>
      </c>
      <c r="D13" s="506">
        <f>Table!$T12+D$3</f>
        <v>515.64157746478872</v>
      </c>
      <c r="E13" s="506">
        <f>Table!$S12+E$3</f>
        <v>518.33239436619715</v>
      </c>
      <c r="F13" s="506">
        <f>Table!$T12+F$3</f>
        <v>515.64157746478872</v>
      </c>
      <c r="G13" s="506">
        <f>Table!$S12+G$3</f>
        <v>518.33239436619715</v>
      </c>
      <c r="H13" s="506">
        <f>Table!$T12+H$3</f>
        <v>515.64157746478872</v>
      </c>
      <c r="I13" s="506">
        <f>Table!$S12+I$3</f>
        <v>518.33239436619715</v>
      </c>
      <c r="J13" s="506">
        <f>Table!$T12+J$3</f>
        <v>515.64157746478872</v>
      </c>
      <c r="K13" s="506">
        <f>Table!$S12+K$3</f>
        <v>518.33239436619715</v>
      </c>
      <c r="L13" s="506">
        <f>Table!$T12+L$3</f>
        <v>515.64157746478872</v>
      </c>
      <c r="M13" s="506">
        <f>Table!$S12+M$3</f>
        <v>518.33239436619715</v>
      </c>
      <c r="N13" s="506">
        <f>Table!$T12+N$3</f>
        <v>515.64157746478872</v>
      </c>
      <c r="O13" s="506">
        <f>Table!$S12+O$3</f>
        <v>518.33239436619715</v>
      </c>
      <c r="P13" s="506">
        <f>Table!$T12+P$3</f>
        <v>515.64157746478872</v>
      </c>
      <c r="Q13" s="340">
        <v>0.70720000000000005</v>
      </c>
      <c r="R13" s="340">
        <v>-0.70720000000000005</v>
      </c>
      <c r="S13" s="505">
        <f t="shared" si="0"/>
        <v>1.4608826291079815</v>
      </c>
      <c r="T13" s="505">
        <f t="shared" si="1"/>
        <v>-1.4608826291079815</v>
      </c>
    </row>
    <row r="14" spans="1:20" x14ac:dyDescent="0.25">
      <c r="A14" s="506">
        <f>Table!$S13+A$3</f>
        <v>-6.2855962441314546</v>
      </c>
      <c r="B14" s="506">
        <f>Table!$T13+B$3</f>
        <v>514.97104225352109</v>
      </c>
      <c r="C14" s="506">
        <f>Table!$S13+C$3</f>
        <v>9.2073615023474176</v>
      </c>
      <c r="D14" s="506">
        <f>Table!$T13+D$3</f>
        <v>514.97104225352109</v>
      </c>
      <c r="E14" s="506">
        <f>Table!$S13+E$3</f>
        <v>517.89280751173715</v>
      </c>
      <c r="F14" s="506">
        <f>Table!$T13+F$3</f>
        <v>514.97104225352109</v>
      </c>
      <c r="G14" s="506">
        <f>Table!$S13+G$3</f>
        <v>517.89280751173715</v>
      </c>
      <c r="H14" s="506">
        <f>Table!$T13+H$3</f>
        <v>514.97104225352109</v>
      </c>
      <c r="I14" s="506">
        <f>Table!$S13+I$3</f>
        <v>517.89280751173715</v>
      </c>
      <c r="J14" s="506">
        <f>Table!$T13+J$3</f>
        <v>514.97104225352109</v>
      </c>
      <c r="K14" s="506">
        <f>Table!$S13+K$3</f>
        <v>517.89280751173715</v>
      </c>
      <c r="L14" s="506">
        <f>Table!$T13+L$3</f>
        <v>514.97104225352109</v>
      </c>
      <c r="M14" s="506">
        <f>Table!$S13+M$3</f>
        <v>517.89280751173715</v>
      </c>
      <c r="N14" s="506">
        <f>Table!$T13+N$3</f>
        <v>514.97104225352109</v>
      </c>
      <c r="O14" s="506">
        <f>Table!$S13+O$3</f>
        <v>517.89280751173715</v>
      </c>
      <c r="P14" s="506">
        <f>Table!$T13+P$3</f>
        <v>514.97104225352109</v>
      </c>
      <c r="Q14" s="340">
        <v>0.3826</v>
      </c>
      <c r="R14" s="340">
        <v>-0.92379999999999995</v>
      </c>
      <c r="S14" s="505">
        <f t="shared" si="0"/>
        <v>0.79034741784037565</v>
      </c>
      <c r="T14" s="505">
        <f t="shared" si="1"/>
        <v>-1.908319248826291</v>
      </c>
    </row>
    <row r="15" spans="1:20" x14ac:dyDescent="0.25">
      <c r="A15" s="506">
        <f>Table!$S14+A$3</f>
        <v>-6.9561314553990607</v>
      </c>
      <c r="B15" s="506">
        <f>Table!$T14+B$3</f>
        <v>514.52360563380284</v>
      </c>
      <c r="C15" s="506">
        <f>Table!$S14+C$3</f>
        <v>8.5368262910798123</v>
      </c>
      <c r="D15" s="506">
        <f>Table!$T14+D$3</f>
        <v>514.52360563380284</v>
      </c>
      <c r="E15" s="506">
        <f>Table!$S14+E$3</f>
        <v>517.22227230046951</v>
      </c>
      <c r="F15" s="506">
        <f>Table!$T14+F$3</f>
        <v>514.52360563380284</v>
      </c>
      <c r="G15" s="506">
        <f>Table!$S14+G$3</f>
        <v>517.22227230046951</v>
      </c>
      <c r="H15" s="506">
        <f>Table!$T14+H$3</f>
        <v>514.52360563380284</v>
      </c>
      <c r="I15" s="506">
        <f>Table!$S14+I$3</f>
        <v>517.22227230046951</v>
      </c>
      <c r="J15" s="506">
        <f>Table!$T14+J$3</f>
        <v>514.52360563380284</v>
      </c>
      <c r="K15" s="506">
        <f>Table!$S14+K$3</f>
        <v>517.22227230046951</v>
      </c>
      <c r="L15" s="506">
        <f>Table!$T14+L$3</f>
        <v>514.52360563380284</v>
      </c>
      <c r="M15" s="506">
        <f>Table!$S14+M$3</f>
        <v>517.22227230046951</v>
      </c>
      <c r="N15" s="506">
        <f>Table!$T14+N$3</f>
        <v>514.52360563380284</v>
      </c>
      <c r="O15" s="506">
        <f>Table!$S14+O$3</f>
        <v>517.22227230046951</v>
      </c>
      <c r="P15" s="506">
        <f>Table!$T14+P$3</f>
        <v>514.52360563380284</v>
      </c>
      <c r="Q15" s="340">
        <v>0</v>
      </c>
      <c r="R15" s="340">
        <v>-1</v>
      </c>
      <c r="S15" s="505">
        <f t="shared" si="0"/>
        <v>0</v>
      </c>
      <c r="T15" s="505">
        <f t="shared" si="1"/>
        <v>-2.0657276995305165</v>
      </c>
    </row>
    <row r="16" spans="1:20" x14ac:dyDescent="0.25">
      <c r="A16" s="506">
        <f>Table!$S15+A$3</f>
        <v>-7.7464788732394361</v>
      </c>
      <c r="B16" s="506">
        <f>Table!$T15+B$3</f>
        <v>514.36619718309862</v>
      </c>
      <c r="C16" s="506">
        <f>Table!$S15+C$3</f>
        <v>7.7464788732394361</v>
      </c>
      <c r="D16" s="506">
        <f>Table!$T15+D$3</f>
        <v>514.36619718309862</v>
      </c>
      <c r="E16" s="506">
        <f>Table!$S15+E$3</f>
        <v>516.43192488262912</v>
      </c>
      <c r="F16" s="506">
        <f>Table!$T15+F$3</f>
        <v>514.36619718309862</v>
      </c>
      <c r="G16" s="506">
        <f>Table!$S15+G$3</f>
        <v>516.43192488262912</v>
      </c>
      <c r="H16" s="506">
        <f>Table!$T15+H$3</f>
        <v>514.36619718309862</v>
      </c>
      <c r="I16" s="506">
        <f>Table!$S15+I$3</f>
        <v>516.43192488262912</v>
      </c>
      <c r="J16" s="506">
        <f>Table!$T15+J$3</f>
        <v>514.36619718309862</v>
      </c>
      <c r="K16" s="506">
        <f>Table!$S15+K$3</f>
        <v>516.43192488262912</v>
      </c>
      <c r="L16" s="506">
        <f>Table!$T15+L$3</f>
        <v>514.36619718309862</v>
      </c>
      <c r="M16" s="506">
        <f>Table!$S15+M$3</f>
        <v>516.43192488262912</v>
      </c>
      <c r="N16" s="506">
        <f>Table!$T15+N$3</f>
        <v>514.36619718309862</v>
      </c>
      <c r="O16" s="506">
        <f>Table!$S15+O$3</f>
        <v>516.43192488262912</v>
      </c>
      <c r="P16" s="506">
        <f>Table!$T15+P$3</f>
        <v>514.36619718309862</v>
      </c>
      <c r="Q16" s="340">
        <v>-0.3826</v>
      </c>
      <c r="R16" s="340">
        <v>-0.92379999999999995</v>
      </c>
      <c r="S16" s="505">
        <f t="shared" si="0"/>
        <v>-0.79034741784037565</v>
      </c>
      <c r="T16" s="505">
        <f t="shared" si="1"/>
        <v>-1.908319248826291</v>
      </c>
    </row>
    <row r="17" spans="1:20" x14ac:dyDescent="0.25">
      <c r="A17" s="506">
        <f>Table!$S16+A$3</f>
        <v>-8.5368262910798123</v>
      </c>
      <c r="B17" s="506">
        <f>Table!$T16+B$3</f>
        <v>514.52360563380284</v>
      </c>
      <c r="C17" s="506">
        <f>Table!$S16+C$3</f>
        <v>6.9561314553990607</v>
      </c>
      <c r="D17" s="506">
        <f>Table!$T16+D$3</f>
        <v>514.52360563380284</v>
      </c>
      <c r="E17" s="506">
        <f>Table!$S16+E$3</f>
        <v>515.64157746478872</v>
      </c>
      <c r="F17" s="506">
        <f>Table!$T16+F$3</f>
        <v>514.52360563380284</v>
      </c>
      <c r="G17" s="506">
        <f>Table!$S16+G$3</f>
        <v>515.64157746478872</v>
      </c>
      <c r="H17" s="506">
        <f>Table!$T16+H$3</f>
        <v>514.52360563380284</v>
      </c>
      <c r="I17" s="506">
        <f>Table!$S16+I$3</f>
        <v>515.64157746478872</v>
      </c>
      <c r="J17" s="506">
        <f>Table!$T16+J$3</f>
        <v>514.52360563380284</v>
      </c>
      <c r="K17" s="506">
        <f>Table!$S16+K$3</f>
        <v>515.64157746478872</v>
      </c>
      <c r="L17" s="506">
        <f>Table!$T16+L$3</f>
        <v>514.52360563380284</v>
      </c>
      <c r="M17" s="506">
        <f>Table!$S16+M$3</f>
        <v>515.64157746478872</v>
      </c>
      <c r="N17" s="506">
        <f>Table!$T16+N$3</f>
        <v>514.52360563380284</v>
      </c>
      <c r="O17" s="506">
        <f>Table!$S16+O$3</f>
        <v>515.64157746478872</v>
      </c>
      <c r="P17" s="506">
        <f>Table!$T16+P$3</f>
        <v>514.52360563380284</v>
      </c>
      <c r="Q17" s="340">
        <v>-0.70720000000000005</v>
      </c>
      <c r="R17" s="340">
        <v>-0.70720000000000005</v>
      </c>
      <c r="S17" s="505">
        <f t="shared" si="0"/>
        <v>-1.4608826291079815</v>
      </c>
      <c r="T17" s="505">
        <f t="shared" si="1"/>
        <v>-1.4608826291079815</v>
      </c>
    </row>
    <row r="18" spans="1:20" x14ac:dyDescent="0.25">
      <c r="A18" s="506">
        <f>Table!$S17+A$3</f>
        <v>-9.2073615023474176</v>
      </c>
      <c r="B18" s="506">
        <f>Table!$T17+B$3</f>
        <v>514.97104225352109</v>
      </c>
      <c r="C18" s="506">
        <f>Table!$S17+C$3</f>
        <v>6.2855962441314546</v>
      </c>
      <c r="D18" s="506">
        <f>Table!$T17+D$3</f>
        <v>514.97104225352109</v>
      </c>
      <c r="E18" s="506">
        <f>Table!$S17+E$3</f>
        <v>514.97104225352109</v>
      </c>
      <c r="F18" s="506">
        <f>Table!$T17+F$3</f>
        <v>514.97104225352109</v>
      </c>
      <c r="G18" s="506">
        <f>Table!$S17+G$3</f>
        <v>514.97104225352109</v>
      </c>
      <c r="H18" s="506">
        <f>Table!$T17+H$3</f>
        <v>514.97104225352109</v>
      </c>
      <c r="I18" s="506">
        <f>Table!$S17+I$3</f>
        <v>514.97104225352109</v>
      </c>
      <c r="J18" s="506">
        <f>Table!$T17+J$3</f>
        <v>514.97104225352109</v>
      </c>
      <c r="K18" s="506">
        <f>Table!$S17+K$3</f>
        <v>514.97104225352109</v>
      </c>
      <c r="L18" s="506">
        <f>Table!$T17+L$3</f>
        <v>514.97104225352109</v>
      </c>
      <c r="M18" s="506">
        <f>Table!$S17+M$3</f>
        <v>514.97104225352109</v>
      </c>
      <c r="N18" s="506">
        <f>Table!$T17+N$3</f>
        <v>514.97104225352109</v>
      </c>
      <c r="O18" s="506">
        <f>Table!$S17+O$3</f>
        <v>514.97104225352109</v>
      </c>
      <c r="P18" s="506">
        <f>Table!$T17+P$3</f>
        <v>514.97104225352109</v>
      </c>
      <c r="Q18" s="340">
        <v>-0.92379999999999995</v>
      </c>
      <c r="R18" s="340">
        <v>-0.3826</v>
      </c>
      <c r="S18" s="505">
        <f t="shared" si="0"/>
        <v>-1.908319248826291</v>
      </c>
      <c r="T18" s="505">
        <f t="shared" si="1"/>
        <v>-0.79034741784037565</v>
      </c>
    </row>
    <row r="19" spans="1:20" x14ac:dyDescent="0.25">
      <c r="A19" s="506">
        <f>Table!$S18+A$3</f>
        <v>-9.6547981220657277</v>
      </c>
      <c r="B19" s="506">
        <f>Table!$T18+B$3</f>
        <v>515.64157746478872</v>
      </c>
      <c r="C19" s="506">
        <f>Table!$S18+C$3</f>
        <v>5.8381596244131453</v>
      </c>
      <c r="D19" s="506">
        <f>Table!$T18+D$3</f>
        <v>515.64157746478872</v>
      </c>
      <c r="E19" s="506">
        <f>Table!$S18+E$3</f>
        <v>514.52360563380284</v>
      </c>
      <c r="F19" s="506">
        <f>Table!$T18+F$3</f>
        <v>515.64157746478872</v>
      </c>
      <c r="G19" s="506">
        <f>Table!$S18+G$3</f>
        <v>514.52360563380284</v>
      </c>
      <c r="H19" s="506">
        <f>Table!$T18+H$3</f>
        <v>515.64157746478872</v>
      </c>
      <c r="I19" s="506">
        <f>Table!$S18+I$3</f>
        <v>514.52360563380284</v>
      </c>
      <c r="J19" s="506">
        <f>Table!$T18+J$3</f>
        <v>515.64157746478872</v>
      </c>
      <c r="K19" s="506">
        <f>Table!$S18+K$3</f>
        <v>514.52360563380284</v>
      </c>
      <c r="L19" s="506">
        <f>Table!$T18+L$3</f>
        <v>515.64157746478872</v>
      </c>
      <c r="M19" s="506">
        <f>Table!$S18+M$3</f>
        <v>514.52360563380284</v>
      </c>
      <c r="N19" s="506">
        <f>Table!$T18+N$3</f>
        <v>515.64157746478872</v>
      </c>
      <c r="O19" s="506">
        <f>Table!$S18+O$3</f>
        <v>514.52360563380284</v>
      </c>
      <c r="P19" s="506">
        <f>Table!$T18+P$3</f>
        <v>515.64157746478872</v>
      </c>
      <c r="Q19" s="340">
        <v>-1</v>
      </c>
      <c r="R19" s="340">
        <v>0</v>
      </c>
      <c r="S19" s="505">
        <f t="shared" si="0"/>
        <v>-2.0657276995305165</v>
      </c>
      <c r="T19" s="505">
        <f t="shared" si="1"/>
        <v>0</v>
      </c>
    </row>
    <row r="20" spans="1:20" x14ac:dyDescent="0.25">
      <c r="A20" s="506">
        <f>Table!$S19+A$3</f>
        <v>-9.8122065727699521</v>
      </c>
      <c r="B20" s="506">
        <f>Table!$T19+B$3</f>
        <v>516.43192488262912</v>
      </c>
      <c r="C20" s="506">
        <f>Table!$S19+C$3</f>
        <v>5.68075117370892</v>
      </c>
      <c r="D20" s="506">
        <f>Table!$T19+D$3</f>
        <v>516.43192488262912</v>
      </c>
      <c r="E20" s="506">
        <f>Table!$S19+E$3</f>
        <v>514.36619718309862</v>
      </c>
      <c r="F20" s="506">
        <f>Table!$T19+F$3</f>
        <v>516.43192488262912</v>
      </c>
      <c r="G20" s="506">
        <f>Table!$S19+G$3</f>
        <v>514.36619718309862</v>
      </c>
      <c r="H20" s="506">
        <f>Table!$T19+H$3</f>
        <v>516.43192488262912</v>
      </c>
      <c r="I20" s="506">
        <f>Table!$S19+I$3</f>
        <v>514.36619718309862</v>
      </c>
      <c r="J20" s="506">
        <f>Table!$T19+J$3</f>
        <v>516.43192488262912</v>
      </c>
      <c r="K20" s="506">
        <f>Table!$S19+K$3</f>
        <v>514.36619718309862</v>
      </c>
      <c r="L20" s="506">
        <f>Table!$T19+L$3</f>
        <v>516.43192488262912</v>
      </c>
      <c r="M20" s="506">
        <f>Table!$S19+M$3</f>
        <v>514.36619718309862</v>
      </c>
      <c r="N20" s="506">
        <f>Table!$T19+N$3</f>
        <v>516.43192488262912</v>
      </c>
      <c r="O20" s="506">
        <f>Table!$S19+O$3</f>
        <v>514.36619718309862</v>
      </c>
      <c r="P20" s="506">
        <f>Table!$T19+P$3</f>
        <v>516.43192488262912</v>
      </c>
      <c r="Q20" s="504" t="s">
        <v>88</v>
      </c>
      <c r="R20" s="340"/>
      <c r="S20" s="507">
        <f>-3/2*$Q$36/$Q$35*Q21</f>
        <v>-3.0985915492957745</v>
      </c>
      <c r="T20" s="507">
        <v>0</v>
      </c>
    </row>
    <row r="21" spans="1:20" x14ac:dyDescent="0.25">
      <c r="A21" s="506">
        <f>Table!$S20+A$3</f>
        <v>-10.84507042253521</v>
      </c>
      <c r="B21" s="506">
        <f>Table!$T20+B$3</f>
        <v>516.43192488262912</v>
      </c>
      <c r="C21" s="506">
        <f>Table!$S20+C$3</f>
        <v>4.647887323943662</v>
      </c>
      <c r="D21" s="506">
        <f>Table!$T20+D$3</f>
        <v>516.43192488262912</v>
      </c>
      <c r="E21" s="506">
        <f>Table!$S20+E$3</f>
        <v>513.33333333333337</v>
      </c>
      <c r="F21" s="506">
        <f>Table!$T20+F$3</f>
        <v>516.43192488262912</v>
      </c>
      <c r="G21" s="506">
        <f>Table!$S20+G$3</f>
        <v>513.33333333333337</v>
      </c>
      <c r="H21" s="506">
        <f>Table!$T20+H$3</f>
        <v>516.43192488262912</v>
      </c>
      <c r="I21" s="506">
        <f>Table!$S20+I$3</f>
        <v>513.33333333333337</v>
      </c>
      <c r="J21" s="506">
        <f>Table!$T20+J$3</f>
        <v>516.43192488262912</v>
      </c>
      <c r="K21" s="506">
        <f>Table!$S20+K$3</f>
        <v>513.33333333333337</v>
      </c>
      <c r="L21" s="506">
        <f>Table!$T20+L$3</f>
        <v>516.43192488262912</v>
      </c>
      <c r="M21" s="506">
        <f>Table!$S20+M$3</f>
        <v>513.33333333333337</v>
      </c>
      <c r="N21" s="506">
        <f>Table!$T20+N$3</f>
        <v>516.43192488262912</v>
      </c>
      <c r="O21" s="506">
        <f>Table!$S20+O$3</f>
        <v>513.33333333333337</v>
      </c>
      <c r="P21" s="506">
        <f>Table!$T20+P$3</f>
        <v>516.43192488262912</v>
      </c>
      <c r="Q21" s="504">
        <f>0.5*'Input (1)'!I96</f>
        <v>0.4</v>
      </c>
      <c r="R21" s="340"/>
      <c r="S21" s="507">
        <f>-S20</f>
        <v>3.0985915492957745</v>
      </c>
      <c r="T21" s="507">
        <v>0</v>
      </c>
    </row>
    <row r="22" spans="1:20" x14ac:dyDescent="0.25">
      <c r="A22" s="506">
        <f>Table!$S21+A$3</f>
        <v>-4.647887323943662</v>
      </c>
      <c r="B22" s="506">
        <f>Table!$T21+B$3</f>
        <v>516.43192488262912</v>
      </c>
      <c r="C22" s="506">
        <f>Table!$S21+C$3</f>
        <v>10.84507042253521</v>
      </c>
      <c r="D22" s="506">
        <f>Table!$T21+D$3</f>
        <v>516.43192488262912</v>
      </c>
      <c r="E22" s="506">
        <f>Table!$S21+E$3</f>
        <v>519.53051643192487</v>
      </c>
      <c r="F22" s="506">
        <f>Table!$T21+F$3</f>
        <v>516.43192488262912</v>
      </c>
      <c r="G22" s="506">
        <f>Table!$S21+G$3</f>
        <v>519.53051643192487</v>
      </c>
      <c r="H22" s="506">
        <f>Table!$T21+H$3</f>
        <v>516.43192488262912</v>
      </c>
      <c r="I22" s="506">
        <f>Table!$S21+I$3</f>
        <v>519.53051643192487</v>
      </c>
      <c r="J22" s="506">
        <f>Table!$T21+J$3</f>
        <v>516.43192488262912</v>
      </c>
      <c r="K22" s="506">
        <f>Table!$S21+K$3</f>
        <v>519.53051643192487</v>
      </c>
      <c r="L22" s="506">
        <f>Table!$T21+L$3</f>
        <v>516.43192488262912</v>
      </c>
      <c r="M22" s="506">
        <f>Table!$S21+M$3</f>
        <v>519.53051643192487</v>
      </c>
      <c r="N22" s="506">
        <f>Table!$T21+N$3</f>
        <v>516.43192488262912</v>
      </c>
      <c r="O22" s="506">
        <f>Table!$S21+O$3</f>
        <v>519.53051643192487</v>
      </c>
      <c r="P22" s="506">
        <f>Table!$T21+P$3</f>
        <v>516.43192488262912</v>
      </c>
      <c r="Q22" s="340"/>
      <c r="R22" s="340"/>
      <c r="S22" s="507">
        <v>0</v>
      </c>
      <c r="T22" s="507">
        <f>S20</f>
        <v>-3.0985915492957745</v>
      </c>
    </row>
    <row r="23" spans="1:20" x14ac:dyDescent="0.25">
      <c r="A23" s="506">
        <f>Table!$S22+A$3</f>
        <v>-7.7464788732394361</v>
      </c>
      <c r="B23" s="506">
        <f>Table!$T22+B$3</f>
        <v>513.33333333333337</v>
      </c>
      <c r="C23" s="506">
        <f>Table!$S22+C$3</f>
        <v>7.7464788732394361</v>
      </c>
      <c r="D23" s="506">
        <f>Table!$T22+D$3</f>
        <v>513.33333333333337</v>
      </c>
      <c r="E23" s="506">
        <f>Table!$S22+E$3</f>
        <v>516.43192488262912</v>
      </c>
      <c r="F23" s="506">
        <f>Table!$T22+F$3</f>
        <v>513.33333333333337</v>
      </c>
      <c r="G23" s="506">
        <f>Table!$S22+G$3</f>
        <v>516.43192488262912</v>
      </c>
      <c r="H23" s="506">
        <f>Table!$T22+H$3</f>
        <v>513.33333333333337</v>
      </c>
      <c r="I23" s="506">
        <f>Table!$S22+I$3</f>
        <v>516.43192488262912</v>
      </c>
      <c r="J23" s="506">
        <f>Table!$T22+J$3</f>
        <v>513.33333333333337</v>
      </c>
      <c r="K23" s="506">
        <f>Table!$S22+K$3</f>
        <v>516.43192488262912</v>
      </c>
      <c r="L23" s="506">
        <f>Table!$T22+L$3</f>
        <v>513.33333333333337</v>
      </c>
      <c r="M23" s="506">
        <f>Table!$S22+M$3</f>
        <v>516.43192488262912</v>
      </c>
      <c r="N23" s="506">
        <f>Table!$T22+N$3</f>
        <v>513.33333333333337</v>
      </c>
      <c r="O23" s="506">
        <f>Table!$S22+O$3</f>
        <v>516.43192488262912</v>
      </c>
      <c r="P23" s="506">
        <f>Table!$T22+P$3</f>
        <v>513.33333333333337</v>
      </c>
      <c r="Q23" s="340"/>
      <c r="R23" s="340"/>
      <c r="S23" s="507">
        <v>0</v>
      </c>
      <c r="T23" s="507">
        <f>S21</f>
        <v>3.0985915492957745</v>
      </c>
    </row>
    <row r="24" spans="1:20" x14ac:dyDescent="0.25">
      <c r="A24" s="506">
        <f>Table!$S23+A$3</f>
        <v>-7.7464788732394361</v>
      </c>
      <c r="B24" s="506">
        <f>Table!$T23+B$3</f>
        <v>519.53051643192487</v>
      </c>
      <c r="C24" s="506">
        <f>Table!$S23+C$3</f>
        <v>7.7464788732394361</v>
      </c>
      <c r="D24" s="506">
        <f>Table!$T23+D$3</f>
        <v>519.53051643192487</v>
      </c>
      <c r="E24" s="506">
        <f>Table!$S23+E$3</f>
        <v>516.43192488262912</v>
      </c>
      <c r="F24" s="506">
        <f>Table!$T23+F$3</f>
        <v>519.53051643192487</v>
      </c>
      <c r="G24" s="506">
        <f>Table!$S23+G$3</f>
        <v>516.43192488262912</v>
      </c>
      <c r="H24" s="506">
        <f>Table!$T23+H$3</f>
        <v>519.53051643192487</v>
      </c>
      <c r="I24" s="506">
        <f>Table!$S23+I$3</f>
        <v>516.43192488262912</v>
      </c>
      <c r="J24" s="506">
        <f>Table!$T23+J$3</f>
        <v>519.53051643192487</v>
      </c>
      <c r="K24" s="506">
        <f>Table!$S23+K$3</f>
        <v>516.43192488262912</v>
      </c>
      <c r="L24" s="506">
        <f>Table!$T23+L$3</f>
        <v>519.53051643192487</v>
      </c>
      <c r="M24" s="506">
        <f>Table!$S23+M$3</f>
        <v>516.43192488262912</v>
      </c>
      <c r="N24" s="506">
        <f>Table!$T23+N$3</f>
        <v>519.53051643192487</v>
      </c>
      <c r="O24" s="506">
        <f>Table!$S23+O$3</f>
        <v>516.43192488262912</v>
      </c>
      <c r="P24" s="506">
        <f>Table!$T23+P$3</f>
        <v>519.53051643192487</v>
      </c>
      <c r="Q24" s="569" t="s">
        <v>994</v>
      </c>
      <c r="R24" s="569"/>
      <c r="S24" s="569"/>
      <c r="T24" s="569"/>
    </row>
    <row r="25" spans="1:20" x14ac:dyDescent="0.25">
      <c r="A25" s="502" t="s">
        <v>995</v>
      </c>
      <c r="B25" s="502" t="s">
        <v>1009</v>
      </c>
      <c r="C25" s="502" t="s">
        <v>997</v>
      </c>
      <c r="D25" s="502" t="s">
        <v>1009</v>
      </c>
      <c r="E25" s="502" t="s">
        <v>998</v>
      </c>
      <c r="F25" s="502" t="s">
        <v>1009</v>
      </c>
      <c r="G25" s="502" t="s">
        <v>999</v>
      </c>
      <c r="H25" s="502" t="s">
        <v>1009</v>
      </c>
      <c r="I25" s="502" t="s">
        <v>1000</v>
      </c>
      <c r="J25" s="502" t="s">
        <v>1009</v>
      </c>
      <c r="K25" s="502" t="s">
        <v>1001</v>
      </c>
      <c r="L25" s="502" t="s">
        <v>1009</v>
      </c>
      <c r="M25" s="502" t="s">
        <v>1002</v>
      </c>
      <c r="N25" s="502" t="s">
        <v>1009</v>
      </c>
      <c r="O25" s="502" t="s">
        <v>1003</v>
      </c>
      <c r="P25" s="502" t="s">
        <v>1009</v>
      </c>
      <c r="Q25" s="302" t="s">
        <v>988</v>
      </c>
      <c r="R25" s="302" t="s">
        <v>989</v>
      </c>
      <c r="S25" s="302" t="s">
        <v>1012</v>
      </c>
      <c r="T25" s="302" t="s">
        <v>1013</v>
      </c>
    </row>
    <row r="26" spans="1:20" x14ac:dyDescent="0.25">
      <c r="A26" s="502" t="s">
        <v>72</v>
      </c>
      <c r="B26" s="502" t="s">
        <v>71</v>
      </c>
      <c r="C26" s="502" t="s">
        <v>72</v>
      </c>
      <c r="D26" s="502" t="s">
        <v>71</v>
      </c>
      <c r="E26" s="502" t="s">
        <v>72</v>
      </c>
      <c r="F26" s="502" t="s">
        <v>71</v>
      </c>
      <c r="G26" s="502" t="s">
        <v>72</v>
      </c>
      <c r="H26" s="502" t="s">
        <v>71</v>
      </c>
      <c r="I26" s="502" t="s">
        <v>72</v>
      </c>
      <c r="J26" s="502" t="s">
        <v>71</v>
      </c>
      <c r="K26" s="502" t="s">
        <v>72</v>
      </c>
      <c r="L26" s="502" t="s">
        <v>71</v>
      </c>
      <c r="M26" s="502" t="s">
        <v>72</v>
      </c>
      <c r="N26" s="502" t="s">
        <v>71</v>
      </c>
      <c r="O26" s="502" t="s">
        <v>72</v>
      </c>
      <c r="P26" s="502" t="s">
        <v>71</v>
      </c>
      <c r="Q26" s="508">
        <f>-0.5*'Input (1)'!M104</f>
        <v>-3.5</v>
      </c>
      <c r="R26" s="508">
        <f>-0.5*'Input (1)'!M105</f>
        <v>-8.65</v>
      </c>
      <c r="S26" s="508">
        <f t="shared" ref="S26:S34" si="2">$Q$36/$Q$35*Q26</f>
        <v>-18.07511737089202</v>
      </c>
      <c r="T26" s="508">
        <f t="shared" ref="T26:T34" si="3">$Q$36/$Q$35*R26</f>
        <v>-44.671361502347416</v>
      </c>
    </row>
    <row r="27" spans="1:20" x14ac:dyDescent="0.25">
      <c r="A27" s="502">
        <f>A51</f>
        <v>-7.7464788732394361</v>
      </c>
      <c r="B27" s="502">
        <f>Table!$Q$36/Table!$Q$35*IF('Process (2)'!D62="",100,'Process (2)'!D62)</f>
        <v>516.43192488262912</v>
      </c>
      <c r="C27" s="502">
        <f>C51</f>
        <v>7.7464788732394361</v>
      </c>
      <c r="D27" s="502">
        <f>B27</f>
        <v>516.43192488262912</v>
      </c>
      <c r="E27" s="502">
        <f>E51</f>
        <v>516.43192488262912</v>
      </c>
      <c r="F27" s="502">
        <f>D27</f>
        <v>516.43192488262912</v>
      </c>
      <c r="G27" s="502">
        <f>G51</f>
        <v>516.43192488262912</v>
      </c>
      <c r="H27" s="502">
        <f>F27</f>
        <v>516.43192488262912</v>
      </c>
      <c r="I27" s="502">
        <f>I51</f>
        <v>516.43192488262912</v>
      </c>
      <c r="J27" s="502">
        <f>H27</f>
        <v>516.43192488262912</v>
      </c>
      <c r="K27" s="502">
        <f>K51</f>
        <v>516.43192488262912</v>
      </c>
      <c r="L27" s="502">
        <f>J27</f>
        <v>516.43192488262912</v>
      </c>
      <c r="M27" s="502">
        <f>M51</f>
        <v>516.43192488262912</v>
      </c>
      <c r="N27" s="502">
        <f>L27</f>
        <v>516.43192488262912</v>
      </c>
      <c r="O27" s="502">
        <f>O51</f>
        <v>516.43192488262912</v>
      </c>
      <c r="P27" s="502">
        <f>N27</f>
        <v>516.43192488262912</v>
      </c>
      <c r="Q27" s="340">
        <f>Q26</f>
        <v>-3.5</v>
      </c>
      <c r="R27" s="340">
        <f>0.5*'Input (1)'!M105</f>
        <v>8.65</v>
      </c>
      <c r="S27" s="508">
        <f t="shared" si="2"/>
        <v>-18.07511737089202</v>
      </c>
      <c r="T27" s="508">
        <f t="shared" si="3"/>
        <v>44.671361502347416</v>
      </c>
    </row>
    <row r="28" spans="1:20" x14ac:dyDescent="0.25">
      <c r="A28" s="506">
        <f>Table!$S3+A$27</f>
        <v>-9.8122065727699521</v>
      </c>
      <c r="B28" s="506">
        <f>Table!$T3+B$27</f>
        <v>516.43192488262912</v>
      </c>
      <c r="C28" s="506">
        <f>Table!$S3+C$27</f>
        <v>5.68075117370892</v>
      </c>
      <c r="D28" s="506">
        <f>Table!$T3+D$27</f>
        <v>516.43192488262912</v>
      </c>
      <c r="E28" s="506">
        <f>Table!$S3+E$27</f>
        <v>514.36619718309862</v>
      </c>
      <c r="F28" s="506">
        <f>Table!$T3+F$27</f>
        <v>516.43192488262912</v>
      </c>
      <c r="G28" s="506">
        <f>Table!$S3+G$27</f>
        <v>514.36619718309862</v>
      </c>
      <c r="H28" s="506">
        <f>Table!$T3+H$27</f>
        <v>516.43192488262912</v>
      </c>
      <c r="I28" s="506">
        <f>Table!$S3+I$27</f>
        <v>514.36619718309862</v>
      </c>
      <c r="J28" s="506">
        <f>Table!$T3+J$27</f>
        <v>516.43192488262912</v>
      </c>
      <c r="K28" s="506">
        <f>Table!$S3+K$27</f>
        <v>514.36619718309862</v>
      </c>
      <c r="L28" s="506">
        <f>Table!$T3+L$27</f>
        <v>516.43192488262912</v>
      </c>
      <c r="M28" s="506">
        <f>Table!$S3+M$27</f>
        <v>514.36619718309862</v>
      </c>
      <c r="N28" s="506">
        <f>Table!$T3+N$27</f>
        <v>516.43192488262912</v>
      </c>
      <c r="O28" s="506">
        <f>Table!$S3+O$27</f>
        <v>514.36619718309862</v>
      </c>
      <c r="P28" s="506">
        <f>Table!$T3+P$27</f>
        <v>516.43192488262912</v>
      </c>
      <c r="Q28" s="340">
        <f>0.5*'Input (1)'!M104</f>
        <v>3.5</v>
      </c>
      <c r="R28" s="340">
        <f>R27</f>
        <v>8.65</v>
      </c>
      <c r="S28" s="508">
        <f t="shared" si="2"/>
        <v>18.07511737089202</v>
      </c>
      <c r="T28" s="508">
        <f t="shared" si="3"/>
        <v>44.671361502347416</v>
      </c>
    </row>
    <row r="29" spans="1:20" x14ac:dyDescent="0.25">
      <c r="A29" s="506">
        <f>Table!$S4+A$27</f>
        <v>-9.6547981220657277</v>
      </c>
      <c r="B29" s="506">
        <f>Table!$T4+B$27</f>
        <v>517.22227230046951</v>
      </c>
      <c r="C29" s="506">
        <f>Table!$S4+C$27</f>
        <v>5.8381596244131453</v>
      </c>
      <c r="D29" s="506">
        <f>Table!$T4+D$27</f>
        <v>517.22227230046951</v>
      </c>
      <c r="E29" s="506">
        <f>Table!$S4+E$27</f>
        <v>514.52360563380284</v>
      </c>
      <c r="F29" s="506">
        <f>Table!$T4+F$27</f>
        <v>517.22227230046951</v>
      </c>
      <c r="G29" s="506">
        <f>Table!$S4+G$27</f>
        <v>514.52360563380284</v>
      </c>
      <c r="H29" s="506">
        <f>Table!$T4+H$27</f>
        <v>517.22227230046951</v>
      </c>
      <c r="I29" s="506">
        <f>Table!$S4+I$27</f>
        <v>514.52360563380284</v>
      </c>
      <c r="J29" s="506">
        <f>Table!$T4+J$27</f>
        <v>517.22227230046951</v>
      </c>
      <c r="K29" s="506">
        <f>Table!$S4+K$27</f>
        <v>514.52360563380284</v>
      </c>
      <c r="L29" s="506">
        <f>Table!$T4+L$27</f>
        <v>517.22227230046951</v>
      </c>
      <c r="M29" s="506">
        <f>Table!$S4+M$27</f>
        <v>514.52360563380284</v>
      </c>
      <c r="N29" s="506">
        <f>Table!$T4+N$27</f>
        <v>517.22227230046951</v>
      </c>
      <c r="O29" s="506">
        <f>Table!$S4+O$27</f>
        <v>514.52360563380284</v>
      </c>
      <c r="P29" s="506">
        <f>Table!$T4+P$27</f>
        <v>517.22227230046951</v>
      </c>
      <c r="Q29" s="515">
        <f>Q28</f>
        <v>3.5</v>
      </c>
      <c r="R29" s="515">
        <f>R26</f>
        <v>-8.65</v>
      </c>
      <c r="S29" s="516">
        <f t="shared" si="2"/>
        <v>18.07511737089202</v>
      </c>
      <c r="T29" s="516">
        <f t="shared" si="3"/>
        <v>-44.671361502347416</v>
      </c>
    </row>
    <row r="30" spans="1:20" x14ac:dyDescent="0.25">
      <c r="A30" s="506">
        <f>Table!$S5+A$27</f>
        <v>-9.2073615023474176</v>
      </c>
      <c r="B30" s="506">
        <f>Table!$T5+B$27</f>
        <v>517.89280751173715</v>
      </c>
      <c r="C30" s="506">
        <f>Table!$S5+C$27</f>
        <v>6.2855962441314546</v>
      </c>
      <c r="D30" s="506">
        <f>Table!$T5+D$27</f>
        <v>517.89280751173715</v>
      </c>
      <c r="E30" s="506">
        <f>Table!$S5+E$27</f>
        <v>514.97104225352109</v>
      </c>
      <c r="F30" s="506">
        <f>Table!$T5+F$27</f>
        <v>517.89280751173715</v>
      </c>
      <c r="G30" s="506">
        <f>Table!$S5+G$27</f>
        <v>514.97104225352109</v>
      </c>
      <c r="H30" s="506">
        <f>Table!$T5+H$27</f>
        <v>517.89280751173715</v>
      </c>
      <c r="I30" s="506">
        <f>Table!$S5+I$27</f>
        <v>514.97104225352109</v>
      </c>
      <c r="J30" s="506">
        <f>Table!$T5+J$27</f>
        <v>517.89280751173715</v>
      </c>
      <c r="K30" s="506">
        <f>Table!$S5+K$27</f>
        <v>514.97104225352109</v>
      </c>
      <c r="L30" s="506">
        <f>Table!$T5+L$27</f>
        <v>517.89280751173715</v>
      </c>
      <c r="M30" s="506">
        <f>Table!$S5+M$27</f>
        <v>514.97104225352109</v>
      </c>
      <c r="N30" s="506">
        <f>Table!$T5+N$27</f>
        <v>517.89280751173715</v>
      </c>
      <c r="O30" s="506">
        <f>Table!$S5+O$27</f>
        <v>514.97104225352109</v>
      </c>
      <c r="P30" s="506">
        <f>Table!$T5+P$27</f>
        <v>517.89280751173715</v>
      </c>
      <c r="Q30" s="340">
        <f>Q27</f>
        <v>-3.5</v>
      </c>
      <c r="R30" s="340">
        <f>R29</f>
        <v>-8.65</v>
      </c>
      <c r="S30" s="508">
        <f t="shared" si="2"/>
        <v>-18.07511737089202</v>
      </c>
      <c r="T30" s="508">
        <f t="shared" si="3"/>
        <v>-44.671361502347416</v>
      </c>
    </row>
    <row r="31" spans="1:20" x14ac:dyDescent="0.25">
      <c r="A31" s="506">
        <f>Table!$S6+A$27</f>
        <v>-8.5368262910798123</v>
      </c>
      <c r="B31" s="506">
        <f>Table!$T6+B$27</f>
        <v>518.34024413145539</v>
      </c>
      <c r="C31" s="506">
        <f>Table!$S6+C$27</f>
        <v>6.9561314553990607</v>
      </c>
      <c r="D31" s="506">
        <f>Table!$T6+D$27</f>
        <v>518.34024413145539</v>
      </c>
      <c r="E31" s="506">
        <f>Table!$S6+E$27</f>
        <v>515.64157746478872</v>
      </c>
      <c r="F31" s="506">
        <f>Table!$T6+F$27</f>
        <v>518.34024413145539</v>
      </c>
      <c r="G31" s="506">
        <f>Table!$S6+G$27</f>
        <v>515.64157746478872</v>
      </c>
      <c r="H31" s="506">
        <f>Table!$T6+H$27</f>
        <v>518.34024413145539</v>
      </c>
      <c r="I31" s="506">
        <f>Table!$S6+I$27</f>
        <v>515.64157746478872</v>
      </c>
      <c r="J31" s="506">
        <f>Table!$T6+J$27</f>
        <v>518.34024413145539</v>
      </c>
      <c r="K31" s="506">
        <f>Table!$S6+K$27</f>
        <v>515.64157746478872</v>
      </c>
      <c r="L31" s="506">
        <f>Table!$T6+L$27</f>
        <v>518.34024413145539</v>
      </c>
      <c r="M31" s="506">
        <f>Table!$S6+M$27</f>
        <v>515.64157746478872</v>
      </c>
      <c r="N31" s="506">
        <f>Table!$T6+N$27</f>
        <v>518.34024413145539</v>
      </c>
      <c r="O31" s="506">
        <f>Table!$S6+O$27</f>
        <v>515.64157746478872</v>
      </c>
      <c r="P31" s="506">
        <f>Table!$T6+P$27</f>
        <v>518.34024413145539</v>
      </c>
      <c r="Q31" s="340">
        <f>-2+Q30</f>
        <v>-5.5</v>
      </c>
      <c r="R31" s="508">
        <v>0</v>
      </c>
      <c r="S31" s="508">
        <f t="shared" si="2"/>
        <v>-28.4037558685446</v>
      </c>
      <c r="T31" s="508">
        <f t="shared" si="3"/>
        <v>0</v>
      </c>
    </row>
    <row r="32" spans="1:20" x14ac:dyDescent="0.25">
      <c r="A32" s="506">
        <f>Table!$S7+A$27</f>
        <v>-7.7464788732394361</v>
      </c>
      <c r="B32" s="506">
        <f>Table!$T7+B$27</f>
        <v>518.49765258215962</v>
      </c>
      <c r="C32" s="506">
        <f>Table!$S7+C$27</f>
        <v>7.7464788732394361</v>
      </c>
      <c r="D32" s="506">
        <f>Table!$T7+D$27</f>
        <v>518.49765258215962</v>
      </c>
      <c r="E32" s="506">
        <f>Table!$S7+E$27</f>
        <v>516.43192488262912</v>
      </c>
      <c r="F32" s="506">
        <f>Table!$T7+F$27</f>
        <v>518.49765258215962</v>
      </c>
      <c r="G32" s="506">
        <f>Table!$S7+G$27</f>
        <v>516.43192488262912</v>
      </c>
      <c r="H32" s="506">
        <f>Table!$T7+H$27</f>
        <v>518.49765258215962</v>
      </c>
      <c r="I32" s="506">
        <f>Table!$S7+I$27</f>
        <v>516.43192488262912</v>
      </c>
      <c r="J32" s="506">
        <f>Table!$T7+J$27</f>
        <v>518.49765258215962</v>
      </c>
      <c r="K32" s="506">
        <f>Table!$S7+K$27</f>
        <v>516.43192488262912</v>
      </c>
      <c r="L32" s="506">
        <f>Table!$T7+L$27</f>
        <v>518.49765258215962</v>
      </c>
      <c r="M32" s="506">
        <f>Table!$S7+M$27</f>
        <v>516.43192488262912</v>
      </c>
      <c r="N32" s="506">
        <f>Table!$T7+N$27</f>
        <v>518.49765258215962</v>
      </c>
      <c r="O32" s="506">
        <f>Table!$S7+O$27</f>
        <v>516.43192488262912</v>
      </c>
      <c r="P32" s="506">
        <f>Table!$T7+P$27</f>
        <v>518.49765258215962</v>
      </c>
      <c r="Q32" s="340">
        <f>-Q31</f>
        <v>5.5</v>
      </c>
      <c r="R32" s="340">
        <v>0</v>
      </c>
      <c r="S32" s="508">
        <f t="shared" si="2"/>
        <v>28.4037558685446</v>
      </c>
      <c r="T32" s="508">
        <f t="shared" si="3"/>
        <v>0</v>
      </c>
    </row>
    <row r="33" spans="1:25" x14ac:dyDescent="0.25">
      <c r="A33" s="506">
        <f>Table!$S8+A$27</f>
        <v>-6.9561314553990607</v>
      </c>
      <c r="B33" s="506">
        <f>Table!$T8+B$27</f>
        <v>518.34024413145539</v>
      </c>
      <c r="C33" s="506">
        <f>Table!$S8+C$27</f>
        <v>8.5368262910798123</v>
      </c>
      <c r="D33" s="506">
        <f>Table!$T8+D$27</f>
        <v>518.34024413145539</v>
      </c>
      <c r="E33" s="506">
        <f>Table!$S8+E$27</f>
        <v>517.22227230046951</v>
      </c>
      <c r="F33" s="506">
        <f>Table!$T8+F$27</f>
        <v>518.34024413145539</v>
      </c>
      <c r="G33" s="506">
        <f>Table!$S8+G$27</f>
        <v>517.22227230046951</v>
      </c>
      <c r="H33" s="506">
        <f>Table!$T8+H$27</f>
        <v>518.34024413145539</v>
      </c>
      <c r="I33" s="506">
        <f>Table!$S8+I$27</f>
        <v>517.22227230046951</v>
      </c>
      <c r="J33" s="506">
        <f>Table!$T8+J$27</f>
        <v>518.34024413145539</v>
      </c>
      <c r="K33" s="506">
        <f>Table!$S8+K$27</f>
        <v>517.22227230046951</v>
      </c>
      <c r="L33" s="506">
        <f>Table!$T8+L$27</f>
        <v>518.34024413145539</v>
      </c>
      <c r="M33" s="506">
        <f>Table!$S8+M$27</f>
        <v>517.22227230046951</v>
      </c>
      <c r="N33" s="506">
        <f>Table!$T8+N$27</f>
        <v>518.34024413145539</v>
      </c>
      <c r="O33" s="506">
        <f>Table!$S8+O$27</f>
        <v>517.22227230046951</v>
      </c>
      <c r="P33" s="506">
        <f>Table!$T8+P$27</f>
        <v>518.34024413145539</v>
      </c>
      <c r="Q33" s="504">
        <f>0</f>
        <v>0</v>
      </c>
      <c r="R33" s="340">
        <f>-2+R26</f>
        <v>-10.65</v>
      </c>
      <c r="S33" s="508">
        <f t="shared" si="2"/>
        <v>0</v>
      </c>
      <c r="T33" s="508">
        <f t="shared" si="3"/>
        <v>-55</v>
      </c>
    </row>
    <row r="34" spans="1:25" x14ac:dyDescent="0.25">
      <c r="A34" s="506">
        <f>Table!$S9+A$27</f>
        <v>-6.2855962441314546</v>
      </c>
      <c r="B34" s="506">
        <f>Table!$T9+B$27</f>
        <v>517.89280751173715</v>
      </c>
      <c r="C34" s="506">
        <f>Table!$S9+C$27</f>
        <v>9.2073615023474176</v>
      </c>
      <c r="D34" s="506">
        <f>Table!$T9+D$27</f>
        <v>517.89280751173715</v>
      </c>
      <c r="E34" s="506">
        <f>Table!$S9+E$27</f>
        <v>517.89280751173715</v>
      </c>
      <c r="F34" s="506">
        <f>Table!$T9+F$27</f>
        <v>517.89280751173715</v>
      </c>
      <c r="G34" s="506">
        <f>Table!$S9+G$27</f>
        <v>517.89280751173715</v>
      </c>
      <c r="H34" s="506">
        <f>Table!$T9+H$27</f>
        <v>517.89280751173715</v>
      </c>
      <c r="I34" s="506">
        <f>Table!$S9+I$27</f>
        <v>517.89280751173715</v>
      </c>
      <c r="J34" s="506">
        <f>Table!$T9+J$27</f>
        <v>517.89280751173715</v>
      </c>
      <c r="K34" s="506">
        <f>Table!$S9+K$27</f>
        <v>517.89280751173715</v>
      </c>
      <c r="L34" s="506">
        <f>Table!$T9+L$27</f>
        <v>517.89280751173715</v>
      </c>
      <c r="M34" s="506">
        <f>Table!$S9+M$27</f>
        <v>517.89280751173715</v>
      </c>
      <c r="N34" s="506">
        <f>Table!$T9+N$27</f>
        <v>517.89280751173715</v>
      </c>
      <c r="O34" s="506">
        <f>Table!$S9+O$27</f>
        <v>517.89280751173715</v>
      </c>
      <c r="P34" s="506">
        <f>Table!$T9+P$27</f>
        <v>517.89280751173715</v>
      </c>
      <c r="Q34" s="302">
        <v>0</v>
      </c>
      <c r="R34" s="508">
        <f>-R33</f>
        <v>10.65</v>
      </c>
      <c r="S34" s="508">
        <f t="shared" si="2"/>
        <v>0</v>
      </c>
      <c r="T34" s="508">
        <f t="shared" si="3"/>
        <v>55</v>
      </c>
    </row>
    <row r="35" spans="1:25" x14ac:dyDescent="0.25">
      <c r="A35" s="506">
        <f>Table!$S10+A$27</f>
        <v>-5.8460093896713605</v>
      </c>
      <c r="B35" s="506">
        <f>Table!$T10+B$27</f>
        <v>517.22227230046951</v>
      </c>
      <c r="C35" s="506">
        <f>Table!$S10+C$27</f>
        <v>9.6469483568075116</v>
      </c>
      <c r="D35" s="506">
        <f>Table!$T10+D$27</f>
        <v>517.22227230046951</v>
      </c>
      <c r="E35" s="506">
        <f>Table!$S10+E$27</f>
        <v>518.33239436619715</v>
      </c>
      <c r="F35" s="506">
        <f>Table!$T10+F$27</f>
        <v>517.22227230046951</v>
      </c>
      <c r="G35" s="506">
        <f>Table!$S10+G$27</f>
        <v>518.33239436619715</v>
      </c>
      <c r="H35" s="506">
        <f>Table!$T10+H$27</f>
        <v>517.22227230046951</v>
      </c>
      <c r="I35" s="506">
        <f>Table!$S10+I$27</f>
        <v>518.33239436619715</v>
      </c>
      <c r="J35" s="506">
        <f>Table!$T10+J$27</f>
        <v>517.22227230046951</v>
      </c>
      <c r="K35" s="506">
        <f>Table!$S10+K$27</f>
        <v>518.33239436619715</v>
      </c>
      <c r="L35" s="506">
        <f>Table!$T10+L$27</f>
        <v>517.22227230046951</v>
      </c>
      <c r="M35" s="506">
        <f>Table!$S10+M$27</f>
        <v>518.33239436619715</v>
      </c>
      <c r="N35" s="506">
        <f>Table!$T10+N$27</f>
        <v>517.22227230046951</v>
      </c>
      <c r="O35" s="506">
        <f>Table!$S10+O$27</f>
        <v>518.33239436619715</v>
      </c>
      <c r="P35" s="506">
        <f>Table!$T10+P$27</f>
        <v>517.22227230046951</v>
      </c>
      <c r="Q35" s="340">
        <f>MAX(Q26:R34,ABS(MIN(Q26:R34)))</f>
        <v>10.65</v>
      </c>
      <c r="R35" s="509"/>
      <c r="S35" s="509"/>
      <c r="T35" s="509"/>
    </row>
    <row r="36" spans="1:25" x14ac:dyDescent="0.25">
      <c r="A36" s="506">
        <f>Table!$S11+A$27</f>
        <v>-5.68075117370892</v>
      </c>
      <c r="B36" s="506">
        <f>Table!$T11+B$27</f>
        <v>516.43192488262912</v>
      </c>
      <c r="C36" s="506">
        <f>Table!$S11+C$27</f>
        <v>9.8122065727699521</v>
      </c>
      <c r="D36" s="506">
        <f>Table!$T11+D$27</f>
        <v>516.43192488262912</v>
      </c>
      <c r="E36" s="506">
        <f>Table!$S11+E$27</f>
        <v>518.49765258215962</v>
      </c>
      <c r="F36" s="506">
        <f>Table!$T11+F$27</f>
        <v>516.43192488262912</v>
      </c>
      <c r="G36" s="506">
        <f>Table!$S11+G$27</f>
        <v>518.49765258215962</v>
      </c>
      <c r="H36" s="506">
        <f>Table!$T11+H$27</f>
        <v>516.43192488262912</v>
      </c>
      <c r="I36" s="506">
        <f>Table!$S11+I$27</f>
        <v>518.49765258215962</v>
      </c>
      <c r="J36" s="506">
        <f>Table!$T11+J$27</f>
        <v>516.43192488262912</v>
      </c>
      <c r="K36" s="506">
        <f>Table!$S11+K$27</f>
        <v>518.49765258215962</v>
      </c>
      <c r="L36" s="506">
        <f>Table!$T11+L$27</f>
        <v>516.43192488262912</v>
      </c>
      <c r="M36" s="506">
        <f>Table!$S11+M$27</f>
        <v>518.49765258215962</v>
      </c>
      <c r="N36" s="506">
        <f>Table!$T11+N$27</f>
        <v>516.43192488262912</v>
      </c>
      <c r="O36" s="506">
        <f>Table!$S11+O$27</f>
        <v>518.49765258215962</v>
      </c>
      <c r="P36" s="506">
        <f>Table!$T11+P$27</f>
        <v>516.43192488262912</v>
      </c>
      <c r="Q36" s="340">
        <v>55</v>
      </c>
      <c r="R36" s="509"/>
      <c r="S36" s="509"/>
      <c r="T36" s="509"/>
    </row>
    <row r="37" spans="1:25" x14ac:dyDescent="0.25">
      <c r="A37" s="506">
        <f>Table!$S12+A$27</f>
        <v>-5.8460093896713605</v>
      </c>
      <c r="B37" s="506">
        <f>Table!$T12+B$27</f>
        <v>515.64157746478872</v>
      </c>
      <c r="C37" s="506">
        <f>Table!$S12+C$27</f>
        <v>9.6469483568075116</v>
      </c>
      <c r="D37" s="506">
        <f>Table!$T12+D$27</f>
        <v>515.64157746478872</v>
      </c>
      <c r="E37" s="506">
        <f>Table!$S12+E$27</f>
        <v>518.33239436619715</v>
      </c>
      <c r="F37" s="506">
        <f>Table!$T12+F$27</f>
        <v>515.64157746478872</v>
      </c>
      <c r="G37" s="506">
        <f>Table!$S12+G$27</f>
        <v>518.33239436619715</v>
      </c>
      <c r="H37" s="506">
        <f>Table!$T12+H$27</f>
        <v>515.64157746478872</v>
      </c>
      <c r="I37" s="506">
        <f>Table!$S12+I$27</f>
        <v>518.33239436619715</v>
      </c>
      <c r="J37" s="506">
        <f>Table!$T12+J$27</f>
        <v>515.64157746478872</v>
      </c>
      <c r="K37" s="506">
        <f>Table!$S12+K$27</f>
        <v>518.33239436619715</v>
      </c>
      <c r="L37" s="506">
        <f>Table!$T12+L$27</f>
        <v>515.64157746478872</v>
      </c>
      <c r="M37" s="506">
        <f>Table!$S12+M$27</f>
        <v>518.33239436619715</v>
      </c>
      <c r="N37" s="506">
        <f>Table!$T12+N$27</f>
        <v>515.64157746478872</v>
      </c>
      <c r="O37" s="506">
        <f>Table!$S12+O$27</f>
        <v>518.33239436619715</v>
      </c>
      <c r="P37" s="506">
        <f>Table!$T12+P$27</f>
        <v>515.64157746478872</v>
      </c>
      <c r="Q37" s="545"/>
      <c r="R37" s="512">
        <f>MAX(R39:R59)</f>
        <v>8.3999999999999986</v>
      </c>
      <c r="S37" s="512">
        <f>MAX(S39:S59)</f>
        <v>17.3</v>
      </c>
      <c r="T37" s="513">
        <v>55</v>
      </c>
      <c r="U37" s="512">
        <f>MAX(R39:S59)</f>
        <v>17.3</v>
      </c>
      <c r="V37" s="545"/>
      <c r="W37" s="545"/>
      <c r="X37" s="545"/>
      <c r="Y37" s="545"/>
    </row>
    <row r="38" spans="1:25" x14ac:dyDescent="0.25">
      <c r="A38" s="506">
        <f>Table!$S13+A$27</f>
        <v>-6.2855962441314546</v>
      </c>
      <c r="B38" s="506">
        <f>Table!$T13+B$27</f>
        <v>514.97104225352109</v>
      </c>
      <c r="C38" s="506">
        <f>Table!$S13+C$27</f>
        <v>9.2073615023474176</v>
      </c>
      <c r="D38" s="506">
        <f>Table!$T13+D$27</f>
        <v>514.97104225352109</v>
      </c>
      <c r="E38" s="506">
        <f>Table!$S13+E$27</f>
        <v>517.89280751173715</v>
      </c>
      <c r="F38" s="506">
        <f>Table!$T13+F$27</f>
        <v>514.97104225352109</v>
      </c>
      <c r="G38" s="506">
        <f>Table!$S13+G$27</f>
        <v>517.89280751173715</v>
      </c>
      <c r="H38" s="506">
        <f>Table!$T13+H$27</f>
        <v>514.97104225352109</v>
      </c>
      <c r="I38" s="506">
        <f>Table!$S13+I$27</f>
        <v>517.89280751173715</v>
      </c>
      <c r="J38" s="506">
        <f>Table!$T13+J$27</f>
        <v>514.97104225352109</v>
      </c>
      <c r="K38" s="506">
        <f>Table!$S13+K$27</f>
        <v>517.89280751173715</v>
      </c>
      <c r="L38" s="506">
        <f>Table!$T13+L$27</f>
        <v>514.97104225352109</v>
      </c>
      <c r="M38" s="506">
        <f>Table!$S13+M$27</f>
        <v>517.89280751173715</v>
      </c>
      <c r="N38" s="506">
        <f>Table!$T13+N$27</f>
        <v>514.97104225352109</v>
      </c>
      <c r="O38" s="506">
        <f>Table!$S13+O$27</f>
        <v>517.89280751173715</v>
      </c>
      <c r="P38" s="506">
        <f>Table!$T13+P$27</f>
        <v>514.97104225352109</v>
      </c>
      <c r="Q38" s="546"/>
      <c r="R38" s="546" t="s">
        <v>988</v>
      </c>
      <c r="S38" s="547" t="s">
        <v>989</v>
      </c>
      <c r="T38" s="546" t="s">
        <v>1012</v>
      </c>
      <c r="U38" s="547" t="s">
        <v>1013</v>
      </c>
      <c r="V38" s="507">
        <f>Table!Q36</f>
        <v>55</v>
      </c>
      <c r="W38" s="507">
        <f>Table!Q35</f>
        <v>10.65</v>
      </c>
      <c r="X38" s="546" t="s">
        <v>1021</v>
      </c>
      <c r="Y38" s="547" t="s">
        <v>1022</v>
      </c>
    </row>
    <row r="39" spans="1:25" x14ac:dyDescent="0.25">
      <c r="A39" s="506">
        <f>Table!$S14+A$27</f>
        <v>-6.9561314553990607</v>
      </c>
      <c r="B39" s="506">
        <f>Table!$T14+B$27</f>
        <v>514.52360563380284</v>
      </c>
      <c r="C39" s="506">
        <f>Table!$S14+C$27</f>
        <v>8.5368262910798123</v>
      </c>
      <c r="D39" s="506">
        <f>Table!$T14+D$27</f>
        <v>514.52360563380284</v>
      </c>
      <c r="E39" s="506">
        <f>Table!$S14+E$27</f>
        <v>517.22227230046951</v>
      </c>
      <c r="F39" s="506">
        <f>Table!$T14+F$27</f>
        <v>514.52360563380284</v>
      </c>
      <c r="G39" s="506">
        <f>Table!$S14+G$27</f>
        <v>517.22227230046951</v>
      </c>
      <c r="H39" s="506">
        <f>Table!$T14+H$27</f>
        <v>514.52360563380284</v>
      </c>
      <c r="I39" s="506">
        <f>Table!$S14+I$27</f>
        <v>517.22227230046951</v>
      </c>
      <c r="J39" s="506">
        <f>Table!$T14+J$27</f>
        <v>514.52360563380284</v>
      </c>
      <c r="K39" s="506">
        <f>Table!$S14+K$27</f>
        <v>517.22227230046951</v>
      </c>
      <c r="L39" s="506">
        <f>Table!$T14+L$27</f>
        <v>514.52360563380284</v>
      </c>
      <c r="M39" s="506">
        <f>Table!$S14+M$27</f>
        <v>517.22227230046951</v>
      </c>
      <c r="N39" s="506">
        <f>Table!$T14+N$27</f>
        <v>514.52360563380284</v>
      </c>
      <c r="O39" s="506">
        <f>Table!$S14+O$27</f>
        <v>517.22227230046951</v>
      </c>
      <c r="P39" s="506">
        <f>Table!$T14+P$27</f>
        <v>514.52360563380284</v>
      </c>
      <c r="Q39" s="513">
        <v>1</v>
      </c>
      <c r="R39" s="513">
        <v>0</v>
      </c>
      <c r="S39" s="513">
        <v>0</v>
      </c>
      <c r="T39" s="548">
        <f t="shared" ref="T39:T59" si="4">R39*$T$37/$U$37-0.5*$T$37*$R$37/$S$37</f>
        <v>-13.352601156069362</v>
      </c>
      <c r="U39" s="548">
        <f t="shared" ref="U39:U59" si="5">S39*$T$37/$U$37-0.5*$T$37*$S$37/$S$37</f>
        <v>-27.5</v>
      </c>
      <c r="V39" s="505">
        <f t="shared" ref="V39:V53" si="6">R39-($R$54-$V$54)</f>
        <v>-4.8999999999999986</v>
      </c>
      <c r="W39" s="505">
        <f t="shared" ref="W39:W53" si="7">S39-($S$54-$W$54)</f>
        <v>-8.65</v>
      </c>
      <c r="X39" s="548">
        <f t="shared" ref="X39:X59" si="8">V39*$V$38/$W$38</f>
        <v>-25.305164319248821</v>
      </c>
      <c r="Y39" s="548">
        <f t="shared" ref="Y39:Y59" si="9">W39*$V$38/$W$38</f>
        <v>-44.671361502347416</v>
      </c>
    </row>
    <row r="40" spans="1:25" x14ac:dyDescent="0.25">
      <c r="A40" s="506">
        <f>Table!$S15+A$27</f>
        <v>-7.7464788732394361</v>
      </c>
      <c r="B40" s="506">
        <f>Table!$T15+B$27</f>
        <v>514.36619718309862</v>
      </c>
      <c r="C40" s="506">
        <f>Table!$S15+C$27</f>
        <v>7.7464788732394361</v>
      </c>
      <c r="D40" s="506">
        <f>Table!$T15+D$27</f>
        <v>514.36619718309862</v>
      </c>
      <c r="E40" s="506">
        <f>Table!$S15+E$27</f>
        <v>516.43192488262912</v>
      </c>
      <c r="F40" s="506">
        <f>Table!$T15+F$27</f>
        <v>514.36619718309862</v>
      </c>
      <c r="G40" s="506">
        <f>Table!$S15+G$27</f>
        <v>516.43192488262912</v>
      </c>
      <c r="H40" s="506">
        <f>Table!$T15+H$27</f>
        <v>514.36619718309862</v>
      </c>
      <c r="I40" s="506">
        <f>Table!$S15+I$27</f>
        <v>516.43192488262912</v>
      </c>
      <c r="J40" s="506">
        <f>Table!$T15+J$27</f>
        <v>514.36619718309862</v>
      </c>
      <c r="K40" s="506">
        <f>Table!$S15+K$27</f>
        <v>516.43192488262912</v>
      </c>
      <c r="L40" s="506">
        <f>Table!$T15+L$27</f>
        <v>514.36619718309862</v>
      </c>
      <c r="M40" s="506">
        <f>Table!$S15+M$27</f>
        <v>516.43192488262912</v>
      </c>
      <c r="N40" s="506">
        <f>Table!$T15+N$27</f>
        <v>514.36619718309862</v>
      </c>
      <c r="O40" s="506">
        <f>Table!$S15+O$27</f>
        <v>516.43192488262912</v>
      </c>
      <c r="P40" s="506">
        <f>Table!$T15+P$27</f>
        <v>514.36619718309862</v>
      </c>
      <c r="Q40" s="512">
        <v>2</v>
      </c>
      <c r="R40" s="512">
        <f>R39</f>
        <v>0</v>
      </c>
      <c r="S40" s="508">
        <f>'Input (1)'!C55</f>
        <v>0.5</v>
      </c>
      <c r="T40" s="548">
        <f t="shared" si="4"/>
        <v>-13.352601156069362</v>
      </c>
      <c r="U40" s="548">
        <f t="shared" si="5"/>
        <v>-25.910404624277458</v>
      </c>
      <c r="V40" s="505">
        <f t="shared" si="6"/>
        <v>-4.8999999999999986</v>
      </c>
      <c r="W40" s="505">
        <f t="shared" si="7"/>
        <v>-8.15</v>
      </c>
      <c r="X40" s="548">
        <f t="shared" si="8"/>
        <v>-25.305164319248821</v>
      </c>
      <c r="Y40" s="548">
        <f t="shared" si="9"/>
        <v>-42.089201877934272</v>
      </c>
    </row>
    <row r="41" spans="1:25" x14ac:dyDescent="0.25">
      <c r="A41" s="506">
        <f>Table!$S16+A$27</f>
        <v>-8.5368262910798123</v>
      </c>
      <c r="B41" s="506">
        <f>Table!$T16+B$27</f>
        <v>514.52360563380284</v>
      </c>
      <c r="C41" s="506">
        <f>Table!$S16+C$27</f>
        <v>6.9561314553990607</v>
      </c>
      <c r="D41" s="506">
        <f>Table!$T16+D$27</f>
        <v>514.52360563380284</v>
      </c>
      <c r="E41" s="506">
        <f>Table!$S16+E$27</f>
        <v>515.64157746478872</v>
      </c>
      <c r="F41" s="506">
        <f>Table!$T16+F$27</f>
        <v>514.52360563380284</v>
      </c>
      <c r="G41" s="506">
        <f>Table!$S16+G$27</f>
        <v>515.64157746478872</v>
      </c>
      <c r="H41" s="506">
        <f>Table!$T16+H$27</f>
        <v>514.52360563380284</v>
      </c>
      <c r="I41" s="506">
        <f>Table!$S16+I$27</f>
        <v>515.64157746478872</v>
      </c>
      <c r="J41" s="506">
        <f>Table!$T16+J$27</f>
        <v>514.52360563380284</v>
      </c>
      <c r="K41" s="506">
        <f>Table!$S16+K$27</f>
        <v>515.64157746478872</v>
      </c>
      <c r="L41" s="506">
        <f>Table!$T16+L$27</f>
        <v>514.52360563380284</v>
      </c>
      <c r="M41" s="506">
        <f>Table!$S16+M$27</f>
        <v>515.64157746478872</v>
      </c>
      <c r="N41" s="506">
        <f>Table!$T16+N$27</f>
        <v>514.52360563380284</v>
      </c>
      <c r="O41" s="506">
        <f>Table!$S16+O$27</f>
        <v>515.64157746478872</v>
      </c>
      <c r="P41" s="506">
        <f>Table!$T16+P$27</f>
        <v>514.52360563380284</v>
      </c>
      <c r="Q41" s="513">
        <v>3</v>
      </c>
      <c r="R41" s="340">
        <f>R40+'Input (1)'!F54</f>
        <v>4</v>
      </c>
      <c r="S41" s="340">
        <f>S40</f>
        <v>0.5</v>
      </c>
      <c r="T41" s="548">
        <f t="shared" si="4"/>
        <v>-0.63583815028901469</v>
      </c>
      <c r="U41" s="548">
        <f t="shared" si="5"/>
        <v>-25.910404624277458</v>
      </c>
      <c r="V41" s="505">
        <f t="shared" si="6"/>
        <v>-0.89999999999999858</v>
      </c>
      <c r="W41" s="505">
        <f t="shared" si="7"/>
        <v>-8.15</v>
      </c>
      <c r="X41" s="548">
        <f t="shared" si="8"/>
        <v>-4.6478873239436549</v>
      </c>
      <c r="Y41" s="548">
        <f t="shared" si="9"/>
        <v>-42.089201877934272</v>
      </c>
    </row>
    <row r="42" spans="1:25" x14ac:dyDescent="0.25">
      <c r="A42" s="506">
        <f>Table!$S17+A$27</f>
        <v>-9.2073615023474176</v>
      </c>
      <c r="B42" s="506">
        <f>Table!$T17+B$27</f>
        <v>514.97104225352109</v>
      </c>
      <c r="C42" s="506">
        <f>Table!$S17+C$27</f>
        <v>6.2855962441314546</v>
      </c>
      <c r="D42" s="506">
        <f>Table!$T17+D$27</f>
        <v>514.97104225352109</v>
      </c>
      <c r="E42" s="506">
        <f>Table!$S17+E$27</f>
        <v>514.97104225352109</v>
      </c>
      <c r="F42" s="506">
        <f>Table!$T17+F$27</f>
        <v>514.97104225352109</v>
      </c>
      <c r="G42" s="506">
        <f>Table!$S17+G$27</f>
        <v>514.97104225352109</v>
      </c>
      <c r="H42" s="506">
        <f>Table!$T17+H$27</f>
        <v>514.97104225352109</v>
      </c>
      <c r="I42" s="506">
        <f>Table!$S17+I$27</f>
        <v>514.97104225352109</v>
      </c>
      <c r="J42" s="506">
        <f>Table!$T17+J$27</f>
        <v>514.97104225352109</v>
      </c>
      <c r="K42" s="506">
        <f>Table!$S17+K$27</f>
        <v>514.97104225352109</v>
      </c>
      <c r="L42" s="506">
        <f>Table!$T17+L$27</f>
        <v>514.97104225352109</v>
      </c>
      <c r="M42" s="506">
        <f>Table!$S17+M$27</f>
        <v>514.97104225352109</v>
      </c>
      <c r="N42" s="506">
        <f>Table!$T17+N$27</f>
        <v>514.97104225352109</v>
      </c>
      <c r="O42" s="506">
        <f>Table!$S17+O$27</f>
        <v>514.97104225352109</v>
      </c>
      <c r="P42" s="506">
        <f>Table!$T17+P$27</f>
        <v>514.97104225352109</v>
      </c>
      <c r="Q42" s="513">
        <v>4</v>
      </c>
      <c r="R42" s="340">
        <f>R41</f>
        <v>4</v>
      </c>
      <c r="S42" s="548">
        <f>'Input (1)'!I58-S41</f>
        <v>16.8</v>
      </c>
      <c r="T42" s="548">
        <f t="shared" si="4"/>
        <v>-0.63583815028901469</v>
      </c>
      <c r="U42" s="548">
        <f t="shared" si="5"/>
        <v>25.910404624277454</v>
      </c>
      <c r="V42" s="505">
        <f t="shared" si="6"/>
        <v>-0.89999999999999858</v>
      </c>
      <c r="W42" s="505">
        <f t="shared" si="7"/>
        <v>8.15</v>
      </c>
      <c r="X42" s="548">
        <f t="shared" si="8"/>
        <v>-4.6478873239436549</v>
      </c>
      <c r="Y42" s="548">
        <f t="shared" si="9"/>
        <v>42.089201877934272</v>
      </c>
    </row>
    <row r="43" spans="1:25" x14ac:dyDescent="0.25">
      <c r="A43" s="506">
        <f>Table!$S18+A$27</f>
        <v>-9.6547981220657277</v>
      </c>
      <c r="B43" s="506">
        <f>Table!$T18+B$27</f>
        <v>515.64157746478872</v>
      </c>
      <c r="C43" s="506">
        <f>Table!$S18+C$27</f>
        <v>5.8381596244131453</v>
      </c>
      <c r="D43" s="506">
        <f>Table!$T18+D$27</f>
        <v>515.64157746478872</v>
      </c>
      <c r="E43" s="506">
        <f>Table!$S18+E$27</f>
        <v>514.52360563380284</v>
      </c>
      <c r="F43" s="506">
        <f>Table!$T18+F$27</f>
        <v>515.64157746478872</v>
      </c>
      <c r="G43" s="506">
        <f>Table!$S18+G$27</f>
        <v>514.52360563380284</v>
      </c>
      <c r="H43" s="506">
        <f>Table!$T18+H$27</f>
        <v>515.64157746478872</v>
      </c>
      <c r="I43" s="506">
        <f>Table!$S18+I$27</f>
        <v>514.52360563380284</v>
      </c>
      <c r="J43" s="506">
        <f>Table!$T18+J$27</f>
        <v>515.64157746478872</v>
      </c>
      <c r="K43" s="506">
        <f>Table!$S18+K$27</f>
        <v>514.52360563380284</v>
      </c>
      <c r="L43" s="506">
        <f>Table!$T18+L$27</f>
        <v>515.64157746478872</v>
      </c>
      <c r="M43" s="506">
        <f>Table!$S18+M$27</f>
        <v>514.52360563380284</v>
      </c>
      <c r="N43" s="506">
        <f>Table!$T18+N$27</f>
        <v>515.64157746478872</v>
      </c>
      <c r="O43" s="506">
        <f>Table!$S18+O$27</f>
        <v>514.52360563380284</v>
      </c>
      <c r="P43" s="506">
        <f>Table!$T18+P$27</f>
        <v>515.64157746478872</v>
      </c>
      <c r="Q43" s="513">
        <v>5</v>
      </c>
      <c r="R43" s="513">
        <f>R39</f>
        <v>0</v>
      </c>
      <c r="S43" s="548">
        <f>S42</f>
        <v>16.8</v>
      </c>
      <c r="T43" s="548">
        <f t="shared" si="4"/>
        <v>-13.352601156069362</v>
      </c>
      <c r="U43" s="548">
        <f t="shared" si="5"/>
        <v>25.910404624277454</v>
      </c>
      <c r="V43" s="505">
        <f t="shared" si="6"/>
        <v>-4.8999999999999986</v>
      </c>
      <c r="W43" s="505">
        <f t="shared" si="7"/>
        <v>8.15</v>
      </c>
      <c r="X43" s="548">
        <f t="shared" si="8"/>
        <v>-25.305164319248821</v>
      </c>
      <c r="Y43" s="548">
        <f t="shared" si="9"/>
        <v>42.089201877934272</v>
      </c>
    </row>
    <row r="44" spans="1:25" x14ac:dyDescent="0.25">
      <c r="A44" s="506">
        <f>Table!$S19+A$27</f>
        <v>-9.8122065727699521</v>
      </c>
      <c r="B44" s="506">
        <f>Table!$T19+B$27</f>
        <v>516.43192488262912</v>
      </c>
      <c r="C44" s="506">
        <f>Table!$S19+C$27</f>
        <v>5.68075117370892</v>
      </c>
      <c r="D44" s="506">
        <f>Table!$T19+D$27</f>
        <v>516.43192488262912</v>
      </c>
      <c r="E44" s="506">
        <f>Table!$S19+E$27</f>
        <v>514.36619718309862</v>
      </c>
      <c r="F44" s="506">
        <f>Table!$T19+F$27</f>
        <v>516.43192488262912</v>
      </c>
      <c r="G44" s="506">
        <f>Table!$S19+G$27</f>
        <v>514.36619718309862</v>
      </c>
      <c r="H44" s="506">
        <f>Table!$T19+H$27</f>
        <v>516.43192488262912</v>
      </c>
      <c r="I44" s="506">
        <f>Table!$S19+I$27</f>
        <v>514.36619718309862</v>
      </c>
      <c r="J44" s="506">
        <f>Table!$T19+J$27</f>
        <v>516.43192488262912</v>
      </c>
      <c r="K44" s="506">
        <f>Table!$S19+K$27</f>
        <v>514.36619718309862</v>
      </c>
      <c r="L44" s="506">
        <f>Table!$T19+L$27</f>
        <v>516.43192488262912</v>
      </c>
      <c r="M44" s="506">
        <f>Table!$S19+M$27</f>
        <v>514.36619718309862</v>
      </c>
      <c r="N44" s="506">
        <f>Table!$T19+N$27</f>
        <v>516.43192488262912</v>
      </c>
      <c r="O44" s="506">
        <f>Table!$S19+O$27</f>
        <v>514.36619718309862</v>
      </c>
      <c r="P44" s="506">
        <f>Table!$T19+P$27</f>
        <v>516.43192488262912</v>
      </c>
      <c r="Q44" s="513">
        <v>6</v>
      </c>
      <c r="R44" s="513">
        <f>R43</f>
        <v>0</v>
      </c>
      <c r="S44" s="548">
        <f>S43+'Input (1)'!C55</f>
        <v>17.3</v>
      </c>
      <c r="T44" s="548">
        <f t="shared" si="4"/>
        <v>-13.352601156069362</v>
      </c>
      <c r="U44" s="548">
        <f t="shared" si="5"/>
        <v>27.5</v>
      </c>
      <c r="V44" s="505">
        <f t="shared" si="6"/>
        <v>-4.8999999999999986</v>
      </c>
      <c r="W44" s="505">
        <f t="shared" si="7"/>
        <v>8.65</v>
      </c>
      <c r="X44" s="548">
        <f t="shared" si="8"/>
        <v>-25.305164319248821</v>
      </c>
      <c r="Y44" s="548">
        <f t="shared" si="9"/>
        <v>44.671361502347416</v>
      </c>
    </row>
    <row r="45" spans="1:25" x14ac:dyDescent="0.25">
      <c r="A45" s="506">
        <f>Table!$S20+A$27</f>
        <v>-10.84507042253521</v>
      </c>
      <c r="B45" s="506">
        <f>Table!$T20+B$27</f>
        <v>516.43192488262912</v>
      </c>
      <c r="C45" s="506">
        <f>Table!$S20+C$27</f>
        <v>4.647887323943662</v>
      </c>
      <c r="D45" s="506">
        <f>Table!$T20+D$27</f>
        <v>516.43192488262912</v>
      </c>
      <c r="E45" s="506">
        <f>Table!$S20+E$27</f>
        <v>513.33333333333337</v>
      </c>
      <c r="F45" s="506">
        <f>Table!$T20+F$27</f>
        <v>516.43192488262912</v>
      </c>
      <c r="G45" s="506">
        <f>Table!$S20+G$27</f>
        <v>513.33333333333337</v>
      </c>
      <c r="H45" s="506">
        <f>Table!$T20+H$27</f>
        <v>516.43192488262912</v>
      </c>
      <c r="I45" s="506">
        <f>Table!$S20+I$27</f>
        <v>513.33333333333337</v>
      </c>
      <c r="J45" s="506">
        <f>Table!$T20+J$27</f>
        <v>516.43192488262912</v>
      </c>
      <c r="K45" s="506">
        <f>Table!$S20+K$27</f>
        <v>513.33333333333337</v>
      </c>
      <c r="L45" s="506">
        <f>Table!$T20+L$27</f>
        <v>516.43192488262912</v>
      </c>
      <c r="M45" s="506">
        <f>Table!$S20+M$27</f>
        <v>513.33333333333337</v>
      </c>
      <c r="N45" s="506">
        <f>Table!$T20+N$27</f>
        <v>516.43192488262912</v>
      </c>
      <c r="O45" s="506">
        <f>Table!$S20+O$27</f>
        <v>513.33333333333337</v>
      </c>
      <c r="P45" s="506">
        <f>Table!$T20+P$27</f>
        <v>516.43192488262912</v>
      </c>
      <c r="Q45" s="513">
        <v>7</v>
      </c>
      <c r="R45" s="340">
        <f>'Input (1)'!F54+'Input (1)'!F38</f>
        <v>4.3499999999999996</v>
      </c>
      <c r="S45" s="548">
        <f>S44</f>
        <v>17.3</v>
      </c>
      <c r="T45" s="548">
        <f t="shared" si="4"/>
        <v>0.47687861271676368</v>
      </c>
      <c r="U45" s="548">
        <f t="shared" si="5"/>
        <v>27.5</v>
      </c>
      <c r="V45" s="505">
        <f t="shared" si="6"/>
        <v>-0.54999999999999893</v>
      </c>
      <c r="W45" s="505">
        <f t="shared" si="7"/>
        <v>8.65</v>
      </c>
      <c r="X45" s="548">
        <f t="shared" si="8"/>
        <v>-2.8403755868544547</v>
      </c>
      <c r="Y45" s="548">
        <f t="shared" si="9"/>
        <v>44.671361502347416</v>
      </c>
    </row>
    <row r="46" spans="1:25" x14ac:dyDescent="0.25">
      <c r="A46" s="506">
        <f>Table!$S21+A$27</f>
        <v>-4.647887323943662</v>
      </c>
      <c r="B46" s="506">
        <f>Table!$T21+B$27</f>
        <v>516.43192488262912</v>
      </c>
      <c r="C46" s="506">
        <f>Table!$S21+C$27</f>
        <v>10.84507042253521</v>
      </c>
      <c r="D46" s="506">
        <f>Table!$T21+D$27</f>
        <v>516.43192488262912</v>
      </c>
      <c r="E46" s="506">
        <f>Table!$S21+E$27</f>
        <v>519.53051643192487</v>
      </c>
      <c r="F46" s="506">
        <f>Table!$T21+F$27</f>
        <v>516.43192488262912</v>
      </c>
      <c r="G46" s="506">
        <f>Table!$S21+G$27</f>
        <v>519.53051643192487</v>
      </c>
      <c r="H46" s="506">
        <f>Table!$T21+H$27</f>
        <v>516.43192488262912</v>
      </c>
      <c r="I46" s="506">
        <f>Table!$S21+I$27</f>
        <v>519.53051643192487</v>
      </c>
      <c r="J46" s="506">
        <f>Table!$T21+J$27</f>
        <v>516.43192488262912</v>
      </c>
      <c r="K46" s="506">
        <f>Table!$S21+K$27</f>
        <v>519.53051643192487</v>
      </c>
      <c r="L46" s="506">
        <f>Table!$T21+L$27</f>
        <v>516.43192488262912</v>
      </c>
      <c r="M46" s="506">
        <f>Table!$S21+M$27</f>
        <v>519.53051643192487</v>
      </c>
      <c r="N46" s="506">
        <f>Table!$T21+N$27</f>
        <v>516.43192488262912</v>
      </c>
      <c r="O46" s="506">
        <f>Table!$S21+O$27</f>
        <v>519.53051643192487</v>
      </c>
      <c r="P46" s="506">
        <f>Table!$T21+P$27</f>
        <v>516.43192488262912</v>
      </c>
      <c r="Q46" s="513">
        <v>8</v>
      </c>
      <c r="R46" s="340">
        <f>R45</f>
        <v>4.3499999999999996</v>
      </c>
      <c r="S46" s="513">
        <f>S39</f>
        <v>0</v>
      </c>
      <c r="T46" s="548">
        <f t="shared" si="4"/>
        <v>0.47687861271676368</v>
      </c>
      <c r="U46" s="548">
        <f t="shared" si="5"/>
        <v>-27.5</v>
      </c>
      <c r="V46" s="505">
        <f t="shared" si="6"/>
        <v>-0.54999999999999893</v>
      </c>
      <c r="W46" s="505">
        <f t="shared" si="7"/>
        <v>-8.65</v>
      </c>
      <c r="X46" s="548">
        <f t="shared" si="8"/>
        <v>-2.8403755868544547</v>
      </c>
      <c r="Y46" s="548">
        <f t="shared" si="9"/>
        <v>-44.671361502347416</v>
      </c>
    </row>
    <row r="47" spans="1:25" x14ac:dyDescent="0.25">
      <c r="A47" s="506">
        <f>Table!$S22+A$27</f>
        <v>-7.7464788732394361</v>
      </c>
      <c r="B47" s="506">
        <f>Table!$T22+B$27</f>
        <v>513.33333333333337</v>
      </c>
      <c r="C47" s="506">
        <f>Table!$S22+C$27</f>
        <v>7.7464788732394361</v>
      </c>
      <c r="D47" s="506">
        <f>Table!$T22+D$27</f>
        <v>513.33333333333337</v>
      </c>
      <c r="E47" s="506">
        <f>Table!$S22+E$27</f>
        <v>516.43192488262912</v>
      </c>
      <c r="F47" s="506">
        <f>Table!$T22+F$27</f>
        <v>513.33333333333337</v>
      </c>
      <c r="G47" s="506">
        <f>Table!$S22+G$27</f>
        <v>516.43192488262912</v>
      </c>
      <c r="H47" s="506">
        <f>Table!$T22+H$27</f>
        <v>513.33333333333337</v>
      </c>
      <c r="I47" s="506">
        <f>Table!$S22+I$27</f>
        <v>516.43192488262912</v>
      </c>
      <c r="J47" s="506">
        <f>Table!$T22+J$27</f>
        <v>513.33333333333337</v>
      </c>
      <c r="K47" s="506">
        <f>Table!$S22+K$27</f>
        <v>516.43192488262912</v>
      </c>
      <c r="L47" s="506">
        <f>Table!$T22+L$27</f>
        <v>513.33333333333337</v>
      </c>
      <c r="M47" s="506">
        <f>Table!$S22+M$27</f>
        <v>516.43192488262912</v>
      </c>
      <c r="N47" s="506">
        <f>Table!$T22+N$27</f>
        <v>513.33333333333337</v>
      </c>
      <c r="O47" s="506">
        <f>Table!$S22+O$27</f>
        <v>516.43192488262912</v>
      </c>
      <c r="P47" s="506">
        <f>Table!$T22+P$27</f>
        <v>513.33333333333337</v>
      </c>
      <c r="Q47" s="513">
        <v>1</v>
      </c>
      <c r="R47" s="513">
        <f>R39</f>
        <v>0</v>
      </c>
      <c r="S47" s="513">
        <f>S39</f>
        <v>0</v>
      </c>
      <c r="T47" s="548">
        <f t="shared" si="4"/>
        <v>-13.352601156069362</v>
      </c>
      <c r="U47" s="548">
        <f t="shared" si="5"/>
        <v>-27.5</v>
      </c>
      <c r="V47" s="505">
        <f t="shared" si="6"/>
        <v>-4.8999999999999986</v>
      </c>
      <c r="W47" s="505">
        <f t="shared" si="7"/>
        <v>-8.65</v>
      </c>
      <c r="X47" s="548">
        <f t="shared" si="8"/>
        <v>-25.305164319248821</v>
      </c>
      <c r="Y47" s="548">
        <f t="shared" si="9"/>
        <v>-44.671361502347416</v>
      </c>
    </row>
    <row r="48" spans="1:25" x14ac:dyDescent="0.25">
      <c r="A48" s="506">
        <f>Table!$S23+A$27</f>
        <v>-7.7464788732394361</v>
      </c>
      <c r="B48" s="506">
        <f>Table!$T23+B$27</f>
        <v>519.53051643192487</v>
      </c>
      <c r="C48" s="506">
        <f>Table!$S23+C$27</f>
        <v>7.7464788732394361</v>
      </c>
      <c r="D48" s="506">
        <f>Table!$T23+D$27</f>
        <v>519.53051643192487</v>
      </c>
      <c r="E48" s="506">
        <f>Table!$S23+E$27</f>
        <v>516.43192488262912</v>
      </c>
      <c r="F48" s="506">
        <f>Table!$T23+F$27</f>
        <v>519.53051643192487</v>
      </c>
      <c r="G48" s="506">
        <f>Table!$S23+G$27</f>
        <v>516.43192488262912</v>
      </c>
      <c r="H48" s="506">
        <f>Table!$T23+H$27</f>
        <v>519.53051643192487</v>
      </c>
      <c r="I48" s="506">
        <f>Table!$S23+I$27</f>
        <v>516.43192488262912</v>
      </c>
      <c r="J48" s="506">
        <f>Table!$T23+J$27</f>
        <v>519.53051643192487</v>
      </c>
      <c r="K48" s="506">
        <f>Table!$S23+K$27</f>
        <v>516.43192488262912</v>
      </c>
      <c r="L48" s="506">
        <f>Table!$T23+L$27</f>
        <v>519.53051643192487</v>
      </c>
      <c r="M48" s="506">
        <f>Table!$S23+M$27</f>
        <v>516.43192488262912</v>
      </c>
      <c r="N48" s="506">
        <f>Table!$T23+N$27</f>
        <v>519.53051643192487</v>
      </c>
      <c r="O48" s="506">
        <f>Table!$S23+O$27</f>
        <v>516.43192488262912</v>
      </c>
      <c r="P48" s="506">
        <f>Table!$T23+P$27</f>
        <v>519.53051643192487</v>
      </c>
      <c r="Q48" s="513">
        <v>9</v>
      </c>
      <c r="R48" s="340">
        <f>R46-('Input (1)'!F43-('Input (1)'!F40-'Input (1)'!F39))</f>
        <v>1.3999999999999995</v>
      </c>
      <c r="S48" s="340">
        <f>S41</f>
        <v>0.5</v>
      </c>
      <c r="T48" s="548">
        <f t="shared" si="4"/>
        <v>-8.9017341040462412</v>
      </c>
      <c r="U48" s="548">
        <f t="shared" si="5"/>
        <v>-25.910404624277458</v>
      </c>
      <c r="V48" s="505">
        <f t="shared" si="6"/>
        <v>-3.4999999999999991</v>
      </c>
      <c r="W48" s="505">
        <f t="shared" si="7"/>
        <v>-8.15</v>
      </c>
      <c r="X48" s="548">
        <f t="shared" si="8"/>
        <v>-18.075117370892013</v>
      </c>
      <c r="Y48" s="548">
        <f t="shared" si="9"/>
        <v>-42.089201877934272</v>
      </c>
    </row>
    <row r="49" spans="1:25" x14ac:dyDescent="0.25">
      <c r="A49" s="502" t="s">
        <v>995</v>
      </c>
      <c r="B49" s="502" t="s">
        <v>1008</v>
      </c>
      <c r="C49" s="502" t="s">
        <v>997</v>
      </c>
      <c r="D49" s="502" t="s">
        <v>1008</v>
      </c>
      <c r="E49" s="502" t="s">
        <v>998</v>
      </c>
      <c r="F49" s="502" t="s">
        <v>1008</v>
      </c>
      <c r="G49" s="502" t="s">
        <v>999</v>
      </c>
      <c r="H49" s="502" t="s">
        <v>1008</v>
      </c>
      <c r="I49" s="502" t="s">
        <v>1000</v>
      </c>
      <c r="J49" s="502" t="s">
        <v>1008</v>
      </c>
      <c r="K49" s="502" t="s">
        <v>1001</v>
      </c>
      <c r="L49" s="502" t="s">
        <v>1008</v>
      </c>
      <c r="M49" s="502" t="s">
        <v>1002</v>
      </c>
      <c r="N49" s="502" t="s">
        <v>1008</v>
      </c>
      <c r="O49" s="502" t="s">
        <v>1003</v>
      </c>
      <c r="P49" s="502" t="s">
        <v>1008</v>
      </c>
      <c r="Q49" s="513">
        <v>10</v>
      </c>
      <c r="R49" s="340">
        <f>R48</f>
        <v>1.3999999999999995</v>
      </c>
      <c r="S49" s="548">
        <f>S42</f>
        <v>16.8</v>
      </c>
      <c r="T49" s="548">
        <f t="shared" si="4"/>
        <v>-8.9017341040462412</v>
      </c>
      <c r="U49" s="548">
        <f t="shared" si="5"/>
        <v>25.910404624277454</v>
      </c>
      <c r="V49" s="505">
        <f t="shared" si="6"/>
        <v>-3.4999999999999991</v>
      </c>
      <c r="W49" s="505">
        <f t="shared" si="7"/>
        <v>8.15</v>
      </c>
      <c r="X49" s="548">
        <f t="shared" si="8"/>
        <v>-18.075117370892013</v>
      </c>
      <c r="Y49" s="548">
        <f t="shared" si="9"/>
        <v>42.089201877934272</v>
      </c>
    </row>
    <row r="50" spans="1:25" x14ac:dyDescent="0.25">
      <c r="A50" s="502" t="s">
        <v>72</v>
      </c>
      <c r="B50" s="502" t="s">
        <v>71</v>
      </c>
      <c r="C50" s="502" t="s">
        <v>72</v>
      </c>
      <c r="D50" s="502" t="s">
        <v>71</v>
      </c>
      <c r="E50" s="502" t="s">
        <v>72</v>
      </c>
      <c r="F50" s="502" t="s">
        <v>71</v>
      </c>
      <c r="G50" s="502" t="s">
        <v>72</v>
      </c>
      <c r="H50" s="502" t="s">
        <v>71</v>
      </c>
      <c r="I50" s="502" t="s">
        <v>72</v>
      </c>
      <c r="J50" s="502" t="s">
        <v>71</v>
      </c>
      <c r="K50" s="502" t="s">
        <v>72</v>
      </c>
      <c r="L50" s="502" t="s">
        <v>71</v>
      </c>
      <c r="M50" s="502" t="s">
        <v>72</v>
      </c>
      <c r="N50" s="502" t="s">
        <v>71</v>
      </c>
      <c r="O50" s="502" t="s">
        <v>72</v>
      </c>
      <c r="P50" s="502" t="s">
        <v>71</v>
      </c>
      <c r="Q50" s="513">
        <v>11</v>
      </c>
      <c r="R50" s="340">
        <f>R41-('Input (1)'!F39-'Input (1)'!F38)</f>
        <v>3.8</v>
      </c>
      <c r="S50" s="340">
        <f>S48</f>
        <v>0.5</v>
      </c>
      <c r="T50" s="548">
        <f t="shared" si="4"/>
        <v>-1.2716763005780329</v>
      </c>
      <c r="U50" s="548">
        <f t="shared" si="5"/>
        <v>-25.910404624277458</v>
      </c>
      <c r="V50" s="505">
        <f t="shared" si="6"/>
        <v>-1.0999999999999988</v>
      </c>
      <c r="W50" s="505">
        <f t="shared" si="7"/>
        <v>-8.15</v>
      </c>
      <c r="X50" s="548">
        <f t="shared" si="8"/>
        <v>-5.6807511737089129</v>
      </c>
      <c r="Y50" s="548">
        <f t="shared" si="9"/>
        <v>-42.089201877934272</v>
      </c>
    </row>
    <row r="51" spans="1:25" x14ac:dyDescent="0.25">
      <c r="A51" s="502">
        <f>A75</f>
        <v>-7.7464788732394361</v>
      </c>
      <c r="B51" s="502">
        <f>Table!$Q$36/Table!$Q$35*IF('Process (2)'!D61="",100,'Process (2)'!D61)</f>
        <v>36.15023474178404</v>
      </c>
      <c r="C51" s="502">
        <f>C75</f>
        <v>7.7464788732394361</v>
      </c>
      <c r="D51" s="502">
        <f>B51</f>
        <v>36.15023474178404</v>
      </c>
      <c r="E51" s="502">
        <f>E75</f>
        <v>516.43192488262912</v>
      </c>
      <c r="F51" s="502">
        <f>D51</f>
        <v>36.15023474178404</v>
      </c>
      <c r="G51" s="502">
        <f>G75</f>
        <v>516.43192488262912</v>
      </c>
      <c r="H51" s="502">
        <f>F51</f>
        <v>36.15023474178404</v>
      </c>
      <c r="I51" s="502">
        <f>I75</f>
        <v>516.43192488262912</v>
      </c>
      <c r="J51" s="502">
        <f>H51</f>
        <v>36.15023474178404</v>
      </c>
      <c r="K51" s="502">
        <f>K75</f>
        <v>516.43192488262912</v>
      </c>
      <c r="L51" s="502">
        <f>J51</f>
        <v>36.15023474178404</v>
      </c>
      <c r="M51" s="502">
        <f>M75</f>
        <v>516.43192488262912</v>
      </c>
      <c r="N51" s="502">
        <f>L51</f>
        <v>36.15023474178404</v>
      </c>
      <c r="O51" s="502">
        <f>O75</f>
        <v>516.43192488262912</v>
      </c>
      <c r="P51" s="502">
        <f>N51</f>
        <v>36.15023474178404</v>
      </c>
      <c r="Q51" s="513">
        <v>12</v>
      </c>
      <c r="R51" s="340">
        <f>R50</f>
        <v>3.8</v>
      </c>
      <c r="S51" s="548">
        <f>S49</f>
        <v>16.8</v>
      </c>
      <c r="T51" s="548">
        <f t="shared" si="4"/>
        <v>-1.2716763005780329</v>
      </c>
      <c r="U51" s="548">
        <f t="shared" si="5"/>
        <v>25.910404624277454</v>
      </c>
      <c r="V51" s="505">
        <f t="shared" si="6"/>
        <v>-1.0999999999999988</v>
      </c>
      <c r="W51" s="505">
        <f t="shared" si="7"/>
        <v>8.15</v>
      </c>
      <c r="X51" s="548">
        <f t="shared" si="8"/>
        <v>-5.6807511737089129</v>
      </c>
      <c r="Y51" s="548">
        <f t="shared" si="9"/>
        <v>42.089201877934272</v>
      </c>
    </row>
    <row r="52" spans="1:25" x14ac:dyDescent="0.25">
      <c r="A52" s="506">
        <f>Table!$S3+A$51</f>
        <v>-9.8122065727699521</v>
      </c>
      <c r="B52" s="506">
        <f>Table!$T3+B$51</f>
        <v>36.15023474178404</v>
      </c>
      <c r="C52" s="506">
        <f>Table!$S3+C$51</f>
        <v>5.68075117370892</v>
      </c>
      <c r="D52" s="506">
        <f>Table!$T3+D$51</f>
        <v>36.15023474178404</v>
      </c>
      <c r="E52" s="506">
        <f>Table!$S3+E$51</f>
        <v>514.36619718309862</v>
      </c>
      <c r="F52" s="506">
        <f>Table!$T3+F$51</f>
        <v>36.15023474178404</v>
      </c>
      <c r="G52" s="506">
        <f>Table!$S3+G$51</f>
        <v>514.36619718309862</v>
      </c>
      <c r="H52" s="506">
        <f>Table!$T3+H$51</f>
        <v>36.15023474178404</v>
      </c>
      <c r="I52" s="506">
        <f>Table!$S3+I$51</f>
        <v>514.36619718309862</v>
      </c>
      <c r="J52" s="506">
        <f>Table!$T3+J$51</f>
        <v>36.15023474178404</v>
      </c>
      <c r="K52" s="506">
        <f>Table!$S3+K$51</f>
        <v>514.36619718309862</v>
      </c>
      <c r="L52" s="506">
        <f>Table!$T3+L$51</f>
        <v>36.15023474178404</v>
      </c>
      <c r="M52" s="506">
        <f>Table!$S3+M$51</f>
        <v>514.36619718309862</v>
      </c>
      <c r="N52" s="506">
        <f>Table!$T3+N$51</f>
        <v>36.15023474178404</v>
      </c>
      <c r="O52" s="506">
        <f>Table!$S3+O$51</f>
        <v>514.36619718309862</v>
      </c>
      <c r="P52" s="506">
        <f>Table!$T3+P$51</f>
        <v>36.15023474178404</v>
      </c>
      <c r="Q52" s="513">
        <v>7</v>
      </c>
      <c r="R52" s="340">
        <f>R45</f>
        <v>4.3499999999999996</v>
      </c>
      <c r="S52" s="340">
        <f>S45</f>
        <v>17.3</v>
      </c>
      <c r="T52" s="548">
        <f t="shared" si="4"/>
        <v>0.47687861271676368</v>
      </c>
      <c r="U52" s="548">
        <f t="shared" si="5"/>
        <v>27.5</v>
      </c>
      <c r="V52" s="505">
        <f t="shared" si="6"/>
        <v>-0.54999999999999893</v>
      </c>
      <c r="W52" s="505">
        <f t="shared" si="7"/>
        <v>8.65</v>
      </c>
      <c r="X52" s="548">
        <f t="shared" si="8"/>
        <v>-2.8403755868544547</v>
      </c>
      <c r="Y52" s="548">
        <f t="shared" si="9"/>
        <v>44.671361502347416</v>
      </c>
    </row>
    <row r="53" spans="1:25" x14ac:dyDescent="0.25">
      <c r="A53" s="506">
        <f>Table!$S4+A$51</f>
        <v>-9.6547981220657277</v>
      </c>
      <c r="B53" s="506">
        <f>Table!$T4+B$51</f>
        <v>36.940582159624412</v>
      </c>
      <c r="C53" s="506">
        <f>Table!$S4+C$51</f>
        <v>5.8381596244131453</v>
      </c>
      <c r="D53" s="506">
        <f>Table!$T4+D$51</f>
        <v>36.940582159624412</v>
      </c>
      <c r="E53" s="506">
        <f>Table!$S4+E$51</f>
        <v>514.52360563380284</v>
      </c>
      <c r="F53" s="506">
        <f>Table!$T4+F$51</f>
        <v>36.940582159624412</v>
      </c>
      <c r="G53" s="506">
        <f>Table!$S4+G$51</f>
        <v>514.52360563380284</v>
      </c>
      <c r="H53" s="506">
        <f>Table!$T4+H$51</f>
        <v>36.940582159624412</v>
      </c>
      <c r="I53" s="506">
        <f>Table!$S4+I$51</f>
        <v>514.52360563380284</v>
      </c>
      <c r="J53" s="506">
        <f>Table!$T4+J$51</f>
        <v>36.940582159624412</v>
      </c>
      <c r="K53" s="506">
        <f>Table!$S4+K$51</f>
        <v>514.52360563380284</v>
      </c>
      <c r="L53" s="506">
        <f>Table!$T4+L$51</f>
        <v>36.940582159624412</v>
      </c>
      <c r="M53" s="506">
        <f>Table!$S4+M$51</f>
        <v>514.52360563380284</v>
      </c>
      <c r="N53" s="506">
        <f>Table!$T4+N$51</f>
        <v>36.940582159624412</v>
      </c>
      <c r="O53" s="506">
        <f>Table!$S4+O$51</f>
        <v>514.52360563380284</v>
      </c>
      <c r="P53" s="506">
        <f>Table!$T4+P$51</f>
        <v>36.940582159624412</v>
      </c>
      <c r="Q53" s="513">
        <v>13</v>
      </c>
      <c r="R53" s="340">
        <f>R49+'Input (1)'!F49</f>
        <v>8.3999999999999986</v>
      </c>
      <c r="S53" s="340">
        <f>S52</f>
        <v>17.3</v>
      </c>
      <c r="T53" s="548">
        <f t="shared" si="4"/>
        <v>13.352601156069362</v>
      </c>
      <c r="U53" s="548">
        <f t="shared" si="5"/>
        <v>27.5</v>
      </c>
      <c r="V53" s="505">
        <f t="shared" si="6"/>
        <v>3.5</v>
      </c>
      <c r="W53" s="505">
        <f t="shared" si="7"/>
        <v>8.65</v>
      </c>
      <c r="X53" s="548">
        <f t="shared" si="8"/>
        <v>18.07511737089202</v>
      </c>
      <c r="Y53" s="548">
        <f t="shared" si="9"/>
        <v>44.671361502347416</v>
      </c>
    </row>
    <row r="54" spans="1:25" x14ac:dyDescent="0.25">
      <c r="A54" s="506">
        <f>Table!$S5+A$51</f>
        <v>-9.2073615023474176</v>
      </c>
      <c r="B54" s="506">
        <f>Table!$T5+B$51</f>
        <v>37.611117370892018</v>
      </c>
      <c r="C54" s="506">
        <f>Table!$S5+C$51</f>
        <v>6.2855962441314546</v>
      </c>
      <c r="D54" s="506">
        <f>Table!$T5+D$51</f>
        <v>37.611117370892018</v>
      </c>
      <c r="E54" s="506">
        <f>Table!$S5+E$51</f>
        <v>514.97104225352109</v>
      </c>
      <c r="F54" s="506">
        <f>Table!$T5+F$51</f>
        <v>37.611117370892018</v>
      </c>
      <c r="G54" s="506">
        <f>Table!$S5+G$51</f>
        <v>514.97104225352109</v>
      </c>
      <c r="H54" s="506">
        <f>Table!$T5+H$51</f>
        <v>37.611117370892018</v>
      </c>
      <c r="I54" s="506">
        <f>Table!$S5+I$51</f>
        <v>514.97104225352109</v>
      </c>
      <c r="J54" s="506">
        <f>Table!$T5+J$51</f>
        <v>37.611117370892018</v>
      </c>
      <c r="K54" s="506">
        <f>Table!$S5+K$51</f>
        <v>514.97104225352109</v>
      </c>
      <c r="L54" s="506">
        <f>Table!$T5+L$51</f>
        <v>37.611117370892018</v>
      </c>
      <c r="M54" s="506">
        <f>Table!$S5+M$51</f>
        <v>514.97104225352109</v>
      </c>
      <c r="N54" s="506">
        <f>Table!$T5+N$51</f>
        <v>37.611117370892018</v>
      </c>
      <c r="O54" s="506">
        <f>Table!$S5+O$51</f>
        <v>514.97104225352109</v>
      </c>
      <c r="P54" s="506">
        <f>Table!$T5+P$51</f>
        <v>37.611117370892018</v>
      </c>
      <c r="Q54" s="513">
        <v>14</v>
      </c>
      <c r="R54" s="340">
        <f>R53</f>
        <v>8.3999999999999986</v>
      </c>
      <c r="S54" s="340">
        <f>S55</f>
        <v>0</v>
      </c>
      <c r="T54" s="548">
        <f t="shared" si="4"/>
        <v>13.352601156069362</v>
      </c>
      <c r="U54" s="548">
        <f t="shared" si="5"/>
        <v>-27.5</v>
      </c>
      <c r="V54" s="505">
        <f>Table!Q29</f>
        <v>3.5</v>
      </c>
      <c r="W54" s="505">
        <f>Table!R29</f>
        <v>-8.65</v>
      </c>
      <c r="X54" s="548">
        <f t="shared" si="8"/>
        <v>18.07511737089202</v>
      </c>
      <c r="Y54" s="548">
        <f t="shared" si="9"/>
        <v>-44.671361502347416</v>
      </c>
    </row>
    <row r="55" spans="1:25" x14ac:dyDescent="0.25">
      <c r="A55" s="506">
        <f>Table!$S6+A$51</f>
        <v>-8.5368262910798123</v>
      </c>
      <c r="B55" s="506">
        <f>Table!$T6+B$51</f>
        <v>38.058553990610328</v>
      </c>
      <c r="C55" s="506">
        <f>Table!$S6+C$51</f>
        <v>6.9561314553990607</v>
      </c>
      <c r="D55" s="506">
        <f>Table!$T6+D$51</f>
        <v>38.058553990610328</v>
      </c>
      <c r="E55" s="506">
        <f>Table!$S6+E$51</f>
        <v>515.64157746478872</v>
      </c>
      <c r="F55" s="506">
        <f>Table!$T6+F$51</f>
        <v>38.058553990610328</v>
      </c>
      <c r="G55" s="506">
        <f>Table!$S6+G$51</f>
        <v>515.64157746478872</v>
      </c>
      <c r="H55" s="506">
        <f>Table!$T6+H$51</f>
        <v>38.058553990610328</v>
      </c>
      <c r="I55" s="506">
        <f>Table!$S6+I$51</f>
        <v>515.64157746478872</v>
      </c>
      <c r="J55" s="506">
        <f>Table!$T6+J$51</f>
        <v>38.058553990610328</v>
      </c>
      <c r="K55" s="506">
        <f>Table!$S6+K$51</f>
        <v>515.64157746478872</v>
      </c>
      <c r="L55" s="506">
        <f>Table!$T6+L$51</f>
        <v>38.058553990610328</v>
      </c>
      <c r="M55" s="506">
        <f>Table!$S6+M$51</f>
        <v>515.64157746478872</v>
      </c>
      <c r="N55" s="506">
        <f>Table!$T6+N$51</f>
        <v>38.058553990610328</v>
      </c>
      <c r="O55" s="506">
        <f>Table!$S6+O$51</f>
        <v>515.64157746478872</v>
      </c>
      <c r="P55" s="506">
        <f>Table!$T6+P$51</f>
        <v>38.058553990610328</v>
      </c>
      <c r="Q55" s="513">
        <v>8</v>
      </c>
      <c r="R55" s="340">
        <f>R46</f>
        <v>4.3499999999999996</v>
      </c>
      <c r="S55" s="340">
        <f>S46</f>
        <v>0</v>
      </c>
      <c r="T55" s="548">
        <f t="shared" si="4"/>
        <v>0.47687861271676368</v>
      </c>
      <c r="U55" s="548">
        <f t="shared" si="5"/>
        <v>-27.5</v>
      </c>
      <c r="V55" s="505">
        <f>R55-($R$54-$V$54)</f>
        <v>-0.54999999999999893</v>
      </c>
      <c r="W55" s="505">
        <f>S55-($S$54-$W$54)</f>
        <v>-8.65</v>
      </c>
      <c r="X55" s="548">
        <f t="shared" si="8"/>
        <v>-2.8403755868544547</v>
      </c>
      <c r="Y55" s="548">
        <f t="shared" si="9"/>
        <v>-44.671361502347416</v>
      </c>
    </row>
    <row r="56" spans="1:25" x14ac:dyDescent="0.25">
      <c r="A56" s="506">
        <f>Table!$S7+A$51</f>
        <v>-7.7464788732394361</v>
      </c>
      <c r="B56" s="506">
        <f>Table!$T7+B$51</f>
        <v>38.215962441314559</v>
      </c>
      <c r="C56" s="506">
        <f>Table!$S7+C$51</f>
        <v>7.7464788732394361</v>
      </c>
      <c r="D56" s="506">
        <f>Table!$T7+D$51</f>
        <v>38.215962441314559</v>
      </c>
      <c r="E56" s="506">
        <f>Table!$S7+E$51</f>
        <v>516.43192488262912</v>
      </c>
      <c r="F56" s="506">
        <f>Table!$T7+F$51</f>
        <v>38.215962441314559</v>
      </c>
      <c r="G56" s="506">
        <f>Table!$S7+G$51</f>
        <v>516.43192488262912</v>
      </c>
      <c r="H56" s="506">
        <f>Table!$T7+H$51</f>
        <v>38.215962441314559</v>
      </c>
      <c r="I56" s="506">
        <f>Table!$S7+I$51</f>
        <v>516.43192488262912</v>
      </c>
      <c r="J56" s="506">
        <f>Table!$T7+J$51</f>
        <v>38.215962441314559</v>
      </c>
      <c r="K56" s="506">
        <f>Table!$S7+K$51</f>
        <v>516.43192488262912</v>
      </c>
      <c r="L56" s="506">
        <f>Table!$T7+L$51</f>
        <v>38.215962441314559</v>
      </c>
      <c r="M56" s="506">
        <f>Table!$S7+M$51</f>
        <v>516.43192488262912</v>
      </c>
      <c r="N56" s="506">
        <f>Table!$T7+N$51</f>
        <v>38.215962441314559</v>
      </c>
      <c r="O56" s="506">
        <f>Table!$S7+O$51</f>
        <v>516.43192488262912</v>
      </c>
      <c r="P56" s="506">
        <f>Table!$T7+P$51</f>
        <v>38.215962441314559</v>
      </c>
      <c r="Q56" s="513">
        <v>15</v>
      </c>
      <c r="R56" s="340">
        <f>R54-'Input (1)'!F44</f>
        <v>5.3999999999999986</v>
      </c>
      <c r="S56" s="340">
        <f>S55</f>
        <v>0</v>
      </c>
      <c r="T56" s="548">
        <f t="shared" si="4"/>
        <v>3.8150289017341024</v>
      </c>
      <c r="U56" s="548">
        <f t="shared" si="5"/>
        <v>-27.5</v>
      </c>
      <c r="V56" s="505">
        <f>R56-($R$54-$V$54)</f>
        <v>0.5</v>
      </c>
      <c r="W56" s="505">
        <f>S56-($S$54-$W$54)</f>
        <v>-8.65</v>
      </c>
      <c r="X56" s="548">
        <f t="shared" si="8"/>
        <v>2.5821596244131455</v>
      </c>
      <c r="Y56" s="548">
        <f t="shared" si="9"/>
        <v>-44.671361502347416</v>
      </c>
    </row>
    <row r="57" spans="1:25" x14ac:dyDescent="0.25">
      <c r="A57" s="506">
        <f>Table!$S8+A$51</f>
        <v>-6.9561314553990607</v>
      </c>
      <c r="B57" s="506">
        <f>Table!$T8+B$51</f>
        <v>38.058553990610328</v>
      </c>
      <c r="C57" s="506">
        <f>Table!$S8+C$51</f>
        <v>8.5368262910798123</v>
      </c>
      <c r="D57" s="506">
        <f>Table!$T8+D$51</f>
        <v>38.058553990610328</v>
      </c>
      <c r="E57" s="506">
        <f>Table!$S8+E$51</f>
        <v>517.22227230046951</v>
      </c>
      <c r="F57" s="506">
        <f>Table!$T8+F$51</f>
        <v>38.058553990610328</v>
      </c>
      <c r="G57" s="506">
        <f>Table!$S8+G$51</f>
        <v>517.22227230046951</v>
      </c>
      <c r="H57" s="506">
        <f>Table!$T8+H$51</f>
        <v>38.058553990610328</v>
      </c>
      <c r="I57" s="506">
        <f>Table!$S8+I$51</f>
        <v>517.22227230046951</v>
      </c>
      <c r="J57" s="506">
        <f>Table!$T8+J$51</f>
        <v>38.058553990610328</v>
      </c>
      <c r="K57" s="506">
        <f>Table!$S8+K$51</f>
        <v>517.22227230046951</v>
      </c>
      <c r="L57" s="506">
        <f>Table!$T8+L$51</f>
        <v>38.058553990610328</v>
      </c>
      <c r="M57" s="506">
        <f>Table!$S8+M$51</f>
        <v>517.22227230046951</v>
      </c>
      <c r="N57" s="506">
        <f>Table!$T8+N$51</f>
        <v>38.058553990610328</v>
      </c>
      <c r="O57" s="506">
        <f>Table!$S8+O$51</f>
        <v>517.22227230046951</v>
      </c>
      <c r="P57" s="506">
        <f>Table!$T8+P$51</f>
        <v>38.058553990610328</v>
      </c>
      <c r="Q57" s="513">
        <v>16</v>
      </c>
      <c r="R57" s="340">
        <f>R56</f>
        <v>5.3999999999999986</v>
      </c>
      <c r="S57" s="340">
        <f>S53</f>
        <v>17.3</v>
      </c>
      <c r="T57" s="548">
        <f t="shared" si="4"/>
        <v>3.8150289017341024</v>
      </c>
      <c r="U57" s="548">
        <f t="shared" si="5"/>
        <v>27.5</v>
      </c>
      <c r="V57" s="505">
        <f>R57-($R$54-$V$54)</f>
        <v>0.5</v>
      </c>
      <c r="W57" s="505">
        <f>S57-($S$54-$W$54)</f>
        <v>8.65</v>
      </c>
      <c r="X57" s="548">
        <f t="shared" si="8"/>
        <v>2.5821596244131455</v>
      </c>
      <c r="Y57" s="548">
        <f t="shared" si="9"/>
        <v>44.671361502347416</v>
      </c>
    </row>
    <row r="58" spans="1:25" x14ac:dyDescent="0.25">
      <c r="A58" s="506">
        <f>Table!$S9+A$51</f>
        <v>-6.2855962441314546</v>
      </c>
      <c r="B58" s="506">
        <f>Table!$T9+B$51</f>
        <v>37.611117370892018</v>
      </c>
      <c r="C58" s="506">
        <f>Table!$S9+C$51</f>
        <v>9.2073615023474176</v>
      </c>
      <c r="D58" s="506">
        <f>Table!$T9+D$51</f>
        <v>37.611117370892018</v>
      </c>
      <c r="E58" s="506">
        <f>Table!$S9+E$51</f>
        <v>517.89280751173715</v>
      </c>
      <c r="F58" s="506">
        <f>Table!$T9+F$51</f>
        <v>37.611117370892018</v>
      </c>
      <c r="G58" s="506">
        <f>Table!$S9+G$51</f>
        <v>517.89280751173715</v>
      </c>
      <c r="H58" s="506">
        <f>Table!$T9+H$51</f>
        <v>37.611117370892018</v>
      </c>
      <c r="I58" s="506">
        <f>Table!$S9+I$51</f>
        <v>517.89280751173715</v>
      </c>
      <c r="J58" s="506">
        <f>Table!$T9+J$51</f>
        <v>37.611117370892018</v>
      </c>
      <c r="K58" s="506">
        <f>Table!$S9+K$51</f>
        <v>517.89280751173715</v>
      </c>
      <c r="L58" s="506">
        <f>Table!$T9+L$51</f>
        <v>37.611117370892018</v>
      </c>
      <c r="M58" s="506">
        <f>Table!$S9+M$51</f>
        <v>517.89280751173715</v>
      </c>
      <c r="N58" s="506">
        <f>Table!$T9+N$51</f>
        <v>37.611117370892018</v>
      </c>
      <c r="O58" s="506">
        <f>Table!$S9+O$51</f>
        <v>517.89280751173715</v>
      </c>
      <c r="P58" s="506">
        <f>Table!$T9+P$51</f>
        <v>37.611117370892018</v>
      </c>
      <c r="Q58" s="513">
        <v>17</v>
      </c>
      <c r="R58" s="340">
        <f>R56+'Input (1)'!F45</f>
        <v>5.9999999999999982</v>
      </c>
      <c r="S58" s="340">
        <f>S56</f>
        <v>0</v>
      </c>
      <c r="T58" s="548">
        <f t="shared" si="4"/>
        <v>5.72254335260115</v>
      </c>
      <c r="U58" s="548">
        <f t="shared" si="5"/>
        <v>-27.5</v>
      </c>
      <c r="V58" s="505">
        <f>R58-($R$54-$V$54)</f>
        <v>1.0999999999999996</v>
      </c>
      <c r="W58" s="505">
        <f>S58-($S$54-$W$54)</f>
        <v>-8.65</v>
      </c>
      <c r="X58" s="548">
        <f t="shared" si="8"/>
        <v>5.6807511737089182</v>
      </c>
      <c r="Y58" s="548">
        <f t="shared" si="9"/>
        <v>-44.671361502347416</v>
      </c>
    </row>
    <row r="59" spans="1:25" x14ac:dyDescent="0.25">
      <c r="A59" s="506">
        <f>Table!$S10+A$51</f>
        <v>-5.8460093896713605</v>
      </c>
      <c r="B59" s="506">
        <f>Table!$T10+B$51</f>
        <v>36.940582159624412</v>
      </c>
      <c r="C59" s="506">
        <f>Table!$S10+C$51</f>
        <v>9.6469483568075116</v>
      </c>
      <c r="D59" s="506">
        <f>Table!$T10+D$51</f>
        <v>36.940582159624412</v>
      </c>
      <c r="E59" s="506">
        <f>Table!$S10+E$51</f>
        <v>518.33239436619715</v>
      </c>
      <c r="F59" s="506">
        <f>Table!$T10+F$51</f>
        <v>36.940582159624412</v>
      </c>
      <c r="G59" s="506">
        <f>Table!$S10+G$51</f>
        <v>518.33239436619715</v>
      </c>
      <c r="H59" s="506">
        <f>Table!$T10+H$51</f>
        <v>36.940582159624412</v>
      </c>
      <c r="I59" s="506">
        <f>Table!$S10+I$51</f>
        <v>518.33239436619715</v>
      </c>
      <c r="J59" s="506">
        <f>Table!$T10+J$51</f>
        <v>36.940582159624412</v>
      </c>
      <c r="K59" s="506">
        <f>Table!$S10+K$51</f>
        <v>518.33239436619715</v>
      </c>
      <c r="L59" s="506">
        <f>Table!$T10+L$51</f>
        <v>36.940582159624412</v>
      </c>
      <c r="M59" s="506">
        <f>Table!$S10+M$51</f>
        <v>518.33239436619715</v>
      </c>
      <c r="N59" s="506">
        <f>Table!$T10+N$51</f>
        <v>36.940582159624412</v>
      </c>
      <c r="O59" s="506">
        <f>Table!$S10+O$51</f>
        <v>518.33239436619715</v>
      </c>
      <c r="P59" s="506">
        <f>Table!$T10+P$51</f>
        <v>36.940582159624412</v>
      </c>
      <c r="Q59" s="513">
        <v>18</v>
      </c>
      <c r="R59" s="340">
        <f>R58</f>
        <v>5.9999999999999982</v>
      </c>
      <c r="S59" s="340">
        <f>S57</f>
        <v>17.3</v>
      </c>
      <c r="T59" s="548">
        <f t="shared" si="4"/>
        <v>5.72254335260115</v>
      </c>
      <c r="U59" s="548">
        <f t="shared" si="5"/>
        <v>27.5</v>
      </c>
      <c r="V59" s="505">
        <f>R59-($R$54-$V$54)</f>
        <v>1.0999999999999996</v>
      </c>
      <c r="W59" s="505">
        <f>S59-($S$54-$W$54)</f>
        <v>8.65</v>
      </c>
      <c r="X59" s="548">
        <f t="shared" si="8"/>
        <v>5.6807511737089182</v>
      </c>
      <c r="Y59" s="548">
        <f t="shared" si="9"/>
        <v>44.671361502347416</v>
      </c>
    </row>
    <row r="60" spans="1:25" x14ac:dyDescent="0.25">
      <c r="A60" s="506">
        <f>Table!$S11+A$51</f>
        <v>-5.68075117370892</v>
      </c>
      <c r="B60" s="506">
        <f>Table!$T11+B$51</f>
        <v>36.15023474178404</v>
      </c>
      <c r="C60" s="506">
        <f>Table!$S11+C$51</f>
        <v>9.8122065727699521</v>
      </c>
      <c r="D60" s="506">
        <f>Table!$T11+D$51</f>
        <v>36.15023474178404</v>
      </c>
      <c r="E60" s="506">
        <f>Table!$S11+E$51</f>
        <v>518.49765258215962</v>
      </c>
      <c r="F60" s="506">
        <f>Table!$T11+F$51</f>
        <v>36.15023474178404</v>
      </c>
      <c r="G60" s="506">
        <f>Table!$S11+G$51</f>
        <v>518.49765258215962</v>
      </c>
      <c r="H60" s="506">
        <f>Table!$T11+H$51</f>
        <v>36.15023474178404</v>
      </c>
      <c r="I60" s="506">
        <f>Table!$S11+I$51</f>
        <v>518.49765258215962</v>
      </c>
      <c r="J60" s="506">
        <f>Table!$T11+J$51</f>
        <v>36.15023474178404</v>
      </c>
      <c r="K60" s="506">
        <f>Table!$S11+K$51</f>
        <v>518.49765258215962</v>
      </c>
      <c r="L60" s="506">
        <f>Table!$T11+L$51</f>
        <v>36.15023474178404</v>
      </c>
      <c r="M60" s="506">
        <f>Table!$S11+M$51</f>
        <v>518.49765258215962</v>
      </c>
      <c r="N60" s="506">
        <f>Table!$T11+N$51</f>
        <v>36.15023474178404</v>
      </c>
      <c r="O60" s="506">
        <f>Table!$S11+O$51</f>
        <v>518.49765258215962</v>
      </c>
      <c r="P60" s="506">
        <f>Table!$T11+P$51</f>
        <v>36.15023474178404</v>
      </c>
    </row>
    <row r="61" spans="1:25" x14ac:dyDescent="0.25">
      <c r="A61" s="506">
        <f>Table!$S12+A$51</f>
        <v>-5.8460093896713605</v>
      </c>
      <c r="B61" s="506">
        <f>Table!$T12+B$51</f>
        <v>35.359887323943667</v>
      </c>
      <c r="C61" s="506">
        <f>Table!$S12+C$51</f>
        <v>9.6469483568075116</v>
      </c>
      <c r="D61" s="506">
        <f>Table!$T12+D$51</f>
        <v>35.359887323943667</v>
      </c>
      <c r="E61" s="506">
        <f>Table!$S12+E$51</f>
        <v>518.33239436619715</v>
      </c>
      <c r="F61" s="506">
        <f>Table!$T12+F$51</f>
        <v>35.359887323943667</v>
      </c>
      <c r="G61" s="506">
        <f>Table!$S12+G$51</f>
        <v>518.33239436619715</v>
      </c>
      <c r="H61" s="506">
        <f>Table!$T12+H$51</f>
        <v>35.359887323943667</v>
      </c>
      <c r="I61" s="506">
        <f>Table!$S12+I$51</f>
        <v>518.33239436619715</v>
      </c>
      <c r="J61" s="506">
        <f>Table!$T12+J$51</f>
        <v>35.359887323943667</v>
      </c>
      <c r="K61" s="506">
        <f>Table!$S12+K$51</f>
        <v>518.33239436619715</v>
      </c>
      <c r="L61" s="506">
        <f>Table!$T12+L$51</f>
        <v>35.359887323943667</v>
      </c>
      <c r="M61" s="506">
        <f>Table!$S12+M$51</f>
        <v>518.33239436619715</v>
      </c>
      <c r="N61" s="506">
        <f>Table!$T12+N$51</f>
        <v>35.359887323943667</v>
      </c>
      <c r="O61" s="506">
        <f>Table!$S12+O$51</f>
        <v>518.33239436619715</v>
      </c>
      <c r="P61" s="506">
        <f>Table!$T12+P$51</f>
        <v>35.359887323943667</v>
      </c>
    </row>
    <row r="62" spans="1:25" x14ac:dyDescent="0.25">
      <c r="A62" s="506">
        <f>Table!$S13+A$51</f>
        <v>-6.2855962441314546</v>
      </c>
      <c r="B62" s="506">
        <f>Table!$T13+B$51</f>
        <v>34.689352112676062</v>
      </c>
      <c r="C62" s="506">
        <f>Table!$S13+C$51</f>
        <v>9.2073615023474176</v>
      </c>
      <c r="D62" s="506">
        <f>Table!$T13+D$51</f>
        <v>34.689352112676062</v>
      </c>
      <c r="E62" s="506">
        <f>Table!$S13+E$51</f>
        <v>517.89280751173715</v>
      </c>
      <c r="F62" s="506">
        <f>Table!$T13+F$51</f>
        <v>34.689352112676062</v>
      </c>
      <c r="G62" s="506">
        <f>Table!$S13+G$51</f>
        <v>517.89280751173715</v>
      </c>
      <c r="H62" s="506">
        <f>Table!$T13+H$51</f>
        <v>34.689352112676062</v>
      </c>
      <c r="I62" s="506">
        <f>Table!$S13+I$51</f>
        <v>517.89280751173715</v>
      </c>
      <c r="J62" s="506">
        <f>Table!$T13+J$51</f>
        <v>34.689352112676062</v>
      </c>
      <c r="K62" s="506">
        <f>Table!$S13+K$51</f>
        <v>517.89280751173715</v>
      </c>
      <c r="L62" s="506">
        <f>Table!$T13+L$51</f>
        <v>34.689352112676062</v>
      </c>
      <c r="M62" s="506">
        <f>Table!$S13+M$51</f>
        <v>517.89280751173715</v>
      </c>
      <c r="N62" s="506">
        <f>Table!$T13+N$51</f>
        <v>34.689352112676062</v>
      </c>
      <c r="O62" s="506">
        <f>Table!$S13+O$51</f>
        <v>517.89280751173715</v>
      </c>
      <c r="P62" s="506">
        <f>Table!$T13+P$51</f>
        <v>34.689352112676062</v>
      </c>
    </row>
    <row r="63" spans="1:25" x14ac:dyDescent="0.25">
      <c r="A63" s="506">
        <f>Table!$S14+A$51</f>
        <v>-6.9561314553990607</v>
      </c>
      <c r="B63" s="506">
        <f>Table!$T14+B$51</f>
        <v>34.241915492957752</v>
      </c>
      <c r="C63" s="506">
        <f>Table!$S14+C$51</f>
        <v>8.5368262910798123</v>
      </c>
      <c r="D63" s="506">
        <f>Table!$T14+D$51</f>
        <v>34.241915492957752</v>
      </c>
      <c r="E63" s="506">
        <f>Table!$S14+E$51</f>
        <v>517.22227230046951</v>
      </c>
      <c r="F63" s="506">
        <f>Table!$T14+F$51</f>
        <v>34.241915492957752</v>
      </c>
      <c r="G63" s="506">
        <f>Table!$S14+G$51</f>
        <v>517.22227230046951</v>
      </c>
      <c r="H63" s="506">
        <f>Table!$T14+H$51</f>
        <v>34.241915492957752</v>
      </c>
      <c r="I63" s="506">
        <f>Table!$S14+I$51</f>
        <v>517.22227230046951</v>
      </c>
      <c r="J63" s="506">
        <f>Table!$T14+J$51</f>
        <v>34.241915492957752</v>
      </c>
      <c r="K63" s="506">
        <f>Table!$S14+K$51</f>
        <v>517.22227230046951</v>
      </c>
      <c r="L63" s="506">
        <f>Table!$T14+L$51</f>
        <v>34.241915492957752</v>
      </c>
      <c r="M63" s="506">
        <f>Table!$S14+M$51</f>
        <v>517.22227230046951</v>
      </c>
      <c r="N63" s="506">
        <f>Table!$T14+N$51</f>
        <v>34.241915492957752</v>
      </c>
      <c r="O63" s="506">
        <f>Table!$S14+O$51</f>
        <v>517.22227230046951</v>
      </c>
      <c r="P63" s="506">
        <f>Table!$T14+P$51</f>
        <v>34.241915492957752</v>
      </c>
    </row>
    <row r="64" spans="1:25" x14ac:dyDescent="0.25">
      <c r="A64" s="506">
        <f>Table!$S15+A$51</f>
        <v>-7.7464788732394361</v>
      </c>
      <c r="B64" s="506">
        <f>Table!$T15+B$51</f>
        <v>34.08450704225352</v>
      </c>
      <c r="C64" s="506">
        <f>Table!$S15+C$51</f>
        <v>7.7464788732394361</v>
      </c>
      <c r="D64" s="506">
        <f>Table!$T15+D$51</f>
        <v>34.08450704225352</v>
      </c>
      <c r="E64" s="506">
        <f>Table!$S15+E$51</f>
        <v>516.43192488262912</v>
      </c>
      <c r="F64" s="506">
        <f>Table!$T15+F$51</f>
        <v>34.08450704225352</v>
      </c>
      <c r="G64" s="506">
        <f>Table!$S15+G$51</f>
        <v>516.43192488262912</v>
      </c>
      <c r="H64" s="506">
        <f>Table!$T15+H$51</f>
        <v>34.08450704225352</v>
      </c>
      <c r="I64" s="506">
        <f>Table!$S15+I$51</f>
        <v>516.43192488262912</v>
      </c>
      <c r="J64" s="506">
        <f>Table!$T15+J$51</f>
        <v>34.08450704225352</v>
      </c>
      <c r="K64" s="506">
        <f>Table!$S15+K$51</f>
        <v>516.43192488262912</v>
      </c>
      <c r="L64" s="506">
        <f>Table!$T15+L$51</f>
        <v>34.08450704225352</v>
      </c>
      <c r="M64" s="506">
        <f>Table!$S15+M$51</f>
        <v>516.43192488262912</v>
      </c>
      <c r="N64" s="506">
        <f>Table!$T15+N$51</f>
        <v>34.08450704225352</v>
      </c>
      <c r="O64" s="506">
        <f>Table!$S15+O$51</f>
        <v>516.43192488262912</v>
      </c>
      <c r="P64" s="506">
        <f>Table!$T15+P$51</f>
        <v>34.08450704225352</v>
      </c>
    </row>
    <row r="65" spans="1:16" x14ac:dyDescent="0.25">
      <c r="A65" s="506">
        <f>Table!$S16+A$51</f>
        <v>-8.5368262910798123</v>
      </c>
      <c r="B65" s="506">
        <f>Table!$T16+B$51</f>
        <v>34.241915492957752</v>
      </c>
      <c r="C65" s="506">
        <f>Table!$S16+C$51</f>
        <v>6.9561314553990607</v>
      </c>
      <c r="D65" s="506">
        <f>Table!$T16+D$51</f>
        <v>34.241915492957752</v>
      </c>
      <c r="E65" s="506">
        <f>Table!$S16+E$51</f>
        <v>515.64157746478872</v>
      </c>
      <c r="F65" s="506">
        <f>Table!$T16+F$51</f>
        <v>34.241915492957752</v>
      </c>
      <c r="G65" s="506">
        <f>Table!$S16+G$51</f>
        <v>515.64157746478872</v>
      </c>
      <c r="H65" s="506">
        <f>Table!$T16+H$51</f>
        <v>34.241915492957752</v>
      </c>
      <c r="I65" s="506">
        <f>Table!$S16+I$51</f>
        <v>515.64157746478872</v>
      </c>
      <c r="J65" s="506">
        <f>Table!$T16+J$51</f>
        <v>34.241915492957752</v>
      </c>
      <c r="K65" s="506">
        <f>Table!$S16+K$51</f>
        <v>515.64157746478872</v>
      </c>
      <c r="L65" s="506">
        <f>Table!$T16+L$51</f>
        <v>34.241915492957752</v>
      </c>
      <c r="M65" s="506">
        <f>Table!$S16+M$51</f>
        <v>515.64157746478872</v>
      </c>
      <c r="N65" s="506">
        <f>Table!$T16+N$51</f>
        <v>34.241915492957752</v>
      </c>
      <c r="O65" s="506">
        <f>Table!$S16+O$51</f>
        <v>515.64157746478872</v>
      </c>
      <c r="P65" s="506">
        <f>Table!$T16+P$51</f>
        <v>34.241915492957752</v>
      </c>
    </row>
    <row r="66" spans="1:16" x14ac:dyDescent="0.25">
      <c r="A66" s="506">
        <f>Table!$S17+A$51</f>
        <v>-9.2073615023474176</v>
      </c>
      <c r="B66" s="506">
        <f>Table!$T17+B$51</f>
        <v>34.689352112676062</v>
      </c>
      <c r="C66" s="506">
        <f>Table!$S17+C$51</f>
        <v>6.2855962441314546</v>
      </c>
      <c r="D66" s="506">
        <f>Table!$T17+D$51</f>
        <v>34.689352112676062</v>
      </c>
      <c r="E66" s="506">
        <f>Table!$S17+E$51</f>
        <v>514.97104225352109</v>
      </c>
      <c r="F66" s="506">
        <f>Table!$T17+F$51</f>
        <v>34.689352112676062</v>
      </c>
      <c r="G66" s="506">
        <f>Table!$S17+G$51</f>
        <v>514.97104225352109</v>
      </c>
      <c r="H66" s="506">
        <f>Table!$T17+H$51</f>
        <v>34.689352112676062</v>
      </c>
      <c r="I66" s="506">
        <f>Table!$S17+I$51</f>
        <v>514.97104225352109</v>
      </c>
      <c r="J66" s="506">
        <f>Table!$T17+J$51</f>
        <v>34.689352112676062</v>
      </c>
      <c r="K66" s="506">
        <f>Table!$S17+K$51</f>
        <v>514.97104225352109</v>
      </c>
      <c r="L66" s="506">
        <f>Table!$T17+L$51</f>
        <v>34.689352112676062</v>
      </c>
      <c r="M66" s="506">
        <f>Table!$S17+M$51</f>
        <v>514.97104225352109</v>
      </c>
      <c r="N66" s="506">
        <f>Table!$T17+N$51</f>
        <v>34.689352112676062</v>
      </c>
      <c r="O66" s="506">
        <f>Table!$S17+O$51</f>
        <v>514.97104225352109</v>
      </c>
      <c r="P66" s="506">
        <f>Table!$T17+P$51</f>
        <v>34.689352112676062</v>
      </c>
    </row>
    <row r="67" spans="1:16" x14ac:dyDescent="0.25">
      <c r="A67" s="506">
        <f>Table!$S18+A$51</f>
        <v>-9.6547981220657277</v>
      </c>
      <c r="B67" s="506">
        <f>Table!$T18+B$51</f>
        <v>35.359887323943667</v>
      </c>
      <c r="C67" s="506">
        <f>Table!$S18+C$51</f>
        <v>5.8381596244131453</v>
      </c>
      <c r="D67" s="506">
        <f>Table!$T18+D$51</f>
        <v>35.359887323943667</v>
      </c>
      <c r="E67" s="506">
        <f>Table!$S18+E$51</f>
        <v>514.52360563380284</v>
      </c>
      <c r="F67" s="506">
        <f>Table!$T18+F$51</f>
        <v>35.359887323943667</v>
      </c>
      <c r="G67" s="506">
        <f>Table!$S18+G$51</f>
        <v>514.52360563380284</v>
      </c>
      <c r="H67" s="506">
        <f>Table!$T18+H$51</f>
        <v>35.359887323943667</v>
      </c>
      <c r="I67" s="506">
        <f>Table!$S18+I$51</f>
        <v>514.52360563380284</v>
      </c>
      <c r="J67" s="506">
        <f>Table!$T18+J$51</f>
        <v>35.359887323943667</v>
      </c>
      <c r="K67" s="506">
        <f>Table!$S18+K$51</f>
        <v>514.52360563380284</v>
      </c>
      <c r="L67" s="506">
        <f>Table!$T18+L$51</f>
        <v>35.359887323943667</v>
      </c>
      <c r="M67" s="506">
        <f>Table!$S18+M$51</f>
        <v>514.52360563380284</v>
      </c>
      <c r="N67" s="506">
        <f>Table!$T18+N$51</f>
        <v>35.359887323943667</v>
      </c>
      <c r="O67" s="506">
        <f>Table!$S18+O$51</f>
        <v>514.52360563380284</v>
      </c>
      <c r="P67" s="506">
        <f>Table!$T18+P$51</f>
        <v>35.359887323943667</v>
      </c>
    </row>
    <row r="68" spans="1:16" x14ac:dyDescent="0.25">
      <c r="A68" s="506">
        <f>Table!$S19+A$51</f>
        <v>-9.8122065727699521</v>
      </c>
      <c r="B68" s="506">
        <f>Table!$T19+B$51</f>
        <v>36.15023474178404</v>
      </c>
      <c r="C68" s="506">
        <f>Table!$S19+C$51</f>
        <v>5.68075117370892</v>
      </c>
      <c r="D68" s="506">
        <f>Table!$T19+D$51</f>
        <v>36.15023474178404</v>
      </c>
      <c r="E68" s="506">
        <f>Table!$S19+E$51</f>
        <v>514.36619718309862</v>
      </c>
      <c r="F68" s="506">
        <f>Table!$T19+F$51</f>
        <v>36.15023474178404</v>
      </c>
      <c r="G68" s="506">
        <f>Table!$S19+G$51</f>
        <v>514.36619718309862</v>
      </c>
      <c r="H68" s="506">
        <f>Table!$T19+H$51</f>
        <v>36.15023474178404</v>
      </c>
      <c r="I68" s="506">
        <f>Table!$S19+I$51</f>
        <v>514.36619718309862</v>
      </c>
      <c r="J68" s="506">
        <f>Table!$T19+J$51</f>
        <v>36.15023474178404</v>
      </c>
      <c r="K68" s="506">
        <f>Table!$S19+K$51</f>
        <v>514.36619718309862</v>
      </c>
      <c r="L68" s="506">
        <f>Table!$T19+L$51</f>
        <v>36.15023474178404</v>
      </c>
      <c r="M68" s="506">
        <f>Table!$S19+M$51</f>
        <v>514.36619718309862</v>
      </c>
      <c r="N68" s="506">
        <f>Table!$T19+N$51</f>
        <v>36.15023474178404</v>
      </c>
      <c r="O68" s="506">
        <f>Table!$S19+O$51</f>
        <v>514.36619718309862</v>
      </c>
      <c r="P68" s="506">
        <f>Table!$T19+P$51</f>
        <v>36.15023474178404</v>
      </c>
    </row>
    <row r="69" spans="1:16" x14ac:dyDescent="0.25">
      <c r="A69" s="506">
        <f>Table!$S20+A$51</f>
        <v>-10.84507042253521</v>
      </c>
      <c r="B69" s="506">
        <f>Table!$T20+B$51</f>
        <v>36.15023474178404</v>
      </c>
      <c r="C69" s="506">
        <f>Table!$S20+C$51</f>
        <v>4.647887323943662</v>
      </c>
      <c r="D69" s="506">
        <f>Table!$T20+D$51</f>
        <v>36.15023474178404</v>
      </c>
      <c r="E69" s="506">
        <f>Table!$S20+E$51</f>
        <v>513.33333333333337</v>
      </c>
      <c r="F69" s="506">
        <f>Table!$T20+F$51</f>
        <v>36.15023474178404</v>
      </c>
      <c r="G69" s="506">
        <f>Table!$S20+G$51</f>
        <v>513.33333333333337</v>
      </c>
      <c r="H69" s="506">
        <f>Table!$T20+H$51</f>
        <v>36.15023474178404</v>
      </c>
      <c r="I69" s="506">
        <f>Table!$S20+I$51</f>
        <v>513.33333333333337</v>
      </c>
      <c r="J69" s="506">
        <f>Table!$T20+J$51</f>
        <v>36.15023474178404</v>
      </c>
      <c r="K69" s="506">
        <f>Table!$S20+K$51</f>
        <v>513.33333333333337</v>
      </c>
      <c r="L69" s="506">
        <f>Table!$T20+L$51</f>
        <v>36.15023474178404</v>
      </c>
      <c r="M69" s="506">
        <f>Table!$S20+M$51</f>
        <v>513.33333333333337</v>
      </c>
      <c r="N69" s="506">
        <f>Table!$T20+N$51</f>
        <v>36.15023474178404</v>
      </c>
      <c r="O69" s="506">
        <f>Table!$S20+O$51</f>
        <v>513.33333333333337</v>
      </c>
      <c r="P69" s="506">
        <f>Table!$T20+P$51</f>
        <v>36.15023474178404</v>
      </c>
    </row>
    <row r="70" spans="1:16" x14ac:dyDescent="0.25">
      <c r="A70" s="506">
        <f>Table!$S21+A$51</f>
        <v>-4.647887323943662</v>
      </c>
      <c r="B70" s="506">
        <f>Table!$T21+B$51</f>
        <v>36.15023474178404</v>
      </c>
      <c r="C70" s="506">
        <f>Table!$S21+C$51</f>
        <v>10.84507042253521</v>
      </c>
      <c r="D70" s="506">
        <f>Table!$T21+D$51</f>
        <v>36.15023474178404</v>
      </c>
      <c r="E70" s="506">
        <f>Table!$S21+E$51</f>
        <v>519.53051643192487</v>
      </c>
      <c r="F70" s="506">
        <f>Table!$T21+F$51</f>
        <v>36.15023474178404</v>
      </c>
      <c r="G70" s="506">
        <f>Table!$S21+G$51</f>
        <v>519.53051643192487</v>
      </c>
      <c r="H70" s="506">
        <f>Table!$T21+H$51</f>
        <v>36.15023474178404</v>
      </c>
      <c r="I70" s="506">
        <f>Table!$S21+I$51</f>
        <v>519.53051643192487</v>
      </c>
      <c r="J70" s="506">
        <f>Table!$T21+J$51</f>
        <v>36.15023474178404</v>
      </c>
      <c r="K70" s="506">
        <f>Table!$S21+K$51</f>
        <v>519.53051643192487</v>
      </c>
      <c r="L70" s="506">
        <f>Table!$T21+L$51</f>
        <v>36.15023474178404</v>
      </c>
      <c r="M70" s="506">
        <f>Table!$S21+M$51</f>
        <v>519.53051643192487</v>
      </c>
      <c r="N70" s="506">
        <f>Table!$T21+N$51</f>
        <v>36.15023474178404</v>
      </c>
      <c r="O70" s="506">
        <f>Table!$S21+O$51</f>
        <v>519.53051643192487</v>
      </c>
      <c r="P70" s="506">
        <f>Table!$T21+P$51</f>
        <v>36.15023474178404</v>
      </c>
    </row>
    <row r="71" spans="1:16" x14ac:dyDescent="0.25">
      <c r="A71" s="506">
        <f>Table!$S22+A$51</f>
        <v>-7.7464788732394361</v>
      </c>
      <c r="B71" s="506">
        <f>Table!$T22+B$51</f>
        <v>33.051643192488264</v>
      </c>
      <c r="C71" s="506">
        <f>Table!$S22+C$51</f>
        <v>7.7464788732394361</v>
      </c>
      <c r="D71" s="506">
        <f>Table!$T22+D$51</f>
        <v>33.051643192488264</v>
      </c>
      <c r="E71" s="506">
        <f>Table!$S22+E$51</f>
        <v>516.43192488262912</v>
      </c>
      <c r="F71" s="506">
        <f>Table!$T22+F$51</f>
        <v>33.051643192488264</v>
      </c>
      <c r="G71" s="506">
        <f>Table!$S22+G$51</f>
        <v>516.43192488262912</v>
      </c>
      <c r="H71" s="506">
        <f>Table!$T22+H$51</f>
        <v>33.051643192488264</v>
      </c>
      <c r="I71" s="506">
        <f>Table!$S22+I$51</f>
        <v>516.43192488262912</v>
      </c>
      <c r="J71" s="506">
        <f>Table!$T22+J$51</f>
        <v>33.051643192488264</v>
      </c>
      <c r="K71" s="506">
        <f>Table!$S22+K$51</f>
        <v>516.43192488262912</v>
      </c>
      <c r="L71" s="506">
        <f>Table!$T22+L$51</f>
        <v>33.051643192488264</v>
      </c>
      <c r="M71" s="506">
        <f>Table!$S22+M$51</f>
        <v>516.43192488262912</v>
      </c>
      <c r="N71" s="506">
        <f>Table!$T22+N$51</f>
        <v>33.051643192488264</v>
      </c>
      <c r="O71" s="506">
        <f>Table!$S22+O$51</f>
        <v>516.43192488262912</v>
      </c>
      <c r="P71" s="506">
        <f>Table!$T22+P$51</f>
        <v>33.051643192488264</v>
      </c>
    </row>
    <row r="72" spans="1:16" x14ac:dyDescent="0.25">
      <c r="A72" s="506">
        <f>Table!$S23+A$51</f>
        <v>-7.7464788732394361</v>
      </c>
      <c r="B72" s="506">
        <f>Table!$T23+B$51</f>
        <v>39.248826291079816</v>
      </c>
      <c r="C72" s="506">
        <f>Table!$S23+C$51</f>
        <v>7.7464788732394361</v>
      </c>
      <c r="D72" s="506">
        <f>Table!$T23+D$51</f>
        <v>39.248826291079816</v>
      </c>
      <c r="E72" s="506">
        <f>Table!$S23+E$51</f>
        <v>516.43192488262912</v>
      </c>
      <c r="F72" s="506">
        <f>Table!$T23+F$51</f>
        <v>39.248826291079816</v>
      </c>
      <c r="G72" s="506">
        <f>Table!$S23+G$51</f>
        <v>516.43192488262912</v>
      </c>
      <c r="H72" s="506">
        <f>Table!$T23+H$51</f>
        <v>39.248826291079816</v>
      </c>
      <c r="I72" s="506">
        <f>Table!$S23+I$51</f>
        <v>516.43192488262912</v>
      </c>
      <c r="J72" s="506">
        <f>Table!$T23+J$51</f>
        <v>39.248826291079816</v>
      </c>
      <c r="K72" s="506">
        <f>Table!$S23+K$51</f>
        <v>516.43192488262912</v>
      </c>
      <c r="L72" s="506">
        <f>Table!$T23+L$51</f>
        <v>39.248826291079816</v>
      </c>
      <c r="M72" s="506">
        <f>Table!$S23+M$51</f>
        <v>516.43192488262912</v>
      </c>
      <c r="N72" s="506">
        <f>Table!$T23+N$51</f>
        <v>39.248826291079816</v>
      </c>
      <c r="O72" s="506">
        <f>Table!$S23+O$51</f>
        <v>516.43192488262912</v>
      </c>
      <c r="P72" s="506">
        <f>Table!$T23+P$51</f>
        <v>39.248826291079816</v>
      </c>
    </row>
    <row r="73" spans="1:16" x14ac:dyDescent="0.25">
      <c r="A73" s="502" t="s">
        <v>995</v>
      </c>
      <c r="B73" s="502" t="s">
        <v>1007</v>
      </c>
      <c r="C73" s="502" t="s">
        <v>997</v>
      </c>
      <c r="D73" s="502" t="s">
        <v>1007</v>
      </c>
      <c r="E73" s="502" t="s">
        <v>998</v>
      </c>
      <c r="F73" s="502" t="s">
        <v>1007</v>
      </c>
      <c r="G73" s="502" t="s">
        <v>999</v>
      </c>
      <c r="H73" s="502" t="s">
        <v>1007</v>
      </c>
      <c r="I73" s="502" t="s">
        <v>1000</v>
      </c>
      <c r="J73" s="502" t="s">
        <v>1007</v>
      </c>
      <c r="K73" s="502" t="s">
        <v>1001</v>
      </c>
      <c r="L73" s="502" t="s">
        <v>1007</v>
      </c>
      <c r="M73" s="502" t="s">
        <v>1002</v>
      </c>
      <c r="N73" s="502" t="s">
        <v>1007</v>
      </c>
      <c r="O73" s="502" t="s">
        <v>1003</v>
      </c>
      <c r="P73" s="502" t="s">
        <v>1007</v>
      </c>
    </row>
    <row r="74" spans="1:16" x14ac:dyDescent="0.25">
      <c r="A74" s="502" t="s">
        <v>72</v>
      </c>
      <c r="B74" s="502" t="s">
        <v>71</v>
      </c>
      <c r="C74" s="502" t="s">
        <v>72</v>
      </c>
      <c r="D74" s="502" t="s">
        <v>71</v>
      </c>
      <c r="E74" s="502" t="s">
        <v>72</v>
      </c>
      <c r="F74" s="502" t="s">
        <v>71</v>
      </c>
      <c r="G74" s="502" t="s">
        <v>72</v>
      </c>
      <c r="H74" s="502" t="s">
        <v>71</v>
      </c>
      <c r="I74" s="502" t="s">
        <v>72</v>
      </c>
      <c r="J74" s="502" t="s">
        <v>71</v>
      </c>
      <c r="K74" s="502" t="s">
        <v>72</v>
      </c>
      <c r="L74" s="502" t="s">
        <v>71</v>
      </c>
      <c r="M74" s="502" t="s">
        <v>72</v>
      </c>
      <c r="N74" s="502" t="s">
        <v>71</v>
      </c>
      <c r="O74" s="502" t="s">
        <v>72</v>
      </c>
      <c r="P74" s="502" t="s">
        <v>71</v>
      </c>
    </row>
    <row r="75" spans="1:16" x14ac:dyDescent="0.25">
      <c r="A75" s="502">
        <f>A99</f>
        <v>-7.7464788732394361</v>
      </c>
      <c r="B75" s="502">
        <f>Table!$Q$36/Table!$Q$35*IF('Process (2)'!D60="",100,'Process (2)'!D60)</f>
        <v>21.69014084507042</v>
      </c>
      <c r="C75" s="502">
        <f>C99</f>
        <v>7.7464788732394361</v>
      </c>
      <c r="D75" s="502">
        <f>B75</f>
        <v>21.69014084507042</v>
      </c>
      <c r="E75" s="502">
        <f>E99</f>
        <v>516.43192488262912</v>
      </c>
      <c r="F75" s="502">
        <f>D75</f>
        <v>21.69014084507042</v>
      </c>
      <c r="G75" s="502">
        <f>G99</f>
        <v>516.43192488262912</v>
      </c>
      <c r="H75" s="502">
        <f>F75</f>
        <v>21.69014084507042</v>
      </c>
      <c r="I75" s="502">
        <f>I99</f>
        <v>516.43192488262912</v>
      </c>
      <c r="J75" s="502">
        <f>H75</f>
        <v>21.69014084507042</v>
      </c>
      <c r="K75" s="502">
        <f>K99</f>
        <v>516.43192488262912</v>
      </c>
      <c r="L75" s="502">
        <f>J75</f>
        <v>21.69014084507042</v>
      </c>
      <c r="M75" s="502">
        <f>M99</f>
        <v>516.43192488262912</v>
      </c>
      <c r="N75" s="502">
        <f>L75</f>
        <v>21.69014084507042</v>
      </c>
      <c r="O75" s="502">
        <f>O99</f>
        <v>516.43192488262912</v>
      </c>
      <c r="P75" s="502">
        <f>N75</f>
        <v>21.69014084507042</v>
      </c>
    </row>
    <row r="76" spans="1:16" x14ac:dyDescent="0.25">
      <c r="A76" s="506">
        <f>Table!$S3+A$75</f>
        <v>-9.8122065727699521</v>
      </c>
      <c r="B76" s="506">
        <f>Table!$T3+B$75</f>
        <v>21.69014084507042</v>
      </c>
      <c r="C76" s="506">
        <f>Table!$S3+C$75</f>
        <v>5.68075117370892</v>
      </c>
      <c r="D76" s="506">
        <f>Table!$T3+D$75</f>
        <v>21.69014084507042</v>
      </c>
      <c r="E76" s="506">
        <f>Table!$S3+E$75</f>
        <v>514.36619718309862</v>
      </c>
      <c r="F76" s="506">
        <f>Table!$T3+F$75</f>
        <v>21.69014084507042</v>
      </c>
      <c r="G76" s="506">
        <f>Table!$S3+G$75</f>
        <v>514.36619718309862</v>
      </c>
      <c r="H76" s="506">
        <f>Table!$T3+H$75</f>
        <v>21.69014084507042</v>
      </c>
      <c r="I76" s="506">
        <f>Table!$S3+I$75</f>
        <v>514.36619718309862</v>
      </c>
      <c r="J76" s="506">
        <f>Table!$T3+J$75</f>
        <v>21.69014084507042</v>
      </c>
      <c r="K76" s="506">
        <f>Table!$S3+K$75</f>
        <v>514.36619718309862</v>
      </c>
      <c r="L76" s="506">
        <f>Table!$T3+L$75</f>
        <v>21.69014084507042</v>
      </c>
      <c r="M76" s="506">
        <f>Table!$S3+M$75</f>
        <v>514.36619718309862</v>
      </c>
      <c r="N76" s="506">
        <f>Table!$T3+N$75</f>
        <v>21.69014084507042</v>
      </c>
      <c r="O76" s="506">
        <f>Table!$S3+O$75</f>
        <v>514.36619718309862</v>
      </c>
      <c r="P76" s="506">
        <f>Table!$T3+P$75</f>
        <v>21.69014084507042</v>
      </c>
    </row>
    <row r="77" spans="1:16" x14ac:dyDescent="0.25">
      <c r="A77" s="506">
        <f>Table!$S4+A$75</f>
        <v>-9.6547981220657277</v>
      </c>
      <c r="B77" s="506">
        <f>Table!$T4+B$75</f>
        <v>22.480488262910796</v>
      </c>
      <c r="C77" s="506">
        <f>Table!$S4+C$75</f>
        <v>5.8381596244131453</v>
      </c>
      <c r="D77" s="506">
        <f>Table!$T4+D$75</f>
        <v>22.480488262910796</v>
      </c>
      <c r="E77" s="506">
        <f>Table!$S4+E$75</f>
        <v>514.52360563380284</v>
      </c>
      <c r="F77" s="506">
        <f>Table!$T4+F$75</f>
        <v>22.480488262910796</v>
      </c>
      <c r="G77" s="506">
        <f>Table!$S4+G$75</f>
        <v>514.52360563380284</v>
      </c>
      <c r="H77" s="506">
        <f>Table!$T4+H$75</f>
        <v>22.480488262910796</v>
      </c>
      <c r="I77" s="506">
        <f>Table!$S4+I$75</f>
        <v>514.52360563380284</v>
      </c>
      <c r="J77" s="506">
        <f>Table!$T4+J$75</f>
        <v>22.480488262910796</v>
      </c>
      <c r="K77" s="506">
        <f>Table!$S4+K$75</f>
        <v>514.52360563380284</v>
      </c>
      <c r="L77" s="506">
        <f>Table!$T4+L$75</f>
        <v>22.480488262910796</v>
      </c>
      <c r="M77" s="506">
        <f>Table!$S4+M$75</f>
        <v>514.52360563380284</v>
      </c>
      <c r="N77" s="506">
        <f>Table!$T4+N$75</f>
        <v>22.480488262910796</v>
      </c>
      <c r="O77" s="506">
        <f>Table!$S4+O$75</f>
        <v>514.52360563380284</v>
      </c>
      <c r="P77" s="506">
        <f>Table!$T4+P$75</f>
        <v>22.480488262910796</v>
      </c>
    </row>
    <row r="78" spans="1:16" x14ac:dyDescent="0.25">
      <c r="A78" s="506">
        <f>Table!$S5+A$75</f>
        <v>-9.2073615023474176</v>
      </c>
      <c r="B78" s="506">
        <f>Table!$T5+B$75</f>
        <v>23.151023474178402</v>
      </c>
      <c r="C78" s="506">
        <f>Table!$S5+C$75</f>
        <v>6.2855962441314546</v>
      </c>
      <c r="D78" s="506">
        <f>Table!$T5+D$75</f>
        <v>23.151023474178402</v>
      </c>
      <c r="E78" s="506">
        <f>Table!$S5+E$75</f>
        <v>514.97104225352109</v>
      </c>
      <c r="F78" s="506">
        <f>Table!$T5+F$75</f>
        <v>23.151023474178402</v>
      </c>
      <c r="G78" s="506">
        <f>Table!$S5+G$75</f>
        <v>514.97104225352109</v>
      </c>
      <c r="H78" s="506">
        <f>Table!$T5+H$75</f>
        <v>23.151023474178402</v>
      </c>
      <c r="I78" s="506">
        <f>Table!$S5+I$75</f>
        <v>514.97104225352109</v>
      </c>
      <c r="J78" s="506">
        <f>Table!$T5+J$75</f>
        <v>23.151023474178402</v>
      </c>
      <c r="K78" s="506">
        <f>Table!$S5+K$75</f>
        <v>514.97104225352109</v>
      </c>
      <c r="L78" s="506">
        <f>Table!$T5+L$75</f>
        <v>23.151023474178402</v>
      </c>
      <c r="M78" s="506">
        <f>Table!$S5+M$75</f>
        <v>514.97104225352109</v>
      </c>
      <c r="N78" s="506">
        <f>Table!$T5+N$75</f>
        <v>23.151023474178402</v>
      </c>
      <c r="O78" s="506">
        <f>Table!$S5+O$75</f>
        <v>514.97104225352109</v>
      </c>
      <c r="P78" s="506">
        <f>Table!$T5+P$75</f>
        <v>23.151023474178402</v>
      </c>
    </row>
    <row r="79" spans="1:16" x14ac:dyDescent="0.25">
      <c r="A79" s="506">
        <f>Table!$S6+A$75</f>
        <v>-8.5368262910798123</v>
      </c>
      <c r="B79" s="506">
        <f>Table!$T6+B$75</f>
        <v>23.598460093896712</v>
      </c>
      <c r="C79" s="506">
        <f>Table!$S6+C$75</f>
        <v>6.9561314553990607</v>
      </c>
      <c r="D79" s="506">
        <f>Table!$T6+D$75</f>
        <v>23.598460093896712</v>
      </c>
      <c r="E79" s="506">
        <f>Table!$S6+E$75</f>
        <v>515.64157746478872</v>
      </c>
      <c r="F79" s="506">
        <f>Table!$T6+F$75</f>
        <v>23.598460093896712</v>
      </c>
      <c r="G79" s="506">
        <f>Table!$S6+G$75</f>
        <v>515.64157746478872</v>
      </c>
      <c r="H79" s="506">
        <f>Table!$T6+H$75</f>
        <v>23.598460093896712</v>
      </c>
      <c r="I79" s="506">
        <f>Table!$S6+I$75</f>
        <v>515.64157746478872</v>
      </c>
      <c r="J79" s="506">
        <f>Table!$T6+J$75</f>
        <v>23.598460093896712</v>
      </c>
      <c r="K79" s="506">
        <f>Table!$S6+K$75</f>
        <v>515.64157746478872</v>
      </c>
      <c r="L79" s="506">
        <f>Table!$T6+L$75</f>
        <v>23.598460093896712</v>
      </c>
      <c r="M79" s="506">
        <f>Table!$S6+M$75</f>
        <v>515.64157746478872</v>
      </c>
      <c r="N79" s="506">
        <f>Table!$T6+N$75</f>
        <v>23.598460093896712</v>
      </c>
      <c r="O79" s="506">
        <f>Table!$S6+O$75</f>
        <v>515.64157746478872</v>
      </c>
      <c r="P79" s="506">
        <f>Table!$T6+P$75</f>
        <v>23.598460093896712</v>
      </c>
    </row>
    <row r="80" spans="1:16" x14ac:dyDescent="0.25">
      <c r="A80" s="506">
        <f>Table!$S7+A$75</f>
        <v>-7.7464788732394361</v>
      </c>
      <c r="B80" s="506">
        <f>Table!$T7+B$75</f>
        <v>23.755868544600936</v>
      </c>
      <c r="C80" s="506">
        <f>Table!$S7+C$75</f>
        <v>7.7464788732394361</v>
      </c>
      <c r="D80" s="506">
        <f>Table!$T7+D$75</f>
        <v>23.755868544600936</v>
      </c>
      <c r="E80" s="506">
        <f>Table!$S7+E$75</f>
        <v>516.43192488262912</v>
      </c>
      <c r="F80" s="506">
        <f>Table!$T7+F$75</f>
        <v>23.755868544600936</v>
      </c>
      <c r="G80" s="506">
        <f>Table!$S7+G$75</f>
        <v>516.43192488262912</v>
      </c>
      <c r="H80" s="506">
        <f>Table!$T7+H$75</f>
        <v>23.755868544600936</v>
      </c>
      <c r="I80" s="506">
        <f>Table!$S7+I$75</f>
        <v>516.43192488262912</v>
      </c>
      <c r="J80" s="506">
        <f>Table!$T7+J$75</f>
        <v>23.755868544600936</v>
      </c>
      <c r="K80" s="506">
        <f>Table!$S7+K$75</f>
        <v>516.43192488262912</v>
      </c>
      <c r="L80" s="506">
        <f>Table!$T7+L$75</f>
        <v>23.755868544600936</v>
      </c>
      <c r="M80" s="506">
        <f>Table!$S7+M$75</f>
        <v>516.43192488262912</v>
      </c>
      <c r="N80" s="506">
        <f>Table!$T7+N$75</f>
        <v>23.755868544600936</v>
      </c>
      <c r="O80" s="506">
        <f>Table!$S7+O$75</f>
        <v>516.43192488262912</v>
      </c>
      <c r="P80" s="506">
        <f>Table!$T7+P$75</f>
        <v>23.755868544600936</v>
      </c>
    </row>
    <row r="81" spans="1:16" x14ac:dyDescent="0.25">
      <c r="A81" s="506">
        <f>Table!$S8+A$75</f>
        <v>-6.9561314553990607</v>
      </c>
      <c r="B81" s="506">
        <f>Table!$T8+B$75</f>
        <v>23.598460093896712</v>
      </c>
      <c r="C81" s="506">
        <f>Table!$S8+C$75</f>
        <v>8.5368262910798123</v>
      </c>
      <c r="D81" s="506">
        <f>Table!$T8+D$75</f>
        <v>23.598460093896712</v>
      </c>
      <c r="E81" s="506">
        <f>Table!$S8+E$75</f>
        <v>517.22227230046951</v>
      </c>
      <c r="F81" s="506">
        <f>Table!$T8+F$75</f>
        <v>23.598460093896712</v>
      </c>
      <c r="G81" s="506">
        <f>Table!$S8+G$75</f>
        <v>517.22227230046951</v>
      </c>
      <c r="H81" s="506">
        <f>Table!$T8+H$75</f>
        <v>23.598460093896712</v>
      </c>
      <c r="I81" s="506">
        <f>Table!$S8+I$75</f>
        <v>517.22227230046951</v>
      </c>
      <c r="J81" s="506">
        <f>Table!$T8+J$75</f>
        <v>23.598460093896712</v>
      </c>
      <c r="K81" s="506">
        <f>Table!$S8+K$75</f>
        <v>517.22227230046951</v>
      </c>
      <c r="L81" s="506">
        <f>Table!$T8+L$75</f>
        <v>23.598460093896712</v>
      </c>
      <c r="M81" s="506">
        <f>Table!$S8+M$75</f>
        <v>517.22227230046951</v>
      </c>
      <c r="N81" s="506">
        <f>Table!$T8+N$75</f>
        <v>23.598460093896712</v>
      </c>
      <c r="O81" s="506">
        <f>Table!$S8+O$75</f>
        <v>517.22227230046951</v>
      </c>
      <c r="P81" s="506">
        <f>Table!$T8+P$75</f>
        <v>23.598460093896712</v>
      </c>
    </row>
    <row r="82" spans="1:16" x14ac:dyDescent="0.25">
      <c r="A82" s="506">
        <f>Table!$S9+A$75</f>
        <v>-6.2855962441314546</v>
      </c>
      <c r="B82" s="506">
        <f>Table!$T9+B$75</f>
        <v>23.151023474178402</v>
      </c>
      <c r="C82" s="506">
        <f>Table!$S9+C$75</f>
        <v>9.2073615023474176</v>
      </c>
      <c r="D82" s="506">
        <f>Table!$T9+D$75</f>
        <v>23.151023474178402</v>
      </c>
      <c r="E82" s="506">
        <f>Table!$S9+E$75</f>
        <v>517.89280751173715</v>
      </c>
      <c r="F82" s="506">
        <f>Table!$T9+F$75</f>
        <v>23.151023474178402</v>
      </c>
      <c r="G82" s="506">
        <f>Table!$S9+G$75</f>
        <v>517.89280751173715</v>
      </c>
      <c r="H82" s="506">
        <f>Table!$T9+H$75</f>
        <v>23.151023474178402</v>
      </c>
      <c r="I82" s="506">
        <f>Table!$S9+I$75</f>
        <v>517.89280751173715</v>
      </c>
      <c r="J82" s="506">
        <f>Table!$T9+J$75</f>
        <v>23.151023474178402</v>
      </c>
      <c r="K82" s="506">
        <f>Table!$S9+K$75</f>
        <v>517.89280751173715</v>
      </c>
      <c r="L82" s="506">
        <f>Table!$T9+L$75</f>
        <v>23.151023474178402</v>
      </c>
      <c r="M82" s="506">
        <f>Table!$S9+M$75</f>
        <v>517.89280751173715</v>
      </c>
      <c r="N82" s="506">
        <f>Table!$T9+N$75</f>
        <v>23.151023474178402</v>
      </c>
      <c r="O82" s="506">
        <f>Table!$S9+O$75</f>
        <v>517.89280751173715</v>
      </c>
      <c r="P82" s="506">
        <f>Table!$T9+P$75</f>
        <v>23.151023474178402</v>
      </c>
    </row>
    <row r="83" spans="1:16" x14ac:dyDescent="0.25">
      <c r="A83" s="506">
        <f>Table!$S10+A$75</f>
        <v>-5.8460093896713605</v>
      </c>
      <c r="B83" s="506">
        <f>Table!$T10+B$75</f>
        <v>22.480488262910796</v>
      </c>
      <c r="C83" s="506">
        <f>Table!$S10+C$75</f>
        <v>9.6469483568075116</v>
      </c>
      <c r="D83" s="506">
        <f>Table!$T10+D$75</f>
        <v>22.480488262910796</v>
      </c>
      <c r="E83" s="506">
        <f>Table!$S10+E$75</f>
        <v>518.33239436619715</v>
      </c>
      <c r="F83" s="506">
        <f>Table!$T10+F$75</f>
        <v>22.480488262910796</v>
      </c>
      <c r="G83" s="506">
        <f>Table!$S10+G$75</f>
        <v>518.33239436619715</v>
      </c>
      <c r="H83" s="506">
        <f>Table!$T10+H$75</f>
        <v>22.480488262910796</v>
      </c>
      <c r="I83" s="506">
        <f>Table!$S10+I$75</f>
        <v>518.33239436619715</v>
      </c>
      <c r="J83" s="506">
        <f>Table!$T10+J$75</f>
        <v>22.480488262910796</v>
      </c>
      <c r="K83" s="506">
        <f>Table!$S10+K$75</f>
        <v>518.33239436619715</v>
      </c>
      <c r="L83" s="506">
        <f>Table!$T10+L$75</f>
        <v>22.480488262910796</v>
      </c>
      <c r="M83" s="506">
        <f>Table!$S10+M$75</f>
        <v>518.33239436619715</v>
      </c>
      <c r="N83" s="506">
        <f>Table!$T10+N$75</f>
        <v>22.480488262910796</v>
      </c>
      <c r="O83" s="506">
        <f>Table!$S10+O$75</f>
        <v>518.33239436619715</v>
      </c>
      <c r="P83" s="506">
        <f>Table!$T10+P$75</f>
        <v>22.480488262910796</v>
      </c>
    </row>
    <row r="84" spans="1:16" x14ac:dyDescent="0.25">
      <c r="A84" s="506">
        <f>Table!$S11+A$75</f>
        <v>-5.68075117370892</v>
      </c>
      <c r="B84" s="506">
        <f>Table!$T11+B$75</f>
        <v>21.69014084507042</v>
      </c>
      <c r="C84" s="506">
        <f>Table!$S11+C$75</f>
        <v>9.8122065727699521</v>
      </c>
      <c r="D84" s="506">
        <f>Table!$T11+D$75</f>
        <v>21.69014084507042</v>
      </c>
      <c r="E84" s="506">
        <f>Table!$S11+E$75</f>
        <v>518.49765258215962</v>
      </c>
      <c r="F84" s="506">
        <f>Table!$T11+F$75</f>
        <v>21.69014084507042</v>
      </c>
      <c r="G84" s="506">
        <f>Table!$S11+G$75</f>
        <v>518.49765258215962</v>
      </c>
      <c r="H84" s="506">
        <f>Table!$T11+H$75</f>
        <v>21.69014084507042</v>
      </c>
      <c r="I84" s="506">
        <f>Table!$S11+I$75</f>
        <v>518.49765258215962</v>
      </c>
      <c r="J84" s="506">
        <f>Table!$T11+J$75</f>
        <v>21.69014084507042</v>
      </c>
      <c r="K84" s="506">
        <f>Table!$S11+K$75</f>
        <v>518.49765258215962</v>
      </c>
      <c r="L84" s="506">
        <f>Table!$T11+L$75</f>
        <v>21.69014084507042</v>
      </c>
      <c r="M84" s="506">
        <f>Table!$S11+M$75</f>
        <v>518.49765258215962</v>
      </c>
      <c r="N84" s="506">
        <f>Table!$T11+N$75</f>
        <v>21.69014084507042</v>
      </c>
      <c r="O84" s="506">
        <f>Table!$S11+O$75</f>
        <v>518.49765258215962</v>
      </c>
      <c r="P84" s="506">
        <f>Table!$T11+P$75</f>
        <v>21.69014084507042</v>
      </c>
    </row>
    <row r="85" spans="1:16" x14ac:dyDescent="0.25">
      <c r="A85" s="506">
        <f>Table!$S12+A$75</f>
        <v>-5.8460093896713605</v>
      </c>
      <c r="B85" s="506">
        <f>Table!$T12+B$75</f>
        <v>20.899793427230044</v>
      </c>
      <c r="C85" s="506">
        <f>Table!$S12+C$75</f>
        <v>9.6469483568075116</v>
      </c>
      <c r="D85" s="506">
        <f>Table!$T12+D$75</f>
        <v>20.899793427230044</v>
      </c>
      <c r="E85" s="506">
        <f>Table!$S12+E$75</f>
        <v>518.33239436619715</v>
      </c>
      <c r="F85" s="506">
        <f>Table!$T12+F$75</f>
        <v>20.899793427230044</v>
      </c>
      <c r="G85" s="506">
        <f>Table!$S12+G$75</f>
        <v>518.33239436619715</v>
      </c>
      <c r="H85" s="506">
        <f>Table!$T12+H$75</f>
        <v>20.899793427230044</v>
      </c>
      <c r="I85" s="506">
        <f>Table!$S12+I$75</f>
        <v>518.33239436619715</v>
      </c>
      <c r="J85" s="506">
        <f>Table!$T12+J$75</f>
        <v>20.899793427230044</v>
      </c>
      <c r="K85" s="506">
        <f>Table!$S12+K$75</f>
        <v>518.33239436619715</v>
      </c>
      <c r="L85" s="506">
        <f>Table!$T12+L$75</f>
        <v>20.899793427230044</v>
      </c>
      <c r="M85" s="506">
        <f>Table!$S12+M$75</f>
        <v>518.33239436619715</v>
      </c>
      <c r="N85" s="506">
        <f>Table!$T12+N$75</f>
        <v>20.899793427230044</v>
      </c>
      <c r="O85" s="506">
        <f>Table!$S12+O$75</f>
        <v>518.33239436619715</v>
      </c>
      <c r="P85" s="506">
        <f>Table!$T12+P$75</f>
        <v>20.899793427230044</v>
      </c>
    </row>
    <row r="86" spans="1:16" x14ac:dyDescent="0.25">
      <c r="A86" s="506">
        <f>Table!$S13+A$75</f>
        <v>-6.2855962441314546</v>
      </c>
      <c r="B86" s="506">
        <f>Table!$T13+B$75</f>
        <v>20.229258215962439</v>
      </c>
      <c r="C86" s="506">
        <f>Table!$S13+C$75</f>
        <v>9.2073615023474176</v>
      </c>
      <c r="D86" s="506">
        <f>Table!$T13+D$75</f>
        <v>20.229258215962439</v>
      </c>
      <c r="E86" s="506">
        <f>Table!$S13+E$75</f>
        <v>517.89280751173715</v>
      </c>
      <c r="F86" s="506">
        <f>Table!$T13+F$75</f>
        <v>20.229258215962439</v>
      </c>
      <c r="G86" s="506">
        <f>Table!$S13+G$75</f>
        <v>517.89280751173715</v>
      </c>
      <c r="H86" s="506">
        <f>Table!$T13+H$75</f>
        <v>20.229258215962439</v>
      </c>
      <c r="I86" s="506">
        <f>Table!$S13+I$75</f>
        <v>517.89280751173715</v>
      </c>
      <c r="J86" s="506">
        <f>Table!$T13+J$75</f>
        <v>20.229258215962439</v>
      </c>
      <c r="K86" s="506">
        <f>Table!$S13+K$75</f>
        <v>517.89280751173715</v>
      </c>
      <c r="L86" s="506">
        <f>Table!$T13+L$75</f>
        <v>20.229258215962439</v>
      </c>
      <c r="M86" s="506">
        <f>Table!$S13+M$75</f>
        <v>517.89280751173715</v>
      </c>
      <c r="N86" s="506">
        <f>Table!$T13+N$75</f>
        <v>20.229258215962439</v>
      </c>
      <c r="O86" s="506">
        <f>Table!$S13+O$75</f>
        <v>517.89280751173715</v>
      </c>
      <c r="P86" s="506">
        <f>Table!$T13+P$75</f>
        <v>20.229258215962439</v>
      </c>
    </row>
    <row r="87" spans="1:16" x14ac:dyDescent="0.25">
      <c r="A87" s="506">
        <f>Table!$S14+A$75</f>
        <v>-6.9561314553990607</v>
      </c>
      <c r="B87" s="506">
        <f>Table!$T14+B$75</f>
        <v>19.781821596244129</v>
      </c>
      <c r="C87" s="506">
        <f>Table!$S14+C$75</f>
        <v>8.5368262910798123</v>
      </c>
      <c r="D87" s="506">
        <f>Table!$T14+D$75</f>
        <v>19.781821596244129</v>
      </c>
      <c r="E87" s="506">
        <f>Table!$S14+E$75</f>
        <v>517.22227230046951</v>
      </c>
      <c r="F87" s="506">
        <f>Table!$T14+F$75</f>
        <v>19.781821596244129</v>
      </c>
      <c r="G87" s="506">
        <f>Table!$S14+G$75</f>
        <v>517.22227230046951</v>
      </c>
      <c r="H87" s="506">
        <f>Table!$T14+H$75</f>
        <v>19.781821596244129</v>
      </c>
      <c r="I87" s="506">
        <f>Table!$S14+I$75</f>
        <v>517.22227230046951</v>
      </c>
      <c r="J87" s="506">
        <f>Table!$T14+J$75</f>
        <v>19.781821596244129</v>
      </c>
      <c r="K87" s="506">
        <f>Table!$S14+K$75</f>
        <v>517.22227230046951</v>
      </c>
      <c r="L87" s="506">
        <f>Table!$T14+L$75</f>
        <v>19.781821596244129</v>
      </c>
      <c r="M87" s="506">
        <f>Table!$S14+M$75</f>
        <v>517.22227230046951</v>
      </c>
      <c r="N87" s="506">
        <f>Table!$T14+N$75</f>
        <v>19.781821596244129</v>
      </c>
      <c r="O87" s="506">
        <f>Table!$S14+O$75</f>
        <v>517.22227230046951</v>
      </c>
      <c r="P87" s="506">
        <f>Table!$T14+P$75</f>
        <v>19.781821596244129</v>
      </c>
    </row>
    <row r="88" spans="1:16" x14ac:dyDescent="0.25">
      <c r="A88" s="506">
        <f>Table!$S15+A$75</f>
        <v>-7.7464788732394361</v>
      </c>
      <c r="B88" s="506">
        <f>Table!$T15+B$75</f>
        <v>19.624413145539904</v>
      </c>
      <c r="C88" s="506">
        <f>Table!$S15+C$75</f>
        <v>7.7464788732394361</v>
      </c>
      <c r="D88" s="506">
        <f>Table!$T15+D$75</f>
        <v>19.624413145539904</v>
      </c>
      <c r="E88" s="506">
        <f>Table!$S15+E$75</f>
        <v>516.43192488262912</v>
      </c>
      <c r="F88" s="506">
        <f>Table!$T15+F$75</f>
        <v>19.624413145539904</v>
      </c>
      <c r="G88" s="506">
        <f>Table!$S15+G$75</f>
        <v>516.43192488262912</v>
      </c>
      <c r="H88" s="506">
        <f>Table!$T15+H$75</f>
        <v>19.624413145539904</v>
      </c>
      <c r="I88" s="506">
        <f>Table!$S15+I$75</f>
        <v>516.43192488262912</v>
      </c>
      <c r="J88" s="506">
        <f>Table!$T15+J$75</f>
        <v>19.624413145539904</v>
      </c>
      <c r="K88" s="506">
        <f>Table!$S15+K$75</f>
        <v>516.43192488262912</v>
      </c>
      <c r="L88" s="506">
        <f>Table!$T15+L$75</f>
        <v>19.624413145539904</v>
      </c>
      <c r="M88" s="506">
        <f>Table!$S15+M$75</f>
        <v>516.43192488262912</v>
      </c>
      <c r="N88" s="506">
        <f>Table!$T15+N$75</f>
        <v>19.624413145539904</v>
      </c>
      <c r="O88" s="506">
        <f>Table!$S15+O$75</f>
        <v>516.43192488262912</v>
      </c>
      <c r="P88" s="506">
        <f>Table!$T15+P$75</f>
        <v>19.624413145539904</v>
      </c>
    </row>
    <row r="89" spans="1:16" x14ac:dyDescent="0.25">
      <c r="A89" s="506">
        <f>Table!$S16+A$75</f>
        <v>-8.5368262910798123</v>
      </c>
      <c r="B89" s="506">
        <f>Table!$T16+B$75</f>
        <v>19.781821596244129</v>
      </c>
      <c r="C89" s="506">
        <f>Table!$S16+C$75</f>
        <v>6.9561314553990607</v>
      </c>
      <c r="D89" s="506">
        <f>Table!$T16+D$75</f>
        <v>19.781821596244129</v>
      </c>
      <c r="E89" s="506">
        <f>Table!$S16+E$75</f>
        <v>515.64157746478872</v>
      </c>
      <c r="F89" s="506">
        <f>Table!$T16+F$75</f>
        <v>19.781821596244129</v>
      </c>
      <c r="G89" s="506">
        <f>Table!$S16+G$75</f>
        <v>515.64157746478872</v>
      </c>
      <c r="H89" s="506">
        <f>Table!$T16+H$75</f>
        <v>19.781821596244129</v>
      </c>
      <c r="I89" s="506">
        <f>Table!$S16+I$75</f>
        <v>515.64157746478872</v>
      </c>
      <c r="J89" s="506">
        <f>Table!$T16+J$75</f>
        <v>19.781821596244129</v>
      </c>
      <c r="K89" s="506">
        <f>Table!$S16+K$75</f>
        <v>515.64157746478872</v>
      </c>
      <c r="L89" s="506">
        <f>Table!$T16+L$75</f>
        <v>19.781821596244129</v>
      </c>
      <c r="M89" s="506">
        <f>Table!$S16+M$75</f>
        <v>515.64157746478872</v>
      </c>
      <c r="N89" s="506">
        <f>Table!$T16+N$75</f>
        <v>19.781821596244129</v>
      </c>
      <c r="O89" s="506">
        <f>Table!$S16+O$75</f>
        <v>515.64157746478872</v>
      </c>
      <c r="P89" s="506">
        <f>Table!$T16+P$75</f>
        <v>19.781821596244129</v>
      </c>
    </row>
    <row r="90" spans="1:16" x14ac:dyDescent="0.25">
      <c r="A90" s="506">
        <f>Table!$S17+A$75</f>
        <v>-9.2073615023474176</v>
      </c>
      <c r="B90" s="506">
        <f>Table!$T17+B$75</f>
        <v>20.229258215962439</v>
      </c>
      <c r="C90" s="506">
        <f>Table!$S17+C$75</f>
        <v>6.2855962441314546</v>
      </c>
      <c r="D90" s="506">
        <f>Table!$T17+D$75</f>
        <v>20.229258215962439</v>
      </c>
      <c r="E90" s="506">
        <f>Table!$S17+E$75</f>
        <v>514.97104225352109</v>
      </c>
      <c r="F90" s="506">
        <f>Table!$T17+F$75</f>
        <v>20.229258215962439</v>
      </c>
      <c r="G90" s="506">
        <f>Table!$S17+G$75</f>
        <v>514.97104225352109</v>
      </c>
      <c r="H90" s="506">
        <f>Table!$T17+H$75</f>
        <v>20.229258215962439</v>
      </c>
      <c r="I90" s="506">
        <f>Table!$S17+I$75</f>
        <v>514.97104225352109</v>
      </c>
      <c r="J90" s="506">
        <f>Table!$T17+J$75</f>
        <v>20.229258215962439</v>
      </c>
      <c r="K90" s="506">
        <f>Table!$S17+K$75</f>
        <v>514.97104225352109</v>
      </c>
      <c r="L90" s="506">
        <f>Table!$T17+L$75</f>
        <v>20.229258215962439</v>
      </c>
      <c r="M90" s="506">
        <f>Table!$S17+M$75</f>
        <v>514.97104225352109</v>
      </c>
      <c r="N90" s="506">
        <f>Table!$T17+N$75</f>
        <v>20.229258215962439</v>
      </c>
      <c r="O90" s="506">
        <f>Table!$S17+O$75</f>
        <v>514.97104225352109</v>
      </c>
      <c r="P90" s="506">
        <f>Table!$T17+P$75</f>
        <v>20.229258215962439</v>
      </c>
    </row>
    <row r="91" spans="1:16" x14ac:dyDescent="0.25">
      <c r="A91" s="506">
        <f>Table!$S18+A$75</f>
        <v>-9.6547981220657277</v>
      </c>
      <c r="B91" s="506">
        <f>Table!$T18+B$75</f>
        <v>20.899793427230044</v>
      </c>
      <c r="C91" s="506">
        <f>Table!$S18+C$75</f>
        <v>5.8381596244131453</v>
      </c>
      <c r="D91" s="506">
        <f>Table!$T18+D$75</f>
        <v>20.899793427230044</v>
      </c>
      <c r="E91" s="506">
        <f>Table!$S18+E$75</f>
        <v>514.52360563380284</v>
      </c>
      <c r="F91" s="506">
        <f>Table!$T18+F$75</f>
        <v>20.899793427230044</v>
      </c>
      <c r="G91" s="506">
        <f>Table!$S18+G$75</f>
        <v>514.52360563380284</v>
      </c>
      <c r="H91" s="506">
        <f>Table!$T18+H$75</f>
        <v>20.899793427230044</v>
      </c>
      <c r="I91" s="506">
        <f>Table!$S18+I$75</f>
        <v>514.52360563380284</v>
      </c>
      <c r="J91" s="506">
        <f>Table!$T18+J$75</f>
        <v>20.899793427230044</v>
      </c>
      <c r="K91" s="506">
        <f>Table!$S18+K$75</f>
        <v>514.52360563380284</v>
      </c>
      <c r="L91" s="506">
        <f>Table!$T18+L$75</f>
        <v>20.899793427230044</v>
      </c>
      <c r="M91" s="506">
        <f>Table!$S18+M$75</f>
        <v>514.52360563380284</v>
      </c>
      <c r="N91" s="506">
        <f>Table!$T18+N$75</f>
        <v>20.899793427230044</v>
      </c>
      <c r="O91" s="506">
        <f>Table!$S18+O$75</f>
        <v>514.52360563380284</v>
      </c>
      <c r="P91" s="506">
        <f>Table!$T18+P$75</f>
        <v>20.899793427230044</v>
      </c>
    </row>
    <row r="92" spans="1:16" x14ac:dyDescent="0.25">
      <c r="A92" s="506">
        <f>Table!$S19+A$75</f>
        <v>-9.8122065727699521</v>
      </c>
      <c r="B92" s="506">
        <f>Table!$T19+B$75</f>
        <v>21.69014084507042</v>
      </c>
      <c r="C92" s="506">
        <f>Table!$S19+C$75</f>
        <v>5.68075117370892</v>
      </c>
      <c r="D92" s="506">
        <f>Table!$T19+D$75</f>
        <v>21.69014084507042</v>
      </c>
      <c r="E92" s="506">
        <f>Table!$S19+E$75</f>
        <v>514.36619718309862</v>
      </c>
      <c r="F92" s="506">
        <f>Table!$T19+F$75</f>
        <v>21.69014084507042</v>
      </c>
      <c r="G92" s="506">
        <f>Table!$S19+G$75</f>
        <v>514.36619718309862</v>
      </c>
      <c r="H92" s="506">
        <f>Table!$T19+H$75</f>
        <v>21.69014084507042</v>
      </c>
      <c r="I92" s="506">
        <f>Table!$S19+I$75</f>
        <v>514.36619718309862</v>
      </c>
      <c r="J92" s="506">
        <f>Table!$T19+J$75</f>
        <v>21.69014084507042</v>
      </c>
      <c r="K92" s="506">
        <f>Table!$S19+K$75</f>
        <v>514.36619718309862</v>
      </c>
      <c r="L92" s="506">
        <f>Table!$T19+L$75</f>
        <v>21.69014084507042</v>
      </c>
      <c r="M92" s="506">
        <f>Table!$S19+M$75</f>
        <v>514.36619718309862</v>
      </c>
      <c r="N92" s="506">
        <f>Table!$T19+N$75</f>
        <v>21.69014084507042</v>
      </c>
      <c r="O92" s="506">
        <f>Table!$S19+O$75</f>
        <v>514.36619718309862</v>
      </c>
      <c r="P92" s="506">
        <f>Table!$T19+P$75</f>
        <v>21.69014084507042</v>
      </c>
    </row>
    <row r="93" spans="1:16" x14ac:dyDescent="0.25">
      <c r="A93" s="506">
        <f>Table!$S20+A$75</f>
        <v>-10.84507042253521</v>
      </c>
      <c r="B93" s="506">
        <f>Table!$T20+B$75</f>
        <v>21.69014084507042</v>
      </c>
      <c r="C93" s="506">
        <f>Table!$S20+C$75</f>
        <v>4.647887323943662</v>
      </c>
      <c r="D93" s="506">
        <f>Table!$T20+D$75</f>
        <v>21.69014084507042</v>
      </c>
      <c r="E93" s="506">
        <f>Table!$S20+E$75</f>
        <v>513.33333333333337</v>
      </c>
      <c r="F93" s="506">
        <f>Table!$T20+F$75</f>
        <v>21.69014084507042</v>
      </c>
      <c r="G93" s="506">
        <f>Table!$S20+G$75</f>
        <v>513.33333333333337</v>
      </c>
      <c r="H93" s="506">
        <f>Table!$T20+H$75</f>
        <v>21.69014084507042</v>
      </c>
      <c r="I93" s="506">
        <f>Table!$S20+I$75</f>
        <v>513.33333333333337</v>
      </c>
      <c r="J93" s="506">
        <f>Table!$T20+J$75</f>
        <v>21.69014084507042</v>
      </c>
      <c r="K93" s="506">
        <f>Table!$S20+K$75</f>
        <v>513.33333333333337</v>
      </c>
      <c r="L93" s="506">
        <f>Table!$T20+L$75</f>
        <v>21.69014084507042</v>
      </c>
      <c r="M93" s="506">
        <f>Table!$S20+M$75</f>
        <v>513.33333333333337</v>
      </c>
      <c r="N93" s="506">
        <f>Table!$T20+N$75</f>
        <v>21.69014084507042</v>
      </c>
      <c r="O93" s="506">
        <f>Table!$S20+O$75</f>
        <v>513.33333333333337</v>
      </c>
      <c r="P93" s="506">
        <f>Table!$T20+P$75</f>
        <v>21.69014084507042</v>
      </c>
    </row>
    <row r="94" spans="1:16" x14ac:dyDescent="0.25">
      <c r="A94" s="506">
        <f>Table!$S21+A$75</f>
        <v>-4.647887323943662</v>
      </c>
      <c r="B94" s="506">
        <f>Table!$T21+B$75</f>
        <v>21.69014084507042</v>
      </c>
      <c r="C94" s="506">
        <f>Table!$S21+C$75</f>
        <v>10.84507042253521</v>
      </c>
      <c r="D94" s="506">
        <f>Table!$T21+D$75</f>
        <v>21.69014084507042</v>
      </c>
      <c r="E94" s="506">
        <f>Table!$S21+E$75</f>
        <v>519.53051643192487</v>
      </c>
      <c r="F94" s="506">
        <f>Table!$T21+F$75</f>
        <v>21.69014084507042</v>
      </c>
      <c r="G94" s="506">
        <f>Table!$S21+G$75</f>
        <v>519.53051643192487</v>
      </c>
      <c r="H94" s="506">
        <f>Table!$T21+H$75</f>
        <v>21.69014084507042</v>
      </c>
      <c r="I94" s="506">
        <f>Table!$S21+I$75</f>
        <v>519.53051643192487</v>
      </c>
      <c r="J94" s="506">
        <f>Table!$T21+J$75</f>
        <v>21.69014084507042</v>
      </c>
      <c r="K94" s="506">
        <f>Table!$S21+K$75</f>
        <v>519.53051643192487</v>
      </c>
      <c r="L94" s="506">
        <f>Table!$T21+L$75</f>
        <v>21.69014084507042</v>
      </c>
      <c r="M94" s="506">
        <f>Table!$S21+M$75</f>
        <v>519.53051643192487</v>
      </c>
      <c r="N94" s="506">
        <f>Table!$T21+N$75</f>
        <v>21.69014084507042</v>
      </c>
      <c r="O94" s="506">
        <f>Table!$S21+O$75</f>
        <v>519.53051643192487</v>
      </c>
      <c r="P94" s="506">
        <f>Table!$T21+P$75</f>
        <v>21.69014084507042</v>
      </c>
    </row>
    <row r="95" spans="1:16" x14ac:dyDescent="0.25">
      <c r="A95" s="506">
        <f>Table!$S22+A$75</f>
        <v>-7.7464788732394361</v>
      </c>
      <c r="B95" s="506">
        <f>Table!$T22+B$75</f>
        <v>18.591549295774644</v>
      </c>
      <c r="C95" s="506">
        <f>Table!$S22+C$75</f>
        <v>7.7464788732394361</v>
      </c>
      <c r="D95" s="506">
        <f>Table!$T22+D$75</f>
        <v>18.591549295774644</v>
      </c>
      <c r="E95" s="506">
        <f>Table!$S22+E$75</f>
        <v>516.43192488262912</v>
      </c>
      <c r="F95" s="506">
        <f>Table!$T22+F$75</f>
        <v>18.591549295774644</v>
      </c>
      <c r="G95" s="506">
        <f>Table!$S22+G$75</f>
        <v>516.43192488262912</v>
      </c>
      <c r="H95" s="506">
        <f>Table!$T22+H$75</f>
        <v>18.591549295774644</v>
      </c>
      <c r="I95" s="506">
        <f>Table!$S22+I$75</f>
        <v>516.43192488262912</v>
      </c>
      <c r="J95" s="506">
        <f>Table!$T22+J$75</f>
        <v>18.591549295774644</v>
      </c>
      <c r="K95" s="506">
        <f>Table!$S22+K$75</f>
        <v>516.43192488262912</v>
      </c>
      <c r="L95" s="506">
        <f>Table!$T22+L$75</f>
        <v>18.591549295774644</v>
      </c>
      <c r="M95" s="506">
        <f>Table!$S22+M$75</f>
        <v>516.43192488262912</v>
      </c>
      <c r="N95" s="506">
        <f>Table!$T22+N$75</f>
        <v>18.591549295774644</v>
      </c>
      <c r="O95" s="506">
        <f>Table!$S22+O$75</f>
        <v>516.43192488262912</v>
      </c>
      <c r="P95" s="506">
        <f>Table!$T22+P$75</f>
        <v>18.591549295774644</v>
      </c>
    </row>
    <row r="96" spans="1:16" x14ac:dyDescent="0.25">
      <c r="A96" s="506">
        <f>Table!$S23+A$75</f>
        <v>-7.7464788732394361</v>
      </c>
      <c r="B96" s="506">
        <f>Table!$T23+B$75</f>
        <v>24.788732394366196</v>
      </c>
      <c r="C96" s="506">
        <f>Table!$S23+C$75</f>
        <v>7.7464788732394361</v>
      </c>
      <c r="D96" s="506">
        <f>Table!$T23+D$75</f>
        <v>24.788732394366196</v>
      </c>
      <c r="E96" s="506">
        <f>Table!$S23+E$75</f>
        <v>516.43192488262912</v>
      </c>
      <c r="F96" s="506">
        <f>Table!$T23+F$75</f>
        <v>24.788732394366196</v>
      </c>
      <c r="G96" s="506">
        <f>Table!$S23+G$75</f>
        <v>516.43192488262912</v>
      </c>
      <c r="H96" s="506">
        <f>Table!$T23+H$75</f>
        <v>24.788732394366196</v>
      </c>
      <c r="I96" s="506">
        <f>Table!$S23+I$75</f>
        <v>516.43192488262912</v>
      </c>
      <c r="J96" s="506">
        <f>Table!$T23+J$75</f>
        <v>24.788732394366196</v>
      </c>
      <c r="K96" s="506">
        <f>Table!$S23+K$75</f>
        <v>516.43192488262912</v>
      </c>
      <c r="L96" s="506">
        <f>Table!$T23+L$75</f>
        <v>24.788732394366196</v>
      </c>
      <c r="M96" s="506">
        <f>Table!$S23+M$75</f>
        <v>516.43192488262912</v>
      </c>
      <c r="N96" s="506">
        <f>Table!$T23+N$75</f>
        <v>24.788732394366196</v>
      </c>
      <c r="O96" s="506">
        <f>Table!$S23+O$75</f>
        <v>516.43192488262912</v>
      </c>
      <c r="P96" s="506">
        <f>Table!$T23+P$75</f>
        <v>24.788732394366196</v>
      </c>
    </row>
    <row r="97" spans="1:16" x14ac:dyDescent="0.25">
      <c r="A97" s="502" t="s">
        <v>995</v>
      </c>
      <c r="B97" s="502" t="s">
        <v>1006</v>
      </c>
      <c r="C97" s="502" t="s">
        <v>997</v>
      </c>
      <c r="D97" s="502" t="s">
        <v>1006</v>
      </c>
      <c r="E97" s="502" t="s">
        <v>998</v>
      </c>
      <c r="F97" s="502" t="s">
        <v>1006</v>
      </c>
      <c r="G97" s="502" t="s">
        <v>999</v>
      </c>
      <c r="H97" s="502" t="s">
        <v>1006</v>
      </c>
      <c r="I97" s="502" t="s">
        <v>1000</v>
      </c>
      <c r="J97" s="502" t="s">
        <v>1006</v>
      </c>
      <c r="K97" s="502" t="s">
        <v>1001</v>
      </c>
      <c r="L97" s="502" t="s">
        <v>1006</v>
      </c>
      <c r="M97" s="502" t="s">
        <v>1002</v>
      </c>
      <c r="N97" s="502" t="s">
        <v>1006</v>
      </c>
      <c r="O97" s="502" t="s">
        <v>1003</v>
      </c>
      <c r="P97" s="502" t="s">
        <v>1006</v>
      </c>
    </row>
    <row r="98" spans="1:16" x14ac:dyDescent="0.25">
      <c r="A98" s="502" t="s">
        <v>72</v>
      </c>
      <c r="B98" s="502" t="s">
        <v>71</v>
      </c>
      <c r="C98" s="502" t="s">
        <v>72</v>
      </c>
      <c r="D98" s="502" t="s">
        <v>71</v>
      </c>
      <c r="E98" s="502" t="s">
        <v>72</v>
      </c>
      <c r="F98" s="502" t="s">
        <v>71</v>
      </c>
      <c r="G98" s="502" t="s">
        <v>72</v>
      </c>
      <c r="H98" s="502" t="s">
        <v>71</v>
      </c>
      <c r="I98" s="502" t="s">
        <v>72</v>
      </c>
      <c r="J98" s="502" t="s">
        <v>71</v>
      </c>
      <c r="K98" s="502" t="s">
        <v>72</v>
      </c>
      <c r="L98" s="502" t="s">
        <v>71</v>
      </c>
      <c r="M98" s="502" t="s">
        <v>72</v>
      </c>
      <c r="N98" s="502" t="s">
        <v>71</v>
      </c>
      <c r="O98" s="502" t="s">
        <v>72</v>
      </c>
      <c r="P98" s="502" t="s">
        <v>71</v>
      </c>
    </row>
    <row r="99" spans="1:16" x14ac:dyDescent="0.25">
      <c r="A99" s="502">
        <f>A123</f>
        <v>-7.7464788732394361</v>
      </c>
      <c r="B99" s="502">
        <f>Table!$Q$36/Table!$Q$35*IF('Process (2)'!D59="",100,'Process (2)'!D59)</f>
        <v>7.2300469483568071</v>
      </c>
      <c r="C99" s="502">
        <f>C123</f>
        <v>7.7464788732394361</v>
      </c>
      <c r="D99" s="502">
        <f>B99</f>
        <v>7.2300469483568071</v>
      </c>
      <c r="E99" s="502">
        <f>E123</f>
        <v>516.43192488262912</v>
      </c>
      <c r="F99" s="502">
        <f>D99</f>
        <v>7.2300469483568071</v>
      </c>
      <c r="G99" s="502">
        <f>G123</f>
        <v>516.43192488262912</v>
      </c>
      <c r="H99" s="502">
        <f>F99</f>
        <v>7.2300469483568071</v>
      </c>
      <c r="I99" s="502">
        <f>I123</f>
        <v>516.43192488262912</v>
      </c>
      <c r="J99" s="502">
        <f>H99</f>
        <v>7.2300469483568071</v>
      </c>
      <c r="K99" s="502">
        <f>K123</f>
        <v>516.43192488262912</v>
      </c>
      <c r="L99" s="502">
        <f>J99</f>
        <v>7.2300469483568071</v>
      </c>
      <c r="M99" s="502">
        <f>M123</f>
        <v>516.43192488262912</v>
      </c>
      <c r="N99" s="502">
        <f>L99</f>
        <v>7.2300469483568071</v>
      </c>
      <c r="O99" s="502">
        <f>O123</f>
        <v>516.43192488262912</v>
      </c>
      <c r="P99" s="502">
        <f>N99</f>
        <v>7.2300469483568071</v>
      </c>
    </row>
    <row r="100" spans="1:16" x14ac:dyDescent="0.25">
      <c r="A100" s="506">
        <f>Table!$S3+A$99</f>
        <v>-9.8122065727699521</v>
      </c>
      <c r="B100" s="506">
        <f>Table!$T3+B$99</f>
        <v>7.2300469483568071</v>
      </c>
      <c r="C100" s="506">
        <f>Table!$S3+C$99</f>
        <v>5.68075117370892</v>
      </c>
      <c r="D100" s="506">
        <f>Table!$T3+D$99</f>
        <v>7.2300469483568071</v>
      </c>
      <c r="E100" s="506">
        <f>Table!$S3+E$99</f>
        <v>514.36619718309862</v>
      </c>
      <c r="F100" s="506">
        <f>Table!$T3+F$99</f>
        <v>7.2300469483568071</v>
      </c>
      <c r="G100" s="506">
        <f>Table!$S3+G$99</f>
        <v>514.36619718309862</v>
      </c>
      <c r="H100" s="506">
        <f>Table!$T3+H$99</f>
        <v>7.2300469483568071</v>
      </c>
      <c r="I100" s="506">
        <f>Table!$S3+I$99</f>
        <v>514.36619718309862</v>
      </c>
      <c r="J100" s="506">
        <f>Table!$T3+J$99</f>
        <v>7.2300469483568071</v>
      </c>
      <c r="K100" s="506">
        <f>Table!$S3+K$99</f>
        <v>514.36619718309862</v>
      </c>
      <c r="L100" s="506">
        <f>Table!$T3+L$99</f>
        <v>7.2300469483568071</v>
      </c>
      <c r="M100" s="506">
        <f>Table!$S3+M$99</f>
        <v>514.36619718309862</v>
      </c>
      <c r="N100" s="506">
        <f>Table!$T3+N$99</f>
        <v>7.2300469483568071</v>
      </c>
      <c r="O100" s="506">
        <f>Table!$S3+O$99</f>
        <v>514.36619718309862</v>
      </c>
      <c r="P100" s="506">
        <f>Table!$T3+P$99</f>
        <v>7.2300469483568071</v>
      </c>
    </row>
    <row r="101" spans="1:16" x14ac:dyDescent="0.25">
      <c r="A101" s="506">
        <f>Table!$S4+A$99</f>
        <v>-9.6547981220657277</v>
      </c>
      <c r="B101" s="506">
        <f>Table!$T4+B$99</f>
        <v>8.0203943661971824</v>
      </c>
      <c r="C101" s="506">
        <f>Table!$S4+C$99</f>
        <v>5.8381596244131453</v>
      </c>
      <c r="D101" s="506">
        <f>Table!$T4+D$99</f>
        <v>8.0203943661971824</v>
      </c>
      <c r="E101" s="506">
        <f>Table!$S4+E$99</f>
        <v>514.52360563380284</v>
      </c>
      <c r="F101" s="506">
        <f>Table!$T4+F$99</f>
        <v>8.0203943661971824</v>
      </c>
      <c r="G101" s="506">
        <f>Table!$S4+G$99</f>
        <v>514.52360563380284</v>
      </c>
      <c r="H101" s="506">
        <f>Table!$T4+H$99</f>
        <v>8.0203943661971824</v>
      </c>
      <c r="I101" s="506">
        <f>Table!$S4+I$99</f>
        <v>514.52360563380284</v>
      </c>
      <c r="J101" s="506">
        <f>Table!$T4+J$99</f>
        <v>8.0203943661971824</v>
      </c>
      <c r="K101" s="506">
        <f>Table!$S4+K$99</f>
        <v>514.52360563380284</v>
      </c>
      <c r="L101" s="506">
        <f>Table!$T4+L$99</f>
        <v>8.0203943661971824</v>
      </c>
      <c r="M101" s="506">
        <f>Table!$S4+M$99</f>
        <v>514.52360563380284</v>
      </c>
      <c r="N101" s="506">
        <f>Table!$T4+N$99</f>
        <v>8.0203943661971824</v>
      </c>
      <c r="O101" s="506">
        <f>Table!$S4+O$99</f>
        <v>514.52360563380284</v>
      </c>
      <c r="P101" s="506">
        <f>Table!$T4+P$99</f>
        <v>8.0203943661971824</v>
      </c>
    </row>
    <row r="102" spans="1:16" x14ac:dyDescent="0.25">
      <c r="A102" s="506">
        <f>Table!$S5+A$99</f>
        <v>-9.2073615023474176</v>
      </c>
      <c r="B102" s="506">
        <f>Table!$T5+B$99</f>
        <v>8.6909295774647894</v>
      </c>
      <c r="C102" s="506">
        <f>Table!$S5+C$99</f>
        <v>6.2855962441314546</v>
      </c>
      <c r="D102" s="506">
        <f>Table!$T5+D$99</f>
        <v>8.6909295774647894</v>
      </c>
      <c r="E102" s="506">
        <f>Table!$S5+E$99</f>
        <v>514.97104225352109</v>
      </c>
      <c r="F102" s="506">
        <f>Table!$T5+F$99</f>
        <v>8.6909295774647894</v>
      </c>
      <c r="G102" s="506">
        <f>Table!$S5+G$99</f>
        <v>514.97104225352109</v>
      </c>
      <c r="H102" s="506">
        <f>Table!$T5+H$99</f>
        <v>8.6909295774647894</v>
      </c>
      <c r="I102" s="506">
        <f>Table!$S5+I$99</f>
        <v>514.97104225352109</v>
      </c>
      <c r="J102" s="506">
        <f>Table!$T5+J$99</f>
        <v>8.6909295774647894</v>
      </c>
      <c r="K102" s="506">
        <f>Table!$S5+K$99</f>
        <v>514.97104225352109</v>
      </c>
      <c r="L102" s="506">
        <f>Table!$T5+L$99</f>
        <v>8.6909295774647894</v>
      </c>
      <c r="M102" s="506">
        <f>Table!$S5+M$99</f>
        <v>514.97104225352109</v>
      </c>
      <c r="N102" s="506">
        <f>Table!$T5+N$99</f>
        <v>8.6909295774647894</v>
      </c>
      <c r="O102" s="506">
        <f>Table!$S5+O$99</f>
        <v>514.97104225352109</v>
      </c>
      <c r="P102" s="506">
        <f>Table!$T5+P$99</f>
        <v>8.6909295774647894</v>
      </c>
    </row>
    <row r="103" spans="1:16" x14ac:dyDescent="0.25">
      <c r="A103" s="506">
        <f>Table!$S6+A$99</f>
        <v>-8.5368262910798123</v>
      </c>
      <c r="B103" s="506">
        <f>Table!$T6+B$99</f>
        <v>9.1383661971830978</v>
      </c>
      <c r="C103" s="506">
        <f>Table!$S6+C$99</f>
        <v>6.9561314553990607</v>
      </c>
      <c r="D103" s="506">
        <f>Table!$T6+D$99</f>
        <v>9.1383661971830978</v>
      </c>
      <c r="E103" s="506">
        <f>Table!$S6+E$99</f>
        <v>515.64157746478872</v>
      </c>
      <c r="F103" s="506">
        <f>Table!$T6+F$99</f>
        <v>9.1383661971830978</v>
      </c>
      <c r="G103" s="506">
        <f>Table!$S6+G$99</f>
        <v>515.64157746478872</v>
      </c>
      <c r="H103" s="506">
        <f>Table!$T6+H$99</f>
        <v>9.1383661971830978</v>
      </c>
      <c r="I103" s="506">
        <f>Table!$S6+I$99</f>
        <v>515.64157746478872</v>
      </c>
      <c r="J103" s="506">
        <f>Table!$T6+J$99</f>
        <v>9.1383661971830978</v>
      </c>
      <c r="K103" s="506">
        <f>Table!$S6+K$99</f>
        <v>515.64157746478872</v>
      </c>
      <c r="L103" s="506">
        <f>Table!$T6+L$99</f>
        <v>9.1383661971830978</v>
      </c>
      <c r="M103" s="506">
        <f>Table!$S6+M$99</f>
        <v>515.64157746478872</v>
      </c>
      <c r="N103" s="506">
        <f>Table!$T6+N$99</f>
        <v>9.1383661971830978</v>
      </c>
      <c r="O103" s="506">
        <f>Table!$S6+O$99</f>
        <v>515.64157746478872</v>
      </c>
      <c r="P103" s="506">
        <f>Table!$T6+P$99</f>
        <v>9.1383661971830978</v>
      </c>
    </row>
    <row r="104" spans="1:16" x14ac:dyDescent="0.25">
      <c r="A104" s="506">
        <f>Table!$S7+A$99</f>
        <v>-7.7464788732394361</v>
      </c>
      <c r="B104" s="506">
        <f>Table!$T7+B$99</f>
        <v>9.295774647887324</v>
      </c>
      <c r="C104" s="506">
        <f>Table!$S7+C$99</f>
        <v>7.7464788732394361</v>
      </c>
      <c r="D104" s="506">
        <f>Table!$T7+D$99</f>
        <v>9.295774647887324</v>
      </c>
      <c r="E104" s="506">
        <f>Table!$S7+E$99</f>
        <v>516.43192488262912</v>
      </c>
      <c r="F104" s="506">
        <f>Table!$T7+F$99</f>
        <v>9.295774647887324</v>
      </c>
      <c r="G104" s="506">
        <f>Table!$S7+G$99</f>
        <v>516.43192488262912</v>
      </c>
      <c r="H104" s="506">
        <f>Table!$T7+H$99</f>
        <v>9.295774647887324</v>
      </c>
      <c r="I104" s="506">
        <f>Table!$S7+I$99</f>
        <v>516.43192488262912</v>
      </c>
      <c r="J104" s="506">
        <f>Table!$T7+J$99</f>
        <v>9.295774647887324</v>
      </c>
      <c r="K104" s="506">
        <f>Table!$S7+K$99</f>
        <v>516.43192488262912</v>
      </c>
      <c r="L104" s="506">
        <f>Table!$T7+L$99</f>
        <v>9.295774647887324</v>
      </c>
      <c r="M104" s="506">
        <f>Table!$S7+M$99</f>
        <v>516.43192488262912</v>
      </c>
      <c r="N104" s="506">
        <f>Table!$T7+N$99</f>
        <v>9.295774647887324</v>
      </c>
      <c r="O104" s="506">
        <f>Table!$S7+O$99</f>
        <v>516.43192488262912</v>
      </c>
      <c r="P104" s="506">
        <f>Table!$T7+P$99</f>
        <v>9.295774647887324</v>
      </c>
    </row>
    <row r="105" spans="1:16" x14ac:dyDescent="0.25">
      <c r="A105" s="506">
        <f>Table!$S8+A$99</f>
        <v>-6.9561314553990607</v>
      </c>
      <c r="B105" s="506">
        <f>Table!$T8+B$99</f>
        <v>9.1383661971830978</v>
      </c>
      <c r="C105" s="506">
        <f>Table!$S8+C$99</f>
        <v>8.5368262910798123</v>
      </c>
      <c r="D105" s="506">
        <f>Table!$T8+D$99</f>
        <v>9.1383661971830978</v>
      </c>
      <c r="E105" s="506">
        <f>Table!$S8+E$99</f>
        <v>517.22227230046951</v>
      </c>
      <c r="F105" s="506">
        <f>Table!$T8+F$99</f>
        <v>9.1383661971830978</v>
      </c>
      <c r="G105" s="506">
        <f>Table!$S8+G$99</f>
        <v>517.22227230046951</v>
      </c>
      <c r="H105" s="506">
        <f>Table!$T8+H$99</f>
        <v>9.1383661971830978</v>
      </c>
      <c r="I105" s="506">
        <f>Table!$S8+I$99</f>
        <v>517.22227230046951</v>
      </c>
      <c r="J105" s="506">
        <f>Table!$T8+J$99</f>
        <v>9.1383661971830978</v>
      </c>
      <c r="K105" s="506">
        <f>Table!$S8+K$99</f>
        <v>517.22227230046951</v>
      </c>
      <c r="L105" s="506">
        <f>Table!$T8+L$99</f>
        <v>9.1383661971830978</v>
      </c>
      <c r="M105" s="506">
        <f>Table!$S8+M$99</f>
        <v>517.22227230046951</v>
      </c>
      <c r="N105" s="506">
        <f>Table!$T8+N$99</f>
        <v>9.1383661971830978</v>
      </c>
      <c r="O105" s="506">
        <f>Table!$S8+O$99</f>
        <v>517.22227230046951</v>
      </c>
      <c r="P105" s="506">
        <f>Table!$T8+P$99</f>
        <v>9.1383661971830978</v>
      </c>
    </row>
    <row r="106" spans="1:16" x14ac:dyDescent="0.25">
      <c r="A106" s="506">
        <f>Table!$S9+A$99</f>
        <v>-6.2855962441314546</v>
      </c>
      <c r="B106" s="506">
        <f>Table!$T9+B$99</f>
        <v>8.6909295774647894</v>
      </c>
      <c r="C106" s="506">
        <f>Table!$S9+C$99</f>
        <v>9.2073615023474176</v>
      </c>
      <c r="D106" s="506">
        <f>Table!$T9+D$99</f>
        <v>8.6909295774647894</v>
      </c>
      <c r="E106" s="506">
        <f>Table!$S9+E$99</f>
        <v>517.89280751173715</v>
      </c>
      <c r="F106" s="506">
        <f>Table!$T9+F$99</f>
        <v>8.6909295774647894</v>
      </c>
      <c r="G106" s="506">
        <f>Table!$S9+G$99</f>
        <v>517.89280751173715</v>
      </c>
      <c r="H106" s="506">
        <f>Table!$T9+H$99</f>
        <v>8.6909295774647894</v>
      </c>
      <c r="I106" s="506">
        <f>Table!$S9+I$99</f>
        <v>517.89280751173715</v>
      </c>
      <c r="J106" s="506">
        <f>Table!$T9+J$99</f>
        <v>8.6909295774647894</v>
      </c>
      <c r="K106" s="506">
        <f>Table!$S9+K$99</f>
        <v>517.89280751173715</v>
      </c>
      <c r="L106" s="506">
        <f>Table!$T9+L$99</f>
        <v>8.6909295774647894</v>
      </c>
      <c r="M106" s="506">
        <f>Table!$S9+M$99</f>
        <v>517.89280751173715</v>
      </c>
      <c r="N106" s="506">
        <f>Table!$T9+N$99</f>
        <v>8.6909295774647894</v>
      </c>
      <c r="O106" s="506">
        <f>Table!$S9+O$99</f>
        <v>517.89280751173715</v>
      </c>
      <c r="P106" s="506">
        <f>Table!$T9+P$99</f>
        <v>8.6909295774647894</v>
      </c>
    </row>
    <row r="107" spans="1:16" x14ac:dyDescent="0.25">
      <c r="A107" s="506">
        <f>Table!$S10+A$99</f>
        <v>-5.8460093896713605</v>
      </c>
      <c r="B107" s="506">
        <f>Table!$T10+B$99</f>
        <v>8.0203943661971824</v>
      </c>
      <c r="C107" s="506">
        <f>Table!$S10+C$99</f>
        <v>9.6469483568075116</v>
      </c>
      <c r="D107" s="506">
        <f>Table!$T10+D$99</f>
        <v>8.0203943661971824</v>
      </c>
      <c r="E107" s="506">
        <f>Table!$S10+E$99</f>
        <v>518.33239436619715</v>
      </c>
      <c r="F107" s="506">
        <f>Table!$T10+F$99</f>
        <v>8.0203943661971824</v>
      </c>
      <c r="G107" s="506">
        <f>Table!$S10+G$99</f>
        <v>518.33239436619715</v>
      </c>
      <c r="H107" s="506">
        <f>Table!$T10+H$99</f>
        <v>8.0203943661971824</v>
      </c>
      <c r="I107" s="506">
        <f>Table!$S10+I$99</f>
        <v>518.33239436619715</v>
      </c>
      <c r="J107" s="506">
        <f>Table!$T10+J$99</f>
        <v>8.0203943661971824</v>
      </c>
      <c r="K107" s="506">
        <f>Table!$S10+K$99</f>
        <v>518.33239436619715</v>
      </c>
      <c r="L107" s="506">
        <f>Table!$T10+L$99</f>
        <v>8.0203943661971824</v>
      </c>
      <c r="M107" s="506">
        <f>Table!$S10+M$99</f>
        <v>518.33239436619715</v>
      </c>
      <c r="N107" s="506">
        <f>Table!$T10+N$99</f>
        <v>8.0203943661971824</v>
      </c>
      <c r="O107" s="506">
        <f>Table!$S10+O$99</f>
        <v>518.33239436619715</v>
      </c>
      <c r="P107" s="506">
        <f>Table!$T10+P$99</f>
        <v>8.0203943661971824</v>
      </c>
    </row>
    <row r="108" spans="1:16" x14ac:dyDescent="0.25">
      <c r="A108" s="506">
        <f>Table!$S11+A$99</f>
        <v>-5.68075117370892</v>
      </c>
      <c r="B108" s="506">
        <f>Table!$T11+B$99</f>
        <v>7.2300469483568071</v>
      </c>
      <c r="C108" s="506">
        <f>Table!$S11+C$99</f>
        <v>9.8122065727699521</v>
      </c>
      <c r="D108" s="506">
        <f>Table!$T11+D$99</f>
        <v>7.2300469483568071</v>
      </c>
      <c r="E108" s="506">
        <f>Table!$S11+E$99</f>
        <v>518.49765258215962</v>
      </c>
      <c r="F108" s="506">
        <f>Table!$T11+F$99</f>
        <v>7.2300469483568071</v>
      </c>
      <c r="G108" s="506">
        <f>Table!$S11+G$99</f>
        <v>518.49765258215962</v>
      </c>
      <c r="H108" s="506">
        <f>Table!$T11+H$99</f>
        <v>7.2300469483568071</v>
      </c>
      <c r="I108" s="506">
        <f>Table!$S11+I$99</f>
        <v>518.49765258215962</v>
      </c>
      <c r="J108" s="506">
        <f>Table!$T11+J$99</f>
        <v>7.2300469483568071</v>
      </c>
      <c r="K108" s="506">
        <f>Table!$S11+K$99</f>
        <v>518.49765258215962</v>
      </c>
      <c r="L108" s="506">
        <f>Table!$T11+L$99</f>
        <v>7.2300469483568071</v>
      </c>
      <c r="M108" s="506">
        <f>Table!$S11+M$99</f>
        <v>518.49765258215962</v>
      </c>
      <c r="N108" s="506">
        <f>Table!$T11+N$99</f>
        <v>7.2300469483568071</v>
      </c>
      <c r="O108" s="506">
        <f>Table!$S11+O$99</f>
        <v>518.49765258215962</v>
      </c>
      <c r="P108" s="506">
        <f>Table!$T11+P$99</f>
        <v>7.2300469483568071</v>
      </c>
    </row>
    <row r="109" spans="1:16" x14ac:dyDescent="0.25">
      <c r="A109" s="506">
        <f>Table!$S12+A$99</f>
        <v>-5.8460093896713605</v>
      </c>
      <c r="B109" s="506">
        <f>Table!$T12+B$99</f>
        <v>6.4396995305164317</v>
      </c>
      <c r="C109" s="506">
        <f>Table!$S12+C$99</f>
        <v>9.6469483568075116</v>
      </c>
      <c r="D109" s="506">
        <f>Table!$T12+D$99</f>
        <v>6.4396995305164317</v>
      </c>
      <c r="E109" s="506">
        <f>Table!$S12+E$99</f>
        <v>518.33239436619715</v>
      </c>
      <c r="F109" s="506">
        <f>Table!$T12+F$99</f>
        <v>6.4396995305164317</v>
      </c>
      <c r="G109" s="506">
        <f>Table!$S12+G$99</f>
        <v>518.33239436619715</v>
      </c>
      <c r="H109" s="506">
        <f>Table!$T12+H$99</f>
        <v>6.4396995305164317</v>
      </c>
      <c r="I109" s="506">
        <f>Table!$S12+I$99</f>
        <v>518.33239436619715</v>
      </c>
      <c r="J109" s="506">
        <f>Table!$T12+J$99</f>
        <v>6.4396995305164317</v>
      </c>
      <c r="K109" s="506">
        <f>Table!$S12+K$99</f>
        <v>518.33239436619715</v>
      </c>
      <c r="L109" s="506">
        <f>Table!$T12+L$99</f>
        <v>6.4396995305164317</v>
      </c>
      <c r="M109" s="506">
        <f>Table!$S12+M$99</f>
        <v>518.33239436619715</v>
      </c>
      <c r="N109" s="506">
        <f>Table!$T12+N$99</f>
        <v>6.4396995305164317</v>
      </c>
      <c r="O109" s="506">
        <f>Table!$S12+O$99</f>
        <v>518.33239436619715</v>
      </c>
      <c r="P109" s="506">
        <f>Table!$T12+P$99</f>
        <v>6.4396995305164317</v>
      </c>
    </row>
    <row r="110" spans="1:16" x14ac:dyDescent="0.25">
      <c r="A110" s="506">
        <f>Table!$S13+A$99</f>
        <v>-6.2855962441314546</v>
      </c>
      <c r="B110" s="506">
        <f>Table!$T13+B$99</f>
        <v>5.7691643192488256</v>
      </c>
      <c r="C110" s="506">
        <f>Table!$S13+C$99</f>
        <v>9.2073615023474176</v>
      </c>
      <c r="D110" s="506">
        <f>Table!$T13+D$99</f>
        <v>5.7691643192488256</v>
      </c>
      <c r="E110" s="506">
        <f>Table!$S13+E$99</f>
        <v>517.89280751173715</v>
      </c>
      <c r="F110" s="506">
        <f>Table!$T13+F$99</f>
        <v>5.7691643192488256</v>
      </c>
      <c r="G110" s="506">
        <f>Table!$S13+G$99</f>
        <v>517.89280751173715</v>
      </c>
      <c r="H110" s="506">
        <f>Table!$T13+H$99</f>
        <v>5.7691643192488256</v>
      </c>
      <c r="I110" s="506">
        <f>Table!$S13+I$99</f>
        <v>517.89280751173715</v>
      </c>
      <c r="J110" s="506">
        <f>Table!$T13+J$99</f>
        <v>5.7691643192488256</v>
      </c>
      <c r="K110" s="506">
        <f>Table!$S13+K$99</f>
        <v>517.89280751173715</v>
      </c>
      <c r="L110" s="506">
        <f>Table!$T13+L$99</f>
        <v>5.7691643192488256</v>
      </c>
      <c r="M110" s="506">
        <f>Table!$S13+M$99</f>
        <v>517.89280751173715</v>
      </c>
      <c r="N110" s="506">
        <f>Table!$T13+N$99</f>
        <v>5.7691643192488256</v>
      </c>
      <c r="O110" s="506">
        <f>Table!$S13+O$99</f>
        <v>517.89280751173715</v>
      </c>
      <c r="P110" s="506">
        <f>Table!$T13+P$99</f>
        <v>5.7691643192488256</v>
      </c>
    </row>
    <row r="111" spans="1:16" x14ac:dyDescent="0.25">
      <c r="A111" s="506">
        <f>Table!$S14+A$99</f>
        <v>-6.9561314553990607</v>
      </c>
      <c r="B111" s="506">
        <f>Table!$T14+B$99</f>
        <v>5.3217276995305163</v>
      </c>
      <c r="C111" s="506">
        <f>Table!$S14+C$99</f>
        <v>8.5368262910798123</v>
      </c>
      <c r="D111" s="506">
        <f>Table!$T14+D$99</f>
        <v>5.3217276995305163</v>
      </c>
      <c r="E111" s="506">
        <f>Table!$S14+E$99</f>
        <v>517.22227230046951</v>
      </c>
      <c r="F111" s="506">
        <f>Table!$T14+F$99</f>
        <v>5.3217276995305163</v>
      </c>
      <c r="G111" s="506">
        <f>Table!$S14+G$99</f>
        <v>517.22227230046951</v>
      </c>
      <c r="H111" s="506">
        <f>Table!$T14+H$99</f>
        <v>5.3217276995305163</v>
      </c>
      <c r="I111" s="506">
        <f>Table!$S14+I$99</f>
        <v>517.22227230046951</v>
      </c>
      <c r="J111" s="506">
        <f>Table!$T14+J$99</f>
        <v>5.3217276995305163</v>
      </c>
      <c r="K111" s="506">
        <f>Table!$S14+K$99</f>
        <v>517.22227230046951</v>
      </c>
      <c r="L111" s="506">
        <f>Table!$T14+L$99</f>
        <v>5.3217276995305163</v>
      </c>
      <c r="M111" s="506">
        <f>Table!$S14+M$99</f>
        <v>517.22227230046951</v>
      </c>
      <c r="N111" s="506">
        <f>Table!$T14+N$99</f>
        <v>5.3217276995305163</v>
      </c>
      <c r="O111" s="506">
        <f>Table!$S14+O$99</f>
        <v>517.22227230046951</v>
      </c>
      <c r="P111" s="506">
        <f>Table!$T14+P$99</f>
        <v>5.3217276995305163</v>
      </c>
    </row>
    <row r="112" spans="1:16" x14ac:dyDescent="0.25">
      <c r="A112" s="506">
        <f>Table!$S15+A$99</f>
        <v>-7.7464788732394361</v>
      </c>
      <c r="B112" s="506">
        <f>Table!$T15+B$99</f>
        <v>5.1643192488262901</v>
      </c>
      <c r="C112" s="506">
        <f>Table!$S15+C$99</f>
        <v>7.7464788732394361</v>
      </c>
      <c r="D112" s="506">
        <f>Table!$T15+D$99</f>
        <v>5.1643192488262901</v>
      </c>
      <c r="E112" s="506">
        <f>Table!$S15+E$99</f>
        <v>516.43192488262912</v>
      </c>
      <c r="F112" s="506">
        <f>Table!$T15+F$99</f>
        <v>5.1643192488262901</v>
      </c>
      <c r="G112" s="506">
        <f>Table!$S15+G$99</f>
        <v>516.43192488262912</v>
      </c>
      <c r="H112" s="506">
        <f>Table!$T15+H$99</f>
        <v>5.1643192488262901</v>
      </c>
      <c r="I112" s="506">
        <f>Table!$S15+I$99</f>
        <v>516.43192488262912</v>
      </c>
      <c r="J112" s="506">
        <f>Table!$T15+J$99</f>
        <v>5.1643192488262901</v>
      </c>
      <c r="K112" s="506">
        <f>Table!$S15+K$99</f>
        <v>516.43192488262912</v>
      </c>
      <c r="L112" s="506">
        <f>Table!$T15+L$99</f>
        <v>5.1643192488262901</v>
      </c>
      <c r="M112" s="506">
        <f>Table!$S15+M$99</f>
        <v>516.43192488262912</v>
      </c>
      <c r="N112" s="506">
        <f>Table!$T15+N$99</f>
        <v>5.1643192488262901</v>
      </c>
      <c r="O112" s="506">
        <f>Table!$S15+O$99</f>
        <v>516.43192488262912</v>
      </c>
      <c r="P112" s="506">
        <f>Table!$T15+P$99</f>
        <v>5.1643192488262901</v>
      </c>
    </row>
    <row r="113" spans="1:16" x14ac:dyDescent="0.25">
      <c r="A113" s="506">
        <f>Table!$S16+A$99</f>
        <v>-8.5368262910798123</v>
      </c>
      <c r="B113" s="506">
        <f>Table!$T16+B$99</f>
        <v>5.3217276995305163</v>
      </c>
      <c r="C113" s="506">
        <f>Table!$S16+C$99</f>
        <v>6.9561314553990607</v>
      </c>
      <c r="D113" s="506">
        <f>Table!$T16+D$99</f>
        <v>5.3217276995305163</v>
      </c>
      <c r="E113" s="506">
        <f>Table!$S16+E$99</f>
        <v>515.64157746478872</v>
      </c>
      <c r="F113" s="506">
        <f>Table!$T16+F$99</f>
        <v>5.3217276995305163</v>
      </c>
      <c r="G113" s="506">
        <f>Table!$S16+G$99</f>
        <v>515.64157746478872</v>
      </c>
      <c r="H113" s="506">
        <f>Table!$T16+H$99</f>
        <v>5.3217276995305163</v>
      </c>
      <c r="I113" s="506">
        <f>Table!$S16+I$99</f>
        <v>515.64157746478872</v>
      </c>
      <c r="J113" s="506">
        <f>Table!$T16+J$99</f>
        <v>5.3217276995305163</v>
      </c>
      <c r="K113" s="506">
        <f>Table!$S16+K$99</f>
        <v>515.64157746478872</v>
      </c>
      <c r="L113" s="506">
        <f>Table!$T16+L$99</f>
        <v>5.3217276995305163</v>
      </c>
      <c r="M113" s="506">
        <f>Table!$S16+M$99</f>
        <v>515.64157746478872</v>
      </c>
      <c r="N113" s="506">
        <f>Table!$T16+N$99</f>
        <v>5.3217276995305163</v>
      </c>
      <c r="O113" s="506">
        <f>Table!$S16+O$99</f>
        <v>515.64157746478872</v>
      </c>
      <c r="P113" s="506">
        <f>Table!$T16+P$99</f>
        <v>5.3217276995305163</v>
      </c>
    </row>
    <row r="114" spans="1:16" x14ac:dyDescent="0.25">
      <c r="A114" s="506">
        <f>Table!$S17+A$99</f>
        <v>-9.2073615023474176</v>
      </c>
      <c r="B114" s="506">
        <f>Table!$T17+B$99</f>
        <v>5.7691643192488256</v>
      </c>
      <c r="C114" s="506">
        <f>Table!$S17+C$99</f>
        <v>6.2855962441314546</v>
      </c>
      <c r="D114" s="506">
        <f>Table!$T17+D$99</f>
        <v>5.7691643192488256</v>
      </c>
      <c r="E114" s="506">
        <f>Table!$S17+E$99</f>
        <v>514.97104225352109</v>
      </c>
      <c r="F114" s="506">
        <f>Table!$T17+F$99</f>
        <v>5.7691643192488256</v>
      </c>
      <c r="G114" s="506">
        <f>Table!$S17+G$99</f>
        <v>514.97104225352109</v>
      </c>
      <c r="H114" s="506">
        <f>Table!$T17+H$99</f>
        <v>5.7691643192488256</v>
      </c>
      <c r="I114" s="506">
        <f>Table!$S17+I$99</f>
        <v>514.97104225352109</v>
      </c>
      <c r="J114" s="506">
        <f>Table!$T17+J$99</f>
        <v>5.7691643192488256</v>
      </c>
      <c r="K114" s="506">
        <f>Table!$S17+K$99</f>
        <v>514.97104225352109</v>
      </c>
      <c r="L114" s="506">
        <f>Table!$T17+L$99</f>
        <v>5.7691643192488256</v>
      </c>
      <c r="M114" s="506">
        <f>Table!$S17+M$99</f>
        <v>514.97104225352109</v>
      </c>
      <c r="N114" s="506">
        <f>Table!$T17+N$99</f>
        <v>5.7691643192488256</v>
      </c>
      <c r="O114" s="506">
        <f>Table!$S17+O$99</f>
        <v>514.97104225352109</v>
      </c>
      <c r="P114" s="506">
        <f>Table!$T17+P$99</f>
        <v>5.7691643192488256</v>
      </c>
    </row>
    <row r="115" spans="1:16" x14ac:dyDescent="0.25">
      <c r="A115" s="506">
        <f>Table!$S18+A$99</f>
        <v>-9.6547981220657277</v>
      </c>
      <c r="B115" s="506">
        <f>Table!$T18+B$99</f>
        <v>6.4396995305164317</v>
      </c>
      <c r="C115" s="506">
        <f>Table!$S18+C$99</f>
        <v>5.8381596244131453</v>
      </c>
      <c r="D115" s="506">
        <f>Table!$T18+D$99</f>
        <v>6.4396995305164317</v>
      </c>
      <c r="E115" s="506">
        <f>Table!$S18+E$99</f>
        <v>514.52360563380284</v>
      </c>
      <c r="F115" s="506">
        <f>Table!$T18+F$99</f>
        <v>6.4396995305164317</v>
      </c>
      <c r="G115" s="506">
        <f>Table!$S18+G$99</f>
        <v>514.52360563380284</v>
      </c>
      <c r="H115" s="506">
        <f>Table!$T18+H$99</f>
        <v>6.4396995305164317</v>
      </c>
      <c r="I115" s="506">
        <f>Table!$S18+I$99</f>
        <v>514.52360563380284</v>
      </c>
      <c r="J115" s="506">
        <f>Table!$T18+J$99</f>
        <v>6.4396995305164317</v>
      </c>
      <c r="K115" s="506">
        <f>Table!$S18+K$99</f>
        <v>514.52360563380284</v>
      </c>
      <c r="L115" s="506">
        <f>Table!$T18+L$99</f>
        <v>6.4396995305164317</v>
      </c>
      <c r="M115" s="506">
        <f>Table!$S18+M$99</f>
        <v>514.52360563380284</v>
      </c>
      <c r="N115" s="506">
        <f>Table!$T18+N$99</f>
        <v>6.4396995305164317</v>
      </c>
      <c r="O115" s="506">
        <f>Table!$S18+O$99</f>
        <v>514.52360563380284</v>
      </c>
      <c r="P115" s="506">
        <f>Table!$T18+P$99</f>
        <v>6.4396995305164317</v>
      </c>
    </row>
    <row r="116" spans="1:16" x14ac:dyDescent="0.25">
      <c r="A116" s="506">
        <f>Table!$S19+A$99</f>
        <v>-9.8122065727699521</v>
      </c>
      <c r="B116" s="506">
        <f>Table!$T19+B$99</f>
        <v>7.2300469483568071</v>
      </c>
      <c r="C116" s="506">
        <f>Table!$S19+C$99</f>
        <v>5.68075117370892</v>
      </c>
      <c r="D116" s="506">
        <f>Table!$T19+D$99</f>
        <v>7.2300469483568071</v>
      </c>
      <c r="E116" s="506">
        <f>Table!$S19+E$99</f>
        <v>514.36619718309862</v>
      </c>
      <c r="F116" s="506">
        <f>Table!$T19+F$99</f>
        <v>7.2300469483568071</v>
      </c>
      <c r="G116" s="506">
        <f>Table!$S19+G$99</f>
        <v>514.36619718309862</v>
      </c>
      <c r="H116" s="506">
        <f>Table!$T19+H$99</f>
        <v>7.2300469483568071</v>
      </c>
      <c r="I116" s="506">
        <f>Table!$S19+I$99</f>
        <v>514.36619718309862</v>
      </c>
      <c r="J116" s="506">
        <f>Table!$T19+J$99</f>
        <v>7.2300469483568071</v>
      </c>
      <c r="K116" s="506">
        <f>Table!$S19+K$99</f>
        <v>514.36619718309862</v>
      </c>
      <c r="L116" s="506">
        <f>Table!$T19+L$99</f>
        <v>7.2300469483568071</v>
      </c>
      <c r="M116" s="506">
        <f>Table!$S19+M$99</f>
        <v>514.36619718309862</v>
      </c>
      <c r="N116" s="506">
        <f>Table!$T19+N$99</f>
        <v>7.2300469483568071</v>
      </c>
      <c r="O116" s="506">
        <f>Table!$S19+O$99</f>
        <v>514.36619718309862</v>
      </c>
      <c r="P116" s="506">
        <f>Table!$T19+P$99</f>
        <v>7.2300469483568071</v>
      </c>
    </row>
    <row r="117" spans="1:16" x14ac:dyDescent="0.25">
      <c r="A117" s="506">
        <f>Table!$S20+A$99</f>
        <v>-10.84507042253521</v>
      </c>
      <c r="B117" s="506">
        <f>Table!$T20+B$99</f>
        <v>7.2300469483568071</v>
      </c>
      <c r="C117" s="506">
        <f>Table!$S20+C$99</f>
        <v>4.647887323943662</v>
      </c>
      <c r="D117" s="506">
        <f>Table!$T20+D$99</f>
        <v>7.2300469483568071</v>
      </c>
      <c r="E117" s="506">
        <f>Table!$S20+E$99</f>
        <v>513.33333333333337</v>
      </c>
      <c r="F117" s="506">
        <f>Table!$T20+F$99</f>
        <v>7.2300469483568071</v>
      </c>
      <c r="G117" s="506">
        <f>Table!$S20+G$99</f>
        <v>513.33333333333337</v>
      </c>
      <c r="H117" s="506">
        <f>Table!$T20+H$99</f>
        <v>7.2300469483568071</v>
      </c>
      <c r="I117" s="506">
        <f>Table!$S20+I$99</f>
        <v>513.33333333333337</v>
      </c>
      <c r="J117" s="506">
        <f>Table!$T20+J$99</f>
        <v>7.2300469483568071</v>
      </c>
      <c r="K117" s="506">
        <f>Table!$S20+K$99</f>
        <v>513.33333333333337</v>
      </c>
      <c r="L117" s="506">
        <f>Table!$T20+L$99</f>
        <v>7.2300469483568071</v>
      </c>
      <c r="M117" s="506">
        <f>Table!$S20+M$99</f>
        <v>513.33333333333337</v>
      </c>
      <c r="N117" s="506">
        <f>Table!$T20+N$99</f>
        <v>7.2300469483568071</v>
      </c>
      <c r="O117" s="506">
        <f>Table!$S20+O$99</f>
        <v>513.33333333333337</v>
      </c>
      <c r="P117" s="506">
        <f>Table!$T20+P$99</f>
        <v>7.2300469483568071</v>
      </c>
    </row>
    <row r="118" spans="1:16" x14ac:dyDescent="0.25">
      <c r="A118" s="506">
        <f>Table!$S21+A$99</f>
        <v>-4.647887323943662</v>
      </c>
      <c r="B118" s="506">
        <f>Table!$T21+B$99</f>
        <v>7.2300469483568071</v>
      </c>
      <c r="C118" s="506">
        <f>Table!$S21+C$99</f>
        <v>10.84507042253521</v>
      </c>
      <c r="D118" s="506">
        <f>Table!$T21+D$99</f>
        <v>7.2300469483568071</v>
      </c>
      <c r="E118" s="506">
        <f>Table!$S21+E$99</f>
        <v>519.53051643192487</v>
      </c>
      <c r="F118" s="506">
        <f>Table!$T21+F$99</f>
        <v>7.2300469483568071</v>
      </c>
      <c r="G118" s="506">
        <f>Table!$S21+G$99</f>
        <v>519.53051643192487</v>
      </c>
      <c r="H118" s="506">
        <f>Table!$T21+H$99</f>
        <v>7.2300469483568071</v>
      </c>
      <c r="I118" s="506">
        <f>Table!$S21+I$99</f>
        <v>519.53051643192487</v>
      </c>
      <c r="J118" s="506">
        <f>Table!$T21+J$99</f>
        <v>7.2300469483568071</v>
      </c>
      <c r="K118" s="506">
        <f>Table!$S21+K$99</f>
        <v>519.53051643192487</v>
      </c>
      <c r="L118" s="506">
        <f>Table!$T21+L$99</f>
        <v>7.2300469483568071</v>
      </c>
      <c r="M118" s="506">
        <f>Table!$S21+M$99</f>
        <v>519.53051643192487</v>
      </c>
      <c r="N118" s="506">
        <f>Table!$T21+N$99</f>
        <v>7.2300469483568071</v>
      </c>
      <c r="O118" s="506">
        <f>Table!$S21+O$99</f>
        <v>519.53051643192487</v>
      </c>
      <c r="P118" s="506">
        <f>Table!$T21+P$99</f>
        <v>7.2300469483568071</v>
      </c>
    </row>
    <row r="119" spans="1:16" x14ac:dyDescent="0.25">
      <c r="A119" s="506">
        <f>Table!$S22+A$99</f>
        <v>-7.7464788732394361</v>
      </c>
      <c r="B119" s="506">
        <f>Table!$T22+B$99</f>
        <v>4.1314553990610321</v>
      </c>
      <c r="C119" s="506">
        <f>Table!$S22+C$99</f>
        <v>7.7464788732394361</v>
      </c>
      <c r="D119" s="506">
        <f>Table!$T22+D$99</f>
        <v>4.1314553990610321</v>
      </c>
      <c r="E119" s="506">
        <f>Table!$S22+E$99</f>
        <v>516.43192488262912</v>
      </c>
      <c r="F119" s="506">
        <f>Table!$T22+F$99</f>
        <v>4.1314553990610321</v>
      </c>
      <c r="G119" s="506">
        <f>Table!$S22+G$99</f>
        <v>516.43192488262912</v>
      </c>
      <c r="H119" s="506">
        <f>Table!$T22+H$99</f>
        <v>4.1314553990610321</v>
      </c>
      <c r="I119" s="506">
        <f>Table!$S22+I$99</f>
        <v>516.43192488262912</v>
      </c>
      <c r="J119" s="506">
        <f>Table!$T22+J$99</f>
        <v>4.1314553990610321</v>
      </c>
      <c r="K119" s="506">
        <f>Table!$S22+K$99</f>
        <v>516.43192488262912</v>
      </c>
      <c r="L119" s="506">
        <f>Table!$T22+L$99</f>
        <v>4.1314553990610321</v>
      </c>
      <c r="M119" s="506">
        <f>Table!$S22+M$99</f>
        <v>516.43192488262912</v>
      </c>
      <c r="N119" s="506">
        <f>Table!$T22+N$99</f>
        <v>4.1314553990610321</v>
      </c>
      <c r="O119" s="506">
        <f>Table!$S22+O$99</f>
        <v>516.43192488262912</v>
      </c>
      <c r="P119" s="506">
        <f>Table!$T22+P$99</f>
        <v>4.1314553990610321</v>
      </c>
    </row>
    <row r="120" spans="1:16" x14ac:dyDescent="0.25">
      <c r="A120" s="506">
        <f>Table!$S23+A$99</f>
        <v>-7.7464788732394361</v>
      </c>
      <c r="B120" s="506">
        <f>Table!$T23+B$99</f>
        <v>10.328638497652582</v>
      </c>
      <c r="C120" s="506">
        <f>Table!$S23+C$99</f>
        <v>7.7464788732394361</v>
      </c>
      <c r="D120" s="506">
        <f>Table!$T23+D$99</f>
        <v>10.328638497652582</v>
      </c>
      <c r="E120" s="506">
        <f>Table!$S23+E$99</f>
        <v>516.43192488262912</v>
      </c>
      <c r="F120" s="506">
        <f>Table!$T23+F$99</f>
        <v>10.328638497652582</v>
      </c>
      <c r="G120" s="506">
        <f>Table!$S23+G$99</f>
        <v>516.43192488262912</v>
      </c>
      <c r="H120" s="506">
        <f>Table!$T23+H$99</f>
        <v>10.328638497652582</v>
      </c>
      <c r="I120" s="506">
        <f>Table!$S23+I$99</f>
        <v>516.43192488262912</v>
      </c>
      <c r="J120" s="506">
        <f>Table!$T23+J$99</f>
        <v>10.328638497652582</v>
      </c>
      <c r="K120" s="506">
        <f>Table!$S23+K$99</f>
        <v>516.43192488262912</v>
      </c>
      <c r="L120" s="506">
        <f>Table!$T23+L$99</f>
        <v>10.328638497652582</v>
      </c>
      <c r="M120" s="506">
        <f>Table!$S23+M$99</f>
        <v>516.43192488262912</v>
      </c>
      <c r="N120" s="506">
        <f>Table!$T23+N$99</f>
        <v>10.328638497652582</v>
      </c>
      <c r="O120" s="506">
        <f>Table!$S23+O$99</f>
        <v>516.43192488262912</v>
      </c>
      <c r="P120" s="506">
        <f>Table!$T23+P$99</f>
        <v>10.328638497652582</v>
      </c>
    </row>
    <row r="121" spans="1:16" x14ac:dyDescent="0.25">
      <c r="A121" s="502" t="s">
        <v>995</v>
      </c>
      <c r="B121" s="502" t="s">
        <v>1005</v>
      </c>
      <c r="C121" s="502" t="s">
        <v>997</v>
      </c>
      <c r="D121" s="502" t="s">
        <v>1005</v>
      </c>
      <c r="E121" s="502" t="s">
        <v>998</v>
      </c>
      <c r="F121" s="502" t="s">
        <v>1005</v>
      </c>
      <c r="G121" s="502" t="s">
        <v>999</v>
      </c>
      <c r="H121" s="502" t="s">
        <v>1005</v>
      </c>
      <c r="I121" s="502" t="s">
        <v>1000</v>
      </c>
      <c r="J121" s="502" t="s">
        <v>1005</v>
      </c>
      <c r="K121" s="502" t="s">
        <v>1001</v>
      </c>
      <c r="L121" s="502" t="s">
        <v>1005</v>
      </c>
      <c r="M121" s="502" t="s">
        <v>1002</v>
      </c>
      <c r="N121" s="502" t="s">
        <v>1005</v>
      </c>
      <c r="O121" s="502" t="s">
        <v>1003</v>
      </c>
      <c r="P121" s="502" t="s">
        <v>1005</v>
      </c>
    </row>
    <row r="122" spans="1:16" x14ac:dyDescent="0.25">
      <c r="A122" s="502" t="s">
        <v>72</v>
      </c>
      <c r="B122" s="502" t="s">
        <v>71</v>
      </c>
      <c r="C122" s="502" t="s">
        <v>72</v>
      </c>
      <c r="D122" s="502" t="s">
        <v>71</v>
      </c>
      <c r="E122" s="502" t="s">
        <v>72</v>
      </c>
      <c r="F122" s="502" t="s">
        <v>71</v>
      </c>
      <c r="G122" s="502" t="s">
        <v>72</v>
      </c>
      <c r="H122" s="502" t="s">
        <v>71</v>
      </c>
      <c r="I122" s="502" t="s">
        <v>72</v>
      </c>
      <c r="J122" s="502" t="s">
        <v>71</v>
      </c>
      <c r="K122" s="502" t="s">
        <v>72</v>
      </c>
      <c r="L122" s="502" t="s">
        <v>71</v>
      </c>
      <c r="M122" s="502" t="s">
        <v>72</v>
      </c>
      <c r="N122" s="502" t="s">
        <v>71</v>
      </c>
      <c r="O122" s="502" t="s">
        <v>72</v>
      </c>
      <c r="P122" s="502" t="s">
        <v>71</v>
      </c>
    </row>
    <row r="123" spans="1:16" x14ac:dyDescent="0.25">
      <c r="A123" s="502">
        <f>A147</f>
        <v>-7.7464788732394361</v>
      </c>
      <c r="B123" s="502">
        <f>Table!$Q$36/Table!$Q$35*IF('Process (2)'!D58="",100,'Process (2)'!D58)</f>
        <v>-7.2300469483568071</v>
      </c>
      <c r="C123" s="502">
        <f>C147</f>
        <v>7.7464788732394361</v>
      </c>
      <c r="D123" s="502">
        <f>B123</f>
        <v>-7.2300469483568071</v>
      </c>
      <c r="E123" s="502">
        <f>E147</f>
        <v>516.43192488262912</v>
      </c>
      <c r="F123" s="502">
        <f>D123</f>
        <v>-7.2300469483568071</v>
      </c>
      <c r="G123" s="502">
        <f>G147</f>
        <v>516.43192488262912</v>
      </c>
      <c r="H123" s="502">
        <f>F123</f>
        <v>-7.2300469483568071</v>
      </c>
      <c r="I123" s="502">
        <f>I147</f>
        <v>516.43192488262912</v>
      </c>
      <c r="J123" s="502">
        <f>H123</f>
        <v>-7.2300469483568071</v>
      </c>
      <c r="K123" s="502">
        <f>K147</f>
        <v>516.43192488262912</v>
      </c>
      <c r="L123" s="502">
        <f>J123</f>
        <v>-7.2300469483568071</v>
      </c>
      <c r="M123" s="502">
        <f>M147</f>
        <v>516.43192488262912</v>
      </c>
      <c r="N123" s="502">
        <f>L123</f>
        <v>-7.2300469483568071</v>
      </c>
      <c r="O123" s="502">
        <f>O147</f>
        <v>516.43192488262912</v>
      </c>
      <c r="P123" s="502">
        <f>N123</f>
        <v>-7.2300469483568071</v>
      </c>
    </row>
    <row r="124" spans="1:16" x14ac:dyDescent="0.25">
      <c r="A124" s="506">
        <f>Table!$S3+$A$123</f>
        <v>-9.8122065727699521</v>
      </c>
      <c r="B124" s="506">
        <f>Table!$T3+$B$123</f>
        <v>-7.2300469483568071</v>
      </c>
      <c r="C124" s="506">
        <f>Table!$S3+$C$123</f>
        <v>5.68075117370892</v>
      </c>
      <c r="D124" s="506">
        <f>Table!$T3+$D$123</f>
        <v>-7.2300469483568071</v>
      </c>
      <c r="E124" s="506">
        <f>Table!$S3+$E$123</f>
        <v>514.36619718309862</v>
      </c>
      <c r="F124" s="506">
        <f>Table!$T3+$F$123</f>
        <v>-7.2300469483568071</v>
      </c>
      <c r="G124" s="506">
        <f>Table!$S3+$G$123</f>
        <v>514.36619718309862</v>
      </c>
      <c r="H124" s="506">
        <f>Table!$T3+$H$123</f>
        <v>-7.2300469483568071</v>
      </c>
      <c r="I124" s="506">
        <f>Table!$S3+$I$123</f>
        <v>514.36619718309862</v>
      </c>
      <c r="J124" s="506">
        <f>Table!$T3+$J$123</f>
        <v>-7.2300469483568071</v>
      </c>
      <c r="K124" s="506">
        <f>Table!$S3+$K$123</f>
        <v>514.36619718309862</v>
      </c>
      <c r="L124" s="506">
        <f>Table!$T3+$L$123</f>
        <v>-7.2300469483568071</v>
      </c>
      <c r="M124" s="506">
        <f>Table!$S3+$M$123</f>
        <v>514.36619718309862</v>
      </c>
      <c r="N124" s="506">
        <f>Table!$T3+$N$123</f>
        <v>-7.2300469483568071</v>
      </c>
      <c r="O124" s="506">
        <f>Table!$S3+$O$123</f>
        <v>514.36619718309862</v>
      </c>
      <c r="P124" s="506">
        <f>Table!$T3+$P$123</f>
        <v>-7.2300469483568071</v>
      </c>
    </row>
    <row r="125" spans="1:16" x14ac:dyDescent="0.25">
      <c r="A125" s="506">
        <f>Table!$S4+$A$123</f>
        <v>-9.6547981220657277</v>
      </c>
      <c r="B125" s="506">
        <f>Table!$T4+$B$123</f>
        <v>-6.4396995305164317</v>
      </c>
      <c r="C125" s="506">
        <f>Table!$S4+$C$123</f>
        <v>5.8381596244131453</v>
      </c>
      <c r="D125" s="506">
        <f>Table!$T4+$D$123</f>
        <v>-6.4396995305164317</v>
      </c>
      <c r="E125" s="506">
        <f>Table!$S4+$E$123</f>
        <v>514.52360563380284</v>
      </c>
      <c r="F125" s="506">
        <f>Table!$T4+$F$123</f>
        <v>-6.4396995305164317</v>
      </c>
      <c r="G125" s="506">
        <f>Table!$S4+$G$123</f>
        <v>514.52360563380284</v>
      </c>
      <c r="H125" s="506">
        <f>Table!$T4+$H$123</f>
        <v>-6.4396995305164317</v>
      </c>
      <c r="I125" s="506">
        <f>Table!$S4+$I$123</f>
        <v>514.52360563380284</v>
      </c>
      <c r="J125" s="506">
        <f>Table!$T4+$J$123</f>
        <v>-6.4396995305164317</v>
      </c>
      <c r="K125" s="506">
        <f>Table!$S4+$K$123</f>
        <v>514.52360563380284</v>
      </c>
      <c r="L125" s="506">
        <f>Table!$T4+$L$123</f>
        <v>-6.4396995305164317</v>
      </c>
      <c r="M125" s="506">
        <f>Table!$S4+$M$123</f>
        <v>514.52360563380284</v>
      </c>
      <c r="N125" s="506">
        <f>Table!$T4+$N$123</f>
        <v>-6.4396995305164317</v>
      </c>
      <c r="O125" s="506">
        <f>Table!$S4+$O$123</f>
        <v>514.52360563380284</v>
      </c>
      <c r="P125" s="506">
        <f>Table!$T4+$P$123</f>
        <v>-6.4396995305164317</v>
      </c>
    </row>
    <row r="126" spans="1:16" x14ac:dyDescent="0.25">
      <c r="A126" s="506">
        <f>Table!$S5+$A$123</f>
        <v>-9.2073615023474176</v>
      </c>
      <c r="B126" s="506">
        <f>Table!$T5+$B$123</f>
        <v>-5.7691643192488256</v>
      </c>
      <c r="C126" s="506">
        <f>Table!$S5+$C$123</f>
        <v>6.2855962441314546</v>
      </c>
      <c r="D126" s="506">
        <f>Table!$T5+$D$123</f>
        <v>-5.7691643192488256</v>
      </c>
      <c r="E126" s="506">
        <f>Table!$S5+$E$123</f>
        <v>514.97104225352109</v>
      </c>
      <c r="F126" s="506">
        <f>Table!$T5+$F$123</f>
        <v>-5.7691643192488256</v>
      </c>
      <c r="G126" s="506">
        <f>Table!$S5+$G$123</f>
        <v>514.97104225352109</v>
      </c>
      <c r="H126" s="506">
        <f>Table!$T5+$H$123</f>
        <v>-5.7691643192488256</v>
      </c>
      <c r="I126" s="506">
        <f>Table!$S5+$I$123</f>
        <v>514.97104225352109</v>
      </c>
      <c r="J126" s="506">
        <f>Table!$T5+$J$123</f>
        <v>-5.7691643192488256</v>
      </c>
      <c r="K126" s="506">
        <f>Table!$S5+$K$123</f>
        <v>514.97104225352109</v>
      </c>
      <c r="L126" s="506">
        <f>Table!$T5+$L$123</f>
        <v>-5.7691643192488256</v>
      </c>
      <c r="M126" s="506">
        <f>Table!$S5+$M$123</f>
        <v>514.97104225352109</v>
      </c>
      <c r="N126" s="506">
        <f>Table!$T5+$N$123</f>
        <v>-5.7691643192488256</v>
      </c>
      <c r="O126" s="506">
        <f>Table!$S5+$O$123</f>
        <v>514.97104225352109</v>
      </c>
      <c r="P126" s="506">
        <f>Table!$T5+$P$123</f>
        <v>-5.7691643192488256</v>
      </c>
    </row>
    <row r="127" spans="1:16" x14ac:dyDescent="0.25">
      <c r="A127" s="506">
        <f>Table!$S6+$A$123</f>
        <v>-8.5368262910798123</v>
      </c>
      <c r="B127" s="506">
        <f>Table!$T6+$B$123</f>
        <v>-5.3217276995305163</v>
      </c>
      <c r="C127" s="506">
        <f>Table!$S6+$C$123</f>
        <v>6.9561314553990607</v>
      </c>
      <c r="D127" s="506">
        <f>Table!$T6+$D$123</f>
        <v>-5.3217276995305163</v>
      </c>
      <c r="E127" s="506">
        <f>Table!$S6+$E$123</f>
        <v>515.64157746478872</v>
      </c>
      <c r="F127" s="506">
        <f>Table!$T6+$F$123</f>
        <v>-5.3217276995305163</v>
      </c>
      <c r="G127" s="506">
        <f>Table!$S6+$G$123</f>
        <v>515.64157746478872</v>
      </c>
      <c r="H127" s="506">
        <f>Table!$T6+$H$123</f>
        <v>-5.3217276995305163</v>
      </c>
      <c r="I127" s="506">
        <f>Table!$S6+$I$123</f>
        <v>515.64157746478872</v>
      </c>
      <c r="J127" s="506">
        <f>Table!$T6+$J$123</f>
        <v>-5.3217276995305163</v>
      </c>
      <c r="K127" s="506">
        <f>Table!$S6+$K$123</f>
        <v>515.64157746478872</v>
      </c>
      <c r="L127" s="506">
        <f>Table!$T6+$L$123</f>
        <v>-5.3217276995305163</v>
      </c>
      <c r="M127" s="506">
        <f>Table!$S6+$M$123</f>
        <v>515.64157746478872</v>
      </c>
      <c r="N127" s="506">
        <f>Table!$T6+$N$123</f>
        <v>-5.3217276995305163</v>
      </c>
      <c r="O127" s="506">
        <f>Table!$S6+$O$123</f>
        <v>515.64157746478872</v>
      </c>
      <c r="P127" s="506">
        <f>Table!$T6+$P$123</f>
        <v>-5.3217276995305163</v>
      </c>
    </row>
    <row r="128" spans="1:16" x14ac:dyDescent="0.25">
      <c r="A128" s="506">
        <f>Table!$S7+$A$123</f>
        <v>-7.7464788732394361</v>
      </c>
      <c r="B128" s="506">
        <f>Table!$T7+$B$123</f>
        <v>-5.1643192488262901</v>
      </c>
      <c r="C128" s="506">
        <f>Table!$S7+$C$123</f>
        <v>7.7464788732394361</v>
      </c>
      <c r="D128" s="506">
        <f>Table!$T7+$D$123</f>
        <v>-5.1643192488262901</v>
      </c>
      <c r="E128" s="506">
        <f>Table!$S7+$E$123</f>
        <v>516.43192488262912</v>
      </c>
      <c r="F128" s="506">
        <f>Table!$T7+$F$123</f>
        <v>-5.1643192488262901</v>
      </c>
      <c r="G128" s="506">
        <f>Table!$S7+$G$123</f>
        <v>516.43192488262912</v>
      </c>
      <c r="H128" s="506">
        <f>Table!$T7+$H$123</f>
        <v>-5.1643192488262901</v>
      </c>
      <c r="I128" s="506">
        <f>Table!$S7+$I$123</f>
        <v>516.43192488262912</v>
      </c>
      <c r="J128" s="506">
        <f>Table!$T7+$J$123</f>
        <v>-5.1643192488262901</v>
      </c>
      <c r="K128" s="506">
        <f>Table!$S7+$K$123</f>
        <v>516.43192488262912</v>
      </c>
      <c r="L128" s="506">
        <f>Table!$T7+$L$123</f>
        <v>-5.1643192488262901</v>
      </c>
      <c r="M128" s="506">
        <f>Table!$S7+$M$123</f>
        <v>516.43192488262912</v>
      </c>
      <c r="N128" s="506">
        <f>Table!$T7+$N$123</f>
        <v>-5.1643192488262901</v>
      </c>
      <c r="O128" s="506">
        <f>Table!$S7+$O$123</f>
        <v>516.43192488262912</v>
      </c>
      <c r="P128" s="506">
        <f>Table!$T7+$P$123</f>
        <v>-5.1643192488262901</v>
      </c>
    </row>
    <row r="129" spans="1:16" x14ac:dyDescent="0.25">
      <c r="A129" s="506">
        <f>Table!$S8+$A$123</f>
        <v>-6.9561314553990607</v>
      </c>
      <c r="B129" s="506">
        <f>Table!$T8+$B$123</f>
        <v>-5.3217276995305163</v>
      </c>
      <c r="C129" s="506">
        <f>Table!$S8+$C$123</f>
        <v>8.5368262910798123</v>
      </c>
      <c r="D129" s="506">
        <f>Table!$T8+$D$123</f>
        <v>-5.3217276995305163</v>
      </c>
      <c r="E129" s="506">
        <f>Table!$S8+$E$123</f>
        <v>517.22227230046951</v>
      </c>
      <c r="F129" s="506">
        <f>Table!$T8+$F$123</f>
        <v>-5.3217276995305163</v>
      </c>
      <c r="G129" s="506">
        <f>Table!$S8+$G$123</f>
        <v>517.22227230046951</v>
      </c>
      <c r="H129" s="506">
        <f>Table!$T8+$H$123</f>
        <v>-5.3217276995305163</v>
      </c>
      <c r="I129" s="506">
        <f>Table!$S8+$I$123</f>
        <v>517.22227230046951</v>
      </c>
      <c r="J129" s="506">
        <f>Table!$T8+$J$123</f>
        <v>-5.3217276995305163</v>
      </c>
      <c r="K129" s="506">
        <f>Table!$S8+$K$123</f>
        <v>517.22227230046951</v>
      </c>
      <c r="L129" s="506">
        <f>Table!$T8+$L$123</f>
        <v>-5.3217276995305163</v>
      </c>
      <c r="M129" s="506">
        <f>Table!$S8+$M$123</f>
        <v>517.22227230046951</v>
      </c>
      <c r="N129" s="506">
        <f>Table!$T8+$N$123</f>
        <v>-5.3217276995305163</v>
      </c>
      <c r="O129" s="506">
        <f>Table!$S8+$O$123</f>
        <v>517.22227230046951</v>
      </c>
      <c r="P129" s="506">
        <f>Table!$T8+$P$123</f>
        <v>-5.3217276995305163</v>
      </c>
    </row>
    <row r="130" spans="1:16" x14ac:dyDescent="0.25">
      <c r="A130" s="506">
        <f>Table!$S9+$A$123</f>
        <v>-6.2855962441314546</v>
      </c>
      <c r="B130" s="506">
        <f>Table!$T9+$B$123</f>
        <v>-5.7691643192488256</v>
      </c>
      <c r="C130" s="506">
        <f>Table!$S9+$C$123</f>
        <v>9.2073615023474176</v>
      </c>
      <c r="D130" s="506">
        <f>Table!$T9+$D$123</f>
        <v>-5.7691643192488256</v>
      </c>
      <c r="E130" s="506">
        <f>Table!$S9+$E$123</f>
        <v>517.89280751173715</v>
      </c>
      <c r="F130" s="506">
        <f>Table!$T9+$F$123</f>
        <v>-5.7691643192488256</v>
      </c>
      <c r="G130" s="506">
        <f>Table!$S9+$G$123</f>
        <v>517.89280751173715</v>
      </c>
      <c r="H130" s="506">
        <f>Table!$T9+$H$123</f>
        <v>-5.7691643192488256</v>
      </c>
      <c r="I130" s="506">
        <f>Table!$S9+$I$123</f>
        <v>517.89280751173715</v>
      </c>
      <c r="J130" s="506">
        <f>Table!$T9+$J$123</f>
        <v>-5.7691643192488256</v>
      </c>
      <c r="K130" s="506">
        <f>Table!$S9+$K$123</f>
        <v>517.89280751173715</v>
      </c>
      <c r="L130" s="506">
        <f>Table!$T9+$L$123</f>
        <v>-5.7691643192488256</v>
      </c>
      <c r="M130" s="506">
        <f>Table!$S9+$M$123</f>
        <v>517.89280751173715</v>
      </c>
      <c r="N130" s="506">
        <f>Table!$T9+$N$123</f>
        <v>-5.7691643192488256</v>
      </c>
      <c r="O130" s="506">
        <f>Table!$S9+$O$123</f>
        <v>517.89280751173715</v>
      </c>
      <c r="P130" s="506">
        <f>Table!$T9+$P$123</f>
        <v>-5.7691643192488256</v>
      </c>
    </row>
    <row r="131" spans="1:16" x14ac:dyDescent="0.25">
      <c r="A131" s="506">
        <f>Table!$S10+$A$123</f>
        <v>-5.8460093896713605</v>
      </c>
      <c r="B131" s="506">
        <f>Table!$T10+$B$123</f>
        <v>-6.4396995305164317</v>
      </c>
      <c r="C131" s="506">
        <f>Table!$S10+$C$123</f>
        <v>9.6469483568075116</v>
      </c>
      <c r="D131" s="506">
        <f>Table!$T10+$D$123</f>
        <v>-6.4396995305164317</v>
      </c>
      <c r="E131" s="506">
        <f>Table!$S10+$E$123</f>
        <v>518.33239436619715</v>
      </c>
      <c r="F131" s="506">
        <f>Table!$T10+$F$123</f>
        <v>-6.4396995305164317</v>
      </c>
      <c r="G131" s="506">
        <f>Table!$S10+$G$123</f>
        <v>518.33239436619715</v>
      </c>
      <c r="H131" s="506">
        <f>Table!$T10+$H$123</f>
        <v>-6.4396995305164317</v>
      </c>
      <c r="I131" s="506">
        <f>Table!$S10+$I$123</f>
        <v>518.33239436619715</v>
      </c>
      <c r="J131" s="506">
        <f>Table!$T10+$J$123</f>
        <v>-6.4396995305164317</v>
      </c>
      <c r="K131" s="506">
        <f>Table!$S10+$K$123</f>
        <v>518.33239436619715</v>
      </c>
      <c r="L131" s="506">
        <f>Table!$T10+$L$123</f>
        <v>-6.4396995305164317</v>
      </c>
      <c r="M131" s="506">
        <f>Table!$S10+$M$123</f>
        <v>518.33239436619715</v>
      </c>
      <c r="N131" s="506">
        <f>Table!$T10+$N$123</f>
        <v>-6.4396995305164317</v>
      </c>
      <c r="O131" s="506">
        <f>Table!$S10+$O$123</f>
        <v>518.33239436619715</v>
      </c>
      <c r="P131" s="506">
        <f>Table!$T10+$P$123</f>
        <v>-6.4396995305164317</v>
      </c>
    </row>
    <row r="132" spans="1:16" x14ac:dyDescent="0.25">
      <c r="A132" s="506">
        <f>Table!$S11+$A$123</f>
        <v>-5.68075117370892</v>
      </c>
      <c r="B132" s="506">
        <f>Table!$T11+$B$123</f>
        <v>-7.2300469483568071</v>
      </c>
      <c r="C132" s="506">
        <f>Table!$S11+$C$123</f>
        <v>9.8122065727699521</v>
      </c>
      <c r="D132" s="506">
        <f>Table!$T11+$D$123</f>
        <v>-7.2300469483568071</v>
      </c>
      <c r="E132" s="506">
        <f>Table!$S11+$E$123</f>
        <v>518.49765258215962</v>
      </c>
      <c r="F132" s="506">
        <f>Table!$T11+$F$123</f>
        <v>-7.2300469483568071</v>
      </c>
      <c r="G132" s="506">
        <f>Table!$S11+$G$123</f>
        <v>518.49765258215962</v>
      </c>
      <c r="H132" s="506">
        <f>Table!$T11+$H$123</f>
        <v>-7.2300469483568071</v>
      </c>
      <c r="I132" s="506">
        <f>Table!$S11+$I$123</f>
        <v>518.49765258215962</v>
      </c>
      <c r="J132" s="506">
        <f>Table!$T11+$J$123</f>
        <v>-7.2300469483568071</v>
      </c>
      <c r="K132" s="506">
        <f>Table!$S11+$K$123</f>
        <v>518.49765258215962</v>
      </c>
      <c r="L132" s="506">
        <f>Table!$T11+$L$123</f>
        <v>-7.2300469483568071</v>
      </c>
      <c r="M132" s="506">
        <f>Table!$S11+$M$123</f>
        <v>518.49765258215962</v>
      </c>
      <c r="N132" s="506">
        <f>Table!$T11+$N$123</f>
        <v>-7.2300469483568071</v>
      </c>
      <c r="O132" s="506">
        <f>Table!$S11+$O$123</f>
        <v>518.49765258215962</v>
      </c>
      <c r="P132" s="506">
        <f>Table!$T11+$P$123</f>
        <v>-7.2300469483568071</v>
      </c>
    </row>
    <row r="133" spans="1:16" x14ac:dyDescent="0.25">
      <c r="A133" s="506">
        <f>Table!$S12+$A$123</f>
        <v>-5.8460093896713605</v>
      </c>
      <c r="B133" s="506">
        <f>Table!$T12+$B$123</f>
        <v>-8.0203943661971824</v>
      </c>
      <c r="C133" s="506">
        <f>Table!$S12+$C$123</f>
        <v>9.6469483568075116</v>
      </c>
      <c r="D133" s="506">
        <f>Table!$T12+$D$123</f>
        <v>-8.0203943661971824</v>
      </c>
      <c r="E133" s="506">
        <f>Table!$S12+$E$123</f>
        <v>518.33239436619715</v>
      </c>
      <c r="F133" s="506">
        <f>Table!$T12+$F$123</f>
        <v>-8.0203943661971824</v>
      </c>
      <c r="G133" s="506">
        <f>Table!$S12+$G$123</f>
        <v>518.33239436619715</v>
      </c>
      <c r="H133" s="506">
        <f>Table!$T12+$H$123</f>
        <v>-8.0203943661971824</v>
      </c>
      <c r="I133" s="506">
        <f>Table!$S12+$I$123</f>
        <v>518.33239436619715</v>
      </c>
      <c r="J133" s="506">
        <f>Table!$T12+$J$123</f>
        <v>-8.0203943661971824</v>
      </c>
      <c r="K133" s="506">
        <f>Table!$S12+$K$123</f>
        <v>518.33239436619715</v>
      </c>
      <c r="L133" s="506">
        <f>Table!$T12+$L$123</f>
        <v>-8.0203943661971824</v>
      </c>
      <c r="M133" s="506">
        <f>Table!$S12+$M$123</f>
        <v>518.33239436619715</v>
      </c>
      <c r="N133" s="506">
        <f>Table!$T12+$N$123</f>
        <v>-8.0203943661971824</v>
      </c>
      <c r="O133" s="506">
        <f>Table!$S12+$O$123</f>
        <v>518.33239436619715</v>
      </c>
      <c r="P133" s="506">
        <f>Table!$T12+$P$123</f>
        <v>-8.0203943661971824</v>
      </c>
    </row>
    <row r="134" spans="1:16" x14ac:dyDescent="0.25">
      <c r="A134" s="506">
        <f>Table!$S13+$A$123</f>
        <v>-6.2855962441314546</v>
      </c>
      <c r="B134" s="506">
        <f>Table!$T13+$B$123</f>
        <v>-8.6909295774647894</v>
      </c>
      <c r="C134" s="506">
        <f>Table!$S13+$C$123</f>
        <v>9.2073615023474176</v>
      </c>
      <c r="D134" s="506">
        <f>Table!$T13+$D$123</f>
        <v>-8.6909295774647894</v>
      </c>
      <c r="E134" s="506">
        <f>Table!$S13+$E$123</f>
        <v>517.89280751173715</v>
      </c>
      <c r="F134" s="506">
        <f>Table!$T13+$F$123</f>
        <v>-8.6909295774647894</v>
      </c>
      <c r="G134" s="506">
        <f>Table!$S13+$G$123</f>
        <v>517.89280751173715</v>
      </c>
      <c r="H134" s="506">
        <f>Table!$T13+$H$123</f>
        <v>-8.6909295774647894</v>
      </c>
      <c r="I134" s="506">
        <f>Table!$S13+$I$123</f>
        <v>517.89280751173715</v>
      </c>
      <c r="J134" s="506">
        <f>Table!$T13+$J$123</f>
        <v>-8.6909295774647894</v>
      </c>
      <c r="K134" s="506">
        <f>Table!$S13+$K$123</f>
        <v>517.89280751173715</v>
      </c>
      <c r="L134" s="506">
        <f>Table!$T13+$L$123</f>
        <v>-8.6909295774647894</v>
      </c>
      <c r="M134" s="506">
        <f>Table!$S13+$M$123</f>
        <v>517.89280751173715</v>
      </c>
      <c r="N134" s="506">
        <f>Table!$T13+$N$123</f>
        <v>-8.6909295774647894</v>
      </c>
      <c r="O134" s="506">
        <f>Table!$S13+$O$123</f>
        <v>517.89280751173715</v>
      </c>
      <c r="P134" s="506">
        <f>Table!$T13+$P$123</f>
        <v>-8.6909295774647894</v>
      </c>
    </row>
    <row r="135" spans="1:16" x14ac:dyDescent="0.25">
      <c r="A135" s="506">
        <f>Table!$S14+$A$123</f>
        <v>-6.9561314553990607</v>
      </c>
      <c r="B135" s="506">
        <f>Table!$T14+$B$123</f>
        <v>-9.1383661971830978</v>
      </c>
      <c r="C135" s="506">
        <f>Table!$S14+$C$123</f>
        <v>8.5368262910798123</v>
      </c>
      <c r="D135" s="506">
        <f>Table!$T14+$D$123</f>
        <v>-9.1383661971830978</v>
      </c>
      <c r="E135" s="506">
        <f>Table!$S14+$E$123</f>
        <v>517.22227230046951</v>
      </c>
      <c r="F135" s="506">
        <f>Table!$T14+$F$123</f>
        <v>-9.1383661971830978</v>
      </c>
      <c r="G135" s="506">
        <f>Table!$S14+$G$123</f>
        <v>517.22227230046951</v>
      </c>
      <c r="H135" s="506">
        <f>Table!$T14+$H$123</f>
        <v>-9.1383661971830978</v>
      </c>
      <c r="I135" s="506">
        <f>Table!$S14+$I$123</f>
        <v>517.22227230046951</v>
      </c>
      <c r="J135" s="506">
        <f>Table!$T14+$J$123</f>
        <v>-9.1383661971830978</v>
      </c>
      <c r="K135" s="506">
        <f>Table!$S14+$K$123</f>
        <v>517.22227230046951</v>
      </c>
      <c r="L135" s="506">
        <f>Table!$T14+$L$123</f>
        <v>-9.1383661971830978</v>
      </c>
      <c r="M135" s="506">
        <f>Table!$S14+$M$123</f>
        <v>517.22227230046951</v>
      </c>
      <c r="N135" s="506">
        <f>Table!$T14+$N$123</f>
        <v>-9.1383661971830978</v>
      </c>
      <c r="O135" s="506">
        <f>Table!$S14+$O$123</f>
        <v>517.22227230046951</v>
      </c>
      <c r="P135" s="506">
        <f>Table!$T14+$P$123</f>
        <v>-9.1383661971830978</v>
      </c>
    </row>
    <row r="136" spans="1:16" x14ac:dyDescent="0.25">
      <c r="A136" s="506">
        <f>Table!$S15+$A$123</f>
        <v>-7.7464788732394361</v>
      </c>
      <c r="B136" s="506">
        <f>Table!$T15+$B$123</f>
        <v>-9.295774647887324</v>
      </c>
      <c r="C136" s="506">
        <f>Table!$S15+$C$123</f>
        <v>7.7464788732394361</v>
      </c>
      <c r="D136" s="506">
        <f>Table!$T15+$D$123</f>
        <v>-9.295774647887324</v>
      </c>
      <c r="E136" s="506">
        <f>Table!$S15+$E$123</f>
        <v>516.43192488262912</v>
      </c>
      <c r="F136" s="506">
        <f>Table!$T15+$F$123</f>
        <v>-9.295774647887324</v>
      </c>
      <c r="G136" s="506">
        <f>Table!$S15+$G$123</f>
        <v>516.43192488262912</v>
      </c>
      <c r="H136" s="506">
        <f>Table!$T15+$H$123</f>
        <v>-9.295774647887324</v>
      </c>
      <c r="I136" s="506">
        <f>Table!$S15+$I$123</f>
        <v>516.43192488262912</v>
      </c>
      <c r="J136" s="506">
        <f>Table!$T15+$J$123</f>
        <v>-9.295774647887324</v>
      </c>
      <c r="K136" s="506">
        <f>Table!$S15+$K$123</f>
        <v>516.43192488262912</v>
      </c>
      <c r="L136" s="506">
        <f>Table!$T15+$L$123</f>
        <v>-9.295774647887324</v>
      </c>
      <c r="M136" s="506">
        <f>Table!$S15+$M$123</f>
        <v>516.43192488262912</v>
      </c>
      <c r="N136" s="506">
        <f>Table!$T15+$N$123</f>
        <v>-9.295774647887324</v>
      </c>
      <c r="O136" s="506">
        <f>Table!$S15+$O$123</f>
        <v>516.43192488262912</v>
      </c>
      <c r="P136" s="506">
        <f>Table!$T15+$P$123</f>
        <v>-9.295774647887324</v>
      </c>
    </row>
    <row r="137" spans="1:16" x14ac:dyDescent="0.25">
      <c r="A137" s="506">
        <f>Table!$S16+$A$123</f>
        <v>-8.5368262910798123</v>
      </c>
      <c r="B137" s="506">
        <f>Table!$T16+$B$123</f>
        <v>-9.1383661971830978</v>
      </c>
      <c r="C137" s="506">
        <f>Table!$S16+$C$123</f>
        <v>6.9561314553990607</v>
      </c>
      <c r="D137" s="506">
        <f>Table!$T16+$D$123</f>
        <v>-9.1383661971830978</v>
      </c>
      <c r="E137" s="506">
        <f>Table!$S16+$E$123</f>
        <v>515.64157746478872</v>
      </c>
      <c r="F137" s="506">
        <f>Table!$T16+$F$123</f>
        <v>-9.1383661971830978</v>
      </c>
      <c r="G137" s="506">
        <f>Table!$S16+$G$123</f>
        <v>515.64157746478872</v>
      </c>
      <c r="H137" s="506">
        <f>Table!$T16+$H$123</f>
        <v>-9.1383661971830978</v>
      </c>
      <c r="I137" s="506">
        <f>Table!$S16+$I$123</f>
        <v>515.64157746478872</v>
      </c>
      <c r="J137" s="506">
        <f>Table!$T16+$J$123</f>
        <v>-9.1383661971830978</v>
      </c>
      <c r="K137" s="506">
        <f>Table!$S16+$K$123</f>
        <v>515.64157746478872</v>
      </c>
      <c r="L137" s="506">
        <f>Table!$T16+$L$123</f>
        <v>-9.1383661971830978</v>
      </c>
      <c r="M137" s="506">
        <f>Table!$S16+$M$123</f>
        <v>515.64157746478872</v>
      </c>
      <c r="N137" s="506">
        <f>Table!$T16+$N$123</f>
        <v>-9.1383661971830978</v>
      </c>
      <c r="O137" s="506">
        <f>Table!$S16+$O$123</f>
        <v>515.64157746478872</v>
      </c>
      <c r="P137" s="506">
        <f>Table!$T16+$P$123</f>
        <v>-9.1383661971830978</v>
      </c>
    </row>
    <row r="138" spans="1:16" x14ac:dyDescent="0.25">
      <c r="A138" s="506">
        <f>Table!$S17+$A$123</f>
        <v>-9.2073615023474176</v>
      </c>
      <c r="B138" s="506">
        <f>Table!$T17+$B$123</f>
        <v>-8.6909295774647894</v>
      </c>
      <c r="C138" s="506">
        <f>Table!$S17+$C$123</f>
        <v>6.2855962441314546</v>
      </c>
      <c r="D138" s="506">
        <f>Table!$T17+$D$123</f>
        <v>-8.6909295774647894</v>
      </c>
      <c r="E138" s="506">
        <f>Table!$S17+$E$123</f>
        <v>514.97104225352109</v>
      </c>
      <c r="F138" s="506">
        <f>Table!$T17+$F$123</f>
        <v>-8.6909295774647894</v>
      </c>
      <c r="G138" s="506">
        <f>Table!$S17+$G$123</f>
        <v>514.97104225352109</v>
      </c>
      <c r="H138" s="506">
        <f>Table!$T17+$H$123</f>
        <v>-8.6909295774647894</v>
      </c>
      <c r="I138" s="506">
        <f>Table!$S17+$I$123</f>
        <v>514.97104225352109</v>
      </c>
      <c r="J138" s="506">
        <f>Table!$T17+$J$123</f>
        <v>-8.6909295774647894</v>
      </c>
      <c r="K138" s="506">
        <f>Table!$S17+$K$123</f>
        <v>514.97104225352109</v>
      </c>
      <c r="L138" s="506">
        <f>Table!$T17+$L$123</f>
        <v>-8.6909295774647894</v>
      </c>
      <c r="M138" s="506">
        <f>Table!$S17+$M$123</f>
        <v>514.97104225352109</v>
      </c>
      <c r="N138" s="506">
        <f>Table!$T17+$N$123</f>
        <v>-8.6909295774647894</v>
      </c>
      <c r="O138" s="506">
        <f>Table!$S17+$O$123</f>
        <v>514.97104225352109</v>
      </c>
      <c r="P138" s="506">
        <f>Table!$T17+$P$123</f>
        <v>-8.6909295774647894</v>
      </c>
    </row>
    <row r="139" spans="1:16" x14ac:dyDescent="0.25">
      <c r="A139" s="506">
        <f>Table!$S18+$A$123</f>
        <v>-9.6547981220657277</v>
      </c>
      <c r="B139" s="506">
        <f>Table!$T18+$B$123</f>
        <v>-8.0203943661971824</v>
      </c>
      <c r="C139" s="506">
        <f>Table!$S18+$C$123</f>
        <v>5.8381596244131453</v>
      </c>
      <c r="D139" s="506">
        <f>Table!$T18+$D$123</f>
        <v>-8.0203943661971824</v>
      </c>
      <c r="E139" s="506">
        <f>Table!$S18+$E$123</f>
        <v>514.52360563380284</v>
      </c>
      <c r="F139" s="506">
        <f>Table!$T18+$F$123</f>
        <v>-8.0203943661971824</v>
      </c>
      <c r="G139" s="506">
        <f>Table!$S18+$G$123</f>
        <v>514.52360563380284</v>
      </c>
      <c r="H139" s="506">
        <f>Table!$T18+$H$123</f>
        <v>-8.0203943661971824</v>
      </c>
      <c r="I139" s="506">
        <f>Table!$S18+$I$123</f>
        <v>514.52360563380284</v>
      </c>
      <c r="J139" s="506">
        <f>Table!$T18+$J$123</f>
        <v>-8.0203943661971824</v>
      </c>
      <c r="K139" s="506">
        <f>Table!$S18+$K$123</f>
        <v>514.52360563380284</v>
      </c>
      <c r="L139" s="506">
        <f>Table!$T18+$L$123</f>
        <v>-8.0203943661971824</v>
      </c>
      <c r="M139" s="506">
        <f>Table!$S18+$M$123</f>
        <v>514.52360563380284</v>
      </c>
      <c r="N139" s="506">
        <f>Table!$T18+$N$123</f>
        <v>-8.0203943661971824</v>
      </c>
      <c r="O139" s="506">
        <f>Table!$S18+$O$123</f>
        <v>514.52360563380284</v>
      </c>
      <c r="P139" s="506">
        <f>Table!$T18+$P$123</f>
        <v>-8.0203943661971824</v>
      </c>
    </row>
    <row r="140" spans="1:16" x14ac:dyDescent="0.25">
      <c r="A140" s="506">
        <f>Table!$S19+$A$123</f>
        <v>-9.8122065727699521</v>
      </c>
      <c r="B140" s="506">
        <f>Table!$T19+$B$123</f>
        <v>-7.2300469483568071</v>
      </c>
      <c r="C140" s="506">
        <f>Table!$S19+$C$123</f>
        <v>5.68075117370892</v>
      </c>
      <c r="D140" s="506">
        <f>Table!$T19+$D$123</f>
        <v>-7.2300469483568071</v>
      </c>
      <c r="E140" s="506">
        <f>Table!$S19+$E$123</f>
        <v>514.36619718309862</v>
      </c>
      <c r="F140" s="506">
        <f>Table!$T19+$F$123</f>
        <v>-7.2300469483568071</v>
      </c>
      <c r="G140" s="506">
        <f>Table!$S19+$G$123</f>
        <v>514.36619718309862</v>
      </c>
      <c r="H140" s="506">
        <f>Table!$T19+$H$123</f>
        <v>-7.2300469483568071</v>
      </c>
      <c r="I140" s="506">
        <f>Table!$S19+$I$123</f>
        <v>514.36619718309862</v>
      </c>
      <c r="J140" s="506">
        <f>Table!$T19+$J$123</f>
        <v>-7.2300469483568071</v>
      </c>
      <c r="K140" s="506">
        <f>Table!$S19+$K$123</f>
        <v>514.36619718309862</v>
      </c>
      <c r="L140" s="506">
        <f>Table!$T19+$L$123</f>
        <v>-7.2300469483568071</v>
      </c>
      <c r="M140" s="506">
        <f>Table!$S19+$M$123</f>
        <v>514.36619718309862</v>
      </c>
      <c r="N140" s="506">
        <f>Table!$T19+$N$123</f>
        <v>-7.2300469483568071</v>
      </c>
      <c r="O140" s="506">
        <f>Table!$S19+$O$123</f>
        <v>514.36619718309862</v>
      </c>
      <c r="P140" s="506">
        <f>Table!$T19+$P$123</f>
        <v>-7.2300469483568071</v>
      </c>
    </row>
    <row r="141" spans="1:16" x14ac:dyDescent="0.25">
      <c r="A141" s="506">
        <f>Table!$S20+$A$123</f>
        <v>-10.84507042253521</v>
      </c>
      <c r="B141" s="506">
        <f>Table!$T20+$B$123</f>
        <v>-7.2300469483568071</v>
      </c>
      <c r="C141" s="506">
        <f>Table!$S20+$C$123</f>
        <v>4.647887323943662</v>
      </c>
      <c r="D141" s="506">
        <f>Table!$T20+$D$123</f>
        <v>-7.2300469483568071</v>
      </c>
      <c r="E141" s="506">
        <f>Table!$S20+$E$123</f>
        <v>513.33333333333337</v>
      </c>
      <c r="F141" s="506">
        <f>Table!$T20+$F$123</f>
        <v>-7.2300469483568071</v>
      </c>
      <c r="G141" s="506">
        <f>Table!$S20+$G$123</f>
        <v>513.33333333333337</v>
      </c>
      <c r="H141" s="506">
        <f>Table!$T20+$H$123</f>
        <v>-7.2300469483568071</v>
      </c>
      <c r="I141" s="506">
        <f>Table!$S20+$I$123</f>
        <v>513.33333333333337</v>
      </c>
      <c r="J141" s="506">
        <f>Table!$T20+$J$123</f>
        <v>-7.2300469483568071</v>
      </c>
      <c r="K141" s="506">
        <f>Table!$S20+$K$123</f>
        <v>513.33333333333337</v>
      </c>
      <c r="L141" s="506">
        <f>Table!$T20+$L$123</f>
        <v>-7.2300469483568071</v>
      </c>
      <c r="M141" s="506">
        <f>Table!$S20+$M$123</f>
        <v>513.33333333333337</v>
      </c>
      <c r="N141" s="506">
        <f>Table!$T20+$N$123</f>
        <v>-7.2300469483568071</v>
      </c>
      <c r="O141" s="506">
        <f>Table!$S20+$O$123</f>
        <v>513.33333333333337</v>
      </c>
      <c r="P141" s="506">
        <f>Table!$T20+$P$123</f>
        <v>-7.2300469483568071</v>
      </c>
    </row>
    <row r="142" spans="1:16" x14ac:dyDescent="0.25">
      <c r="A142" s="506">
        <f>Table!$S21+$A$123</f>
        <v>-4.647887323943662</v>
      </c>
      <c r="B142" s="506">
        <f>Table!$T21+$B$123</f>
        <v>-7.2300469483568071</v>
      </c>
      <c r="C142" s="506">
        <f>Table!$S21+$C$123</f>
        <v>10.84507042253521</v>
      </c>
      <c r="D142" s="506">
        <f>Table!$T21+$D$123</f>
        <v>-7.2300469483568071</v>
      </c>
      <c r="E142" s="506">
        <f>Table!$S21+$E$123</f>
        <v>519.53051643192487</v>
      </c>
      <c r="F142" s="506">
        <f>Table!$T21+$F$123</f>
        <v>-7.2300469483568071</v>
      </c>
      <c r="G142" s="506">
        <f>Table!$S21+$G$123</f>
        <v>519.53051643192487</v>
      </c>
      <c r="H142" s="506">
        <f>Table!$T21+$H$123</f>
        <v>-7.2300469483568071</v>
      </c>
      <c r="I142" s="506">
        <f>Table!$S21+$I$123</f>
        <v>519.53051643192487</v>
      </c>
      <c r="J142" s="506">
        <f>Table!$T21+$J$123</f>
        <v>-7.2300469483568071</v>
      </c>
      <c r="K142" s="506">
        <f>Table!$S21+$K$123</f>
        <v>519.53051643192487</v>
      </c>
      <c r="L142" s="506">
        <f>Table!$T21+$L$123</f>
        <v>-7.2300469483568071</v>
      </c>
      <c r="M142" s="506">
        <f>Table!$S21+$M$123</f>
        <v>519.53051643192487</v>
      </c>
      <c r="N142" s="506">
        <f>Table!$T21+$N$123</f>
        <v>-7.2300469483568071</v>
      </c>
      <c r="O142" s="506">
        <f>Table!$S21+$O$123</f>
        <v>519.53051643192487</v>
      </c>
      <c r="P142" s="506">
        <f>Table!$T21+$P$123</f>
        <v>-7.2300469483568071</v>
      </c>
    </row>
    <row r="143" spans="1:16" x14ac:dyDescent="0.25">
      <c r="A143" s="506">
        <f>Table!$S22+$A$123</f>
        <v>-7.7464788732394361</v>
      </c>
      <c r="B143" s="506">
        <f>Table!$T22+$B$123</f>
        <v>-10.328638497652582</v>
      </c>
      <c r="C143" s="506">
        <f>Table!$S22+$C$123</f>
        <v>7.7464788732394361</v>
      </c>
      <c r="D143" s="506">
        <f>Table!$T22+$D$123</f>
        <v>-10.328638497652582</v>
      </c>
      <c r="E143" s="506">
        <f>Table!$S22+$E$123</f>
        <v>516.43192488262912</v>
      </c>
      <c r="F143" s="506">
        <f>Table!$T22+$F$123</f>
        <v>-10.328638497652582</v>
      </c>
      <c r="G143" s="506">
        <f>Table!$S22+$G$123</f>
        <v>516.43192488262912</v>
      </c>
      <c r="H143" s="506">
        <f>Table!$T22+$H$123</f>
        <v>-10.328638497652582</v>
      </c>
      <c r="I143" s="506">
        <f>Table!$S22+$I$123</f>
        <v>516.43192488262912</v>
      </c>
      <c r="J143" s="506">
        <f>Table!$T22+$J$123</f>
        <v>-10.328638497652582</v>
      </c>
      <c r="K143" s="506">
        <f>Table!$S22+$K$123</f>
        <v>516.43192488262912</v>
      </c>
      <c r="L143" s="506">
        <f>Table!$T22+$L$123</f>
        <v>-10.328638497652582</v>
      </c>
      <c r="M143" s="506">
        <f>Table!$S22+$M$123</f>
        <v>516.43192488262912</v>
      </c>
      <c r="N143" s="506">
        <f>Table!$T22+$N$123</f>
        <v>-10.328638497652582</v>
      </c>
      <c r="O143" s="506">
        <f>Table!$S22+$O$123</f>
        <v>516.43192488262912</v>
      </c>
      <c r="P143" s="506">
        <f>Table!$T22+$P$123</f>
        <v>-10.328638497652582</v>
      </c>
    </row>
    <row r="144" spans="1:16" x14ac:dyDescent="0.25">
      <c r="A144" s="506">
        <f>Table!$S23+$A$123</f>
        <v>-7.7464788732394361</v>
      </c>
      <c r="B144" s="506">
        <f>Table!$T23+$B$123</f>
        <v>-4.1314553990610321</v>
      </c>
      <c r="C144" s="506">
        <f>Table!$S23+$C$123</f>
        <v>7.7464788732394361</v>
      </c>
      <c r="D144" s="506">
        <f>Table!$T23+$D$123</f>
        <v>-4.1314553990610321</v>
      </c>
      <c r="E144" s="506">
        <f>Table!$S23+$E$123</f>
        <v>516.43192488262912</v>
      </c>
      <c r="F144" s="506">
        <f>Table!$T23+$F$123</f>
        <v>-4.1314553990610321</v>
      </c>
      <c r="G144" s="506">
        <f>Table!$S23+$G$123</f>
        <v>516.43192488262912</v>
      </c>
      <c r="H144" s="506">
        <f>Table!$T23+$H$123</f>
        <v>-4.1314553990610321</v>
      </c>
      <c r="I144" s="506">
        <f>Table!$S23+$I$123</f>
        <v>516.43192488262912</v>
      </c>
      <c r="J144" s="506">
        <f>Table!$T23+$J$123</f>
        <v>-4.1314553990610321</v>
      </c>
      <c r="K144" s="506">
        <f>Table!$S23+$K$123</f>
        <v>516.43192488262912</v>
      </c>
      <c r="L144" s="506">
        <f>Table!$T23+$L$123</f>
        <v>-4.1314553990610321</v>
      </c>
      <c r="M144" s="506">
        <f>Table!$S23+$M$123</f>
        <v>516.43192488262912</v>
      </c>
      <c r="N144" s="506">
        <f>Table!$T23+$N$123</f>
        <v>-4.1314553990610321</v>
      </c>
      <c r="O144" s="506">
        <f>Table!$S23+$O$123</f>
        <v>516.43192488262912</v>
      </c>
      <c r="P144" s="506">
        <f>Table!$T23+$P$123</f>
        <v>-4.1314553990610321</v>
      </c>
    </row>
    <row r="145" spans="1:16" x14ac:dyDescent="0.25">
      <c r="A145" s="502" t="s">
        <v>995</v>
      </c>
      <c r="B145" s="502" t="s">
        <v>1004</v>
      </c>
      <c r="C145" s="502" t="s">
        <v>997</v>
      </c>
      <c r="D145" s="502" t="s">
        <v>1004</v>
      </c>
      <c r="E145" s="502" t="s">
        <v>998</v>
      </c>
      <c r="F145" s="502" t="s">
        <v>1004</v>
      </c>
      <c r="G145" s="502" t="s">
        <v>999</v>
      </c>
      <c r="H145" s="502" t="s">
        <v>1004</v>
      </c>
      <c r="I145" s="502" t="s">
        <v>1000</v>
      </c>
      <c r="J145" s="502" t="s">
        <v>1004</v>
      </c>
      <c r="K145" s="502" t="s">
        <v>1001</v>
      </c>
      <c r="L145" s="502" t="s">
        <v>1004</v>
      </c>
      <c r="M145" s="502" t="s">
        <v>1002</v>
      </c>
      <c r="N145" s="502" t="s">
        <v>1004</v>
      </c>
      <c r="O145" s="502" t="s">
        <v>1003</v>
      </c>
      <c r="P145" s="502" t="s">
        <v>1004</v>
      </c>
    </row>
    <row r="146" spans="1:16" x14ac:dyDescent="0.25">
      <c r="A146" s="502" t="s">
        <v>72</v>
      </c>
      <c r="B146" s="502" t="s">
        <v>71</v>
      </c>
      <c r="C146" s="502" t="s">
        <v>72</v>
      </c>
      <c r="D146" s="502" t="s">
        <v>71</v>
      </c>
      <c r="E146" s="502" t="s">
        <v>72</v>
      </c>
      <c r="F146" s="502" t="s">
        <v>71</v>
      </c>
      <c r="G146" s="502" t="s">
        <v>72</v>
      </c>
      <c r="H146" s="502" t="s">
        <v>71</v>
      </c>
      <c r="I146" s="502" t="s">
        <v>72</v>
      </c>
      <c r="J146" s="502" t="s">
        <v>71</v>
      </c>
      <c r="K146" s="502" t="s">
        <v>72</v>
      </c>
      <c r="L146" s="502" t="s">
        <v>71</v>
      </c>
      <c r="M146" s="502" t="s">
        <v>72</v>
      </c>
      <c r="N146" s="502" t="s">
        <v>71</v>
      </c>
      <c r="O146" s="502" t="s">
        <v>72</v>
      </c>
      <c r="P146" s="502" t="s">
        <v>71</v>
      </c>
    </row>
    <row r="147" spans="1:16" x14ac:dyDescent="0.25">
      <c r="A147" s="502">
        <f>A171</f>
        <v>-7.7464788732394361</v>
      </c>
      <c r="B147" s="502">
        <f>Table!$Q$36/Table!$Q$35*IF('Process (2)'!D57="",100,'Process (2)'!D57)</f>
        <v>-21.69014084507042</v>
      </c>
      <c r="C147" s="502">
        <f>C171</f>
        <v>7.7464788732394361</v>
      </c>
      <c r="D147" s="502">
        <f>B147</f>
        <v>-21.69014084507042</v>
      </c>
      <c r="E147" s="502">
        <f>E171</f>
        <v>516.43192488262912</v>
      </c>
      <c r="F147" s="502">
        <f>D147</f>
        <v>-21.69014084507042</v>
      </c>
      <c r="G147" s="502">
        <f>G171</f>
        <v>516.43192488262912</v>
      </c>
      <c r="H147" s="502">
        <f>F147</f>
        <v>-21.69014084507042</v>
      </c>
      <c r="I147" s="502">
        <f>I171</f>
        <v>516.43192488262912</v>
      </c>
      <c r="J147" s="502">
        <f>H147</f>
        <v>-21.69014084507042</v>
      </c>
      <c r="K147" s="502">
        <f>K171</f>
        <v>516.43192488262912</v>
      </c>
      <c r="L147" s="502">
        <f>J147</f>
        <v>-21.69014084507042</v>
      </c>
      <c r="M147" s="502">
        <f>M171</f>
        <v>516.43192488262912</v>
      </c>
      <c r="N147" s="502">
        <f>L147</f>
        <v>-21.69014084507042</v>
      </c>
      <c r="O147" s="502">
        <f>O171</f>
        <v>516.43192488262912</v>
      </c>
      <c r="P147" s="502">
        <f>N147</f>
        <v>-21.69014084507042</v>
      </c>
    </row>
    <row r="148" spans="1:16" x14ac:dyDescent="0.25">
      <c r="A148" s="506">
        <f>Table!$S3+$A$147</f>
        <v>-9.8122065727699521</v>
      </c>
      <c r="B148" s="506">
        <f>Table!$T3+$B$147</f>
        <v>-21.69014084507042</v>
      </c>
      <c r="C148" s="506">
        <f>Table!$S3+$C$147</f>
        <v>5.68075117370892</v>
      </c>
      <c r="D148" s="506">
        <f>Table!$T3+$D$147</f>
        <v>-21.69014084507042</v>
      </c>
      <c r="E148" s="506">
        <f>Table!$S3+$E$147</f>
        <v>514.36619718309862</v>
      </c>
      <c r="F148" s="506">
        <f>Table!$T3+$F$147</f>
        <v>-21.69014084507042</v>
      </c>
      <c r="G148" s="506">
        <f>Table!$S3+$G$147</f>
        <v>514.36619718309862</v>
      </c>
      <c r="H148" s="506">
        <f>Table!$T3+$H$147</f>
        <v>-21.69014084507042</v>
      </c>
      <c r="I148" s="506">
        <f>Table!$S3+$I$147</f>
        <v>514.36619718309862</v>
      </c>
      <c r="J148" s="506">
        <f>Table!$T3+$J$147</f>
        <v>-21.69014084507042</v>
      </c>
      <c r="K148" s="506">
        <f>Table!$S3+$K$147</f>
        <v>514.36619718309862</v>
      </c>
      <c r="L148" s="506">
        <f>Table!$T3+$L$147</f>
        <v>-21.69014084507042</v>
      </c>
      <c r="M148" s="506">
        <f>Table!$S3+$M$147</f>
        <v>514.36619718309862</v>
      </c>
      <c r="N148" s="506">
        <f>Table!$T3+$N$147</f>
        <v>-21.69014084507042</v>
      </c>
      <c r="O148" s="506">
        <f>Table!$S3+$O$147</f>
        <v>514.36619718309862</v>
      </c>
      <c r="P148" s="506">
        <f>Table!$T3+$P$147</f>
        <v>-21.69014084507042</v>
      </c>
    </row>
    <row r="149" spans="1:16" x14ac:dyDescent="0.25">
      <c r="A149" s="506">
        <f>Table!$S4+$A$147</f>
        <v>-9.6547981220657277</v>
      </c>
      <c r="B149" s="506">
        <f>Table!$T4+$B$147</f>
        <v>-20.899793427230044</v>
      </c>
      <c r="C149" s="506">
        <f>Table!$S4+$C$147</f>
        <v>5.8381596244131453</v>
      </c>
      <c r="D149" s="506">
        <f>Table!$T4+$D$147</f>
        <v>-20.899793427230044</v>
      </c>
      <c r="E149" s="506">
        <f>Table!$S4+$E$147</f>
        <v>514.52360563380284</v>
      </c>
      <c r="F149" s="506">
        <f>Table!$T4+$F$147</f>
        <v>-20.899793427230044</v>
      </c>
      <c r="G149" s="506">
        <f>Table!$S4+$G$147</f>
        <v>514.52360563380284</v>
      </c>
      <c r="H149" s="506">
        <f>Table!$T4+$H$147</f>
        <v>-20.899793427230044</v>
      </c>
      <c r="I149" s="506">
        <f>Table!$S4+$I$147</f>
        <v>514.52360563380284</v>
      </c>
      <c r="J149" s="506">
        <f>Table!$T4+$J$147</f>
        <v>-20.899793427230044</v>
      </c>
      <c r="K149" s="506">
        <f>Table!$S4+$K$147</f>
        <v>514.52360563380284</v>
      </c>
      <c r="L149" s="506">
        <f>Table!$T4+$L$147</f>
        <v>-20.899793427230044</v>
      </c>
      <c r="M149" s="506">
        <f>Table!$S4+$M$147</f>
        <v>514.52360563380284</v>
      </c>
      <c r="N149" s="506">
        <f>Table!$T4+$N$147</f>
        <v>-20.899793427230044</v>
      </c>
      <c r="O149" s="506">
        <f>Table!$S4+$O$147</f>
        <v>514.52360563380284</v>
      </c>
      <c r="P149" s="506">
        <f>Table!$T4+$P$147</f>
        <v>-20.899793427230044</v>
      </c>
    </row>
    <row r="150" spans="1:16" x14ac:dyDescent="0.25">
      <c r="A150" s="506">
        <f>Table!$S5+$A$147</f>
        <v>-9.2073615023474176</v>
      </c>
      <c r="B150" s="506">
        <f>Table!$T5+$B$147</f>
        <v>-20.229258215962439</v>
      </c>
      <c r="C150" s="506">
        <f>Table!$S5+$C$147</f>
        <v>6.2855962441314546</v>
      </c>
      <c r="D150" s="506">
        <f>Table!$T5+$D$147</f>
        <v>-20.229258215962439</v>
      </c>
      <c r="E150" s="506">
        <f>Table!$S5+$E$147</f>
        <v>514.97104225352109</v>
      </c>
      <c r="F150" s="506">
        <f>Table!$T5+$F$147</f>
        <v>-20.229258215962439</v>
      </c>
      <c r="G150" s="506">
        <f>Table!$S5+$G$147</f>
        <v>514.97104225352109</v>
      </c>
      <c r="H150" s="506">
        <f>Table!$T5+$H$147</f>
        <v>-20.229258215962439</v>
      </c>
      <c r="I150" s="506">
        <f>Table!$S5+$I$147</f>
        <v>514.97104225352109</v>
      </c>
      <c r="J150" s="506">
        <f>Table!$T5+$J$147</f>
        <v>-20.229258215962439</v>
      </c>
      <c r="K150" s="506">
        <f>Table!$S5+$K$147</f>
        <v>514.97104225352109</v>
      </c>
      <c r="L150" s="506">
        <f>Table!$T5+$L$147</f>
        <v>-20.229258215962439</v>
      </c>
      <c r="M150" s="506">
        <f>Table!$S5+$M$147</f>
        <v>514.97104225352109</v>
      </c>
      <c r="N150" s="506">
        <f>Table!$T5+$N$147</f>
        <v>-20.229258215962439</v>
      </c>
      <c r="O150" s="506">
        <f>Table!$S5+$O$147</f>
        <v>514.97104225352109</v>
      </c>
      <c r="P150" s="506">
        <f>Table!$T5+$P$147</f>
        <v>-20.229258215962439</v>
      </c>
    </row>
    <row r="151" spans="1:16" x14ac:dyDescent="0.25">
      <c r="A151" s="506">
        <f>Table!$S6+$A$147</f>
        <v>-8.5368262910798123</v>
      </c>
      <c r="B151" s="506">
        <f>Table!$T6+$B$147</f>
        <v>-19.781821596244129</v>
      </c>
      <c r="C151" s="506">
        <f>Table!$S6+$C$147</f>
        <v>6.9561314553990607</v>
      </c>
      <c r="D151" s="506">
        <f>Table!$T6+$D$147</f>
        <v>-19.781821596244129</v>
      </c>
      <c r="E151" s="506">
        <f>Table!$S6+$E$147</f>
        <v>515.64157746478872</v>
      </c>
      <c r="F151" s="506">
        <f>Table!$T6+$F$147</f>
        <v>-19.781821596244129</v>
      </c>
      <c r="G151" s="506">
        <f>Table!$S6+$G$147</f>
        <v>515.64157746478872</v>
      </c>
      <c r="H151" s="506">
        <f>Table!$T6+$H$147</f>
        <v>-19.781821596244129</v>
      </c>
      <c r="I151" s="506">
        <f>Table!$S6+$I$147</f>
        <v>515.64157746478872</v>
      </c>
      <c r="J151" s="506">
        <f>Table!$T6+$J$147</f>
        <v>-19.781821596244129</v>
      </c>
      <c r="K151" s="506">
        <f>Table!$S6+$K$147</f>
        <v>515.64157746478872</v>
      </c>
      <c r="L151" s="506">
        <f>Table!$T6+$L$147</f>
        <v>-19.781821596244129</v>
      </c>
      <c r="M151" s="506">
        <f>Table!$S6+$M$147</f>
        <v>515.64157746478872</v>
      </c>
      <c r="N151" s="506">
        <f>Table!$T6+$N$147</f>
        <v>-19.781821596244129</v>
      </c>
      <c r="O151" s="506">
        <f>Table!$S6+$O$147</f>
        <v>515.64157746478872</v>
      </c>
      <c r="P151" s="506">
        <f>Table!$T6+$P$147</f>
        <v>-19.781821596244129</v>
      </c>
    </row>
    <row r="152" spans="1:16" x14ac:dyDescent="0.25">
      <c r="A152" s="506">
        <f>Table!$S7+$A$147</f>
        <v>-7.7464788732394361</v>
      </c>
      <c r="B152" s="506">
        <f>Table!$T7+$B$147</f>
        <v>-19.624413145539904</v>
      </c>
      <c r="C152" s="506">
        <f>Table!$S7+$C$147</f>
        <v>7.7464788732394361</v>
      </c>
      <c r="D152" s="506">
        <f>Table!$T7+$D$147</f>
        <v>-19.624413145539904</v>
      </c>
      <c r="E152" s="506">
        <f>Table!$S7+$E$147</f>
        <v>516.43192488262912</v>
      </c>
      <c r="F152" s="506">
        <f>Table!$T7+$F$147</f>
        <v>-19.624413145539904</v>
      </c>
      <c r="G152" s="506">
        <f>Table!$S7+$G$147</f>
        <v>516.43192488262912</v>
      </c>
      <c r="H152" s="506">
        <f>Table!$T7+$H$147</f>
        <v>-19.624413145539904</v>
      </c>
      <c r="I152" s="506">
        <f>Table!$S7+$I$147</f>
        <v>516.43192488262912</v>
      </c>
      <c r="J152" s="506">
        <f>Table!$T7+$J$147</f>
        <v>-19.624413145539904</v>
      </c>
      <c r="K152" s="506">
        <f>Table!$S7+$K$147</f>
        <v>516.43192488262912</v>
      </c>
      <c r="L152" s="506">
        <f>Table!$T7+$L$147</f>
        <v>-19.624413145539904</v>
      </c>
      <c r="M152" s="506">
        <f>Table!$S7+$M$147</f>
        <v>516.43192488262912</v>
      </c>
      <c r="N152" s="506">
        <f>Table!$T7+$N$147</f>
        <v>-19.624413145539904</v>
      </c>
      <c r="O152" s="506">
        <f>Table!$S7+$O$147</f>
        <v>516.43192488262912</v>
      </c>
      <c r="P152" s="506">
        <f>Table!$T7+$P$147</f>
        <v>-19.624413145539904</v>
      </c>
    </row>
    <row r="153" spans="1:16" x14ac:dyDescent="0.25">
      <c r="A153" s="506">
        <f>Table!$S8+$A$147</f>
        <v>-6.9561314553990607</v>
      </c>
      <c r="B153" s="506">
        <f>Table!$T8+$B$147</f>
        <v>-19.781821596244129</v>
      </c>
      <c r="C153" s="506">
        <f>Table!$S8+$C$147</f>
        <v>8.5368262910798123</v>
      </c>
      <c r="D153" s="506">
        <f>Table!$T8+$D$147</f>
        <v>-19.781821596244129</v>
      </c>
      <c r="E153" s="506">
        <f>Table!$S8+$E$147</f>
        <v>517.22227230046951</v>
      </c>
      <c r="F153" s="506">
        <f>Table!$T8+$F$147</f>
        <v>-19.781821596244129</v>
      </c>
      <c r="G153" s="506">
        <f>Table!$S8+$G$147</f>
        <v>517.22227230046951</v>
      </c>
      <c r="H153" s="506">
        <f>Table!$T8+$H$147</f>
        <v>-19.781821596244129</v>
      </c>
      <c r="I153" s="506">
        <f>Table!$S8+$I$147</f>
        <v>517.22227230046951</v>
      </c>
      <c r="J153" s="506">
        <f>Table!$T8+$J$147</f>
        <v>-19.781821596244129</v>
      </c>
      <c r="K153" s="506">
        <f>Table!$S8+$K$147</f>
        <v>517.22227230046951</v>
      </c>
      <c r="L153" s="506">
        <f>Table!$T8+$L$147</f>
        <v>-19.781821596244129</v>
      </c>
      <c r="M153" s="506">
        <f>Table!$S8+$M$147</f>
        <v>517.22227230046951</v>
      </c>
      <c r="N153" s="506">
        <f>Table!$T8+$N$147</f>
        <v>-19.781821596244129</v>
      </c>
      <c r="O153" s="506">
        <f>Table!$S8+$O$147</f>
        <v>517.22227230046951</v>
      </c>
      <c r="P153" s="506">
        <f>Table!$T8+$P$147</f>
        <v>-19.781821596244129</v>
      </c>
    </row>
    <row r="154" spans="1:16" x14ac:dyDescent="0.25">
      <c r="A154" s="506">
        <f>Table!$S9+$A$147</f>
        <v>-6.2855962441314546</v>
      </c>
      <c r="B154" s="506">
        <f>Table!$T9+$B$147</f>
        <v>-20.229258215962439</v>
      </c>
      <c r="C154" s="506">
        <f>Table!$S9+$C$147</f>
        <v>9.2073615023474176</v>
      </c>
      <c r="D154" s="506">
        <f>Table!$T9+$D$147</f>
        <v>-20.229258215962439</v>
      </c>
      <c r="E154" s="506">
        <f>Table!$S9+$E$147</f>
        <v>517.89280751173715</v>
      </c>
      <c r="F154" s="506">
        <f>Table!$T9+$F$147</f>
        <v>-20.229258215962439</v>
      </c>
      <c r="G154" s="506">
        <f>Table!$S9+$G$147</f>
        <v>517.89280751173715</v>
      </c>
      <c r="H154" s="506">
        <f>Table!$T9+$H$147</f>
        <v>-20.229258215962439</v>
      </c>
      <c r="I154" s="506">
        <f>Table!$S9+$I$147</f>
        <v>517.89280751173715</v>
      </c>
      <c r="J154" s="506">
        <f>Table!$T9+$J$147</f>
        <v>-20.229258215962439</v>
      </c>
      <c r="K154" s="506">
        <f>Table!$S9+$K$147</f>
        <v>517.89280751173715</v>
      </c>
      <c r="L154" s="506">
        <f>Table!$T9+$L$147</f>
        <v>-20.229258215962439</v>
      </c>
      <c r="M154" s="506">
        <f>Table!$S9+$M$147</f>
        <v>517.89280751173715</v>
      </c>
      <c r="N154" s="506">
        <f>Table!$T9+$N$147</f>
        <v>-20.229258215962439</v>
      </c>
      <c r="O154" s="506">
        <f>Table!$S9+$O$147</f>
        <v>517.89280751173715</v>
      </c>
      <c r="P154" s="506">
        <f>Table!$T9+$P$147</f>
        <v>-20.229258215962439</v>
      </c>
    </row>
    <row r="155" spans="1:16" x14ac:dyDescent="0.25">
      <c r="A155" s="506">
        <f>Table!$S10+$A$147</f>
        <v>-5.8460093896713605</v>
      </c>
      <c r="B155" s="506">
        <f>Table!$T10+$B$147</f>
        <v>-20.899793427230044</v>
      </c>
      <c r="C155" s="506">
        <f>Table!$S10+$C$147</f>
        <v>9.6469483568075116</v>
      </c>
      <c r="D155" s="506">
        <f>Table!$T10+$D$147</f>
        <v>-20.899793427230044</v>
      </c>
      <c r="E155" s="506">
        <f>Table!$S10+$E$147</f>
        <v>518.33239436619715</v>
      </c>
      <c r="F155" s="506">
        <f>Table!$T10+$F$147</f>
        <v>-20.899793427230044</v>
      </c>
      <c r="G155" s="506">
        <f>Table!$S10+$G$147</f>
        <v>518.33239436619715</v>
      </c>
      <c r="H155" s="506">
        <f>Table!$T10+$H$147</f>
        <v>-20.899793427230044</v>
      </c>
      <c r="I155" s="506">
        <f>Table!$S10+$I$147</f>
        <v>518.33239436619715</v>
      </c>
      <c r="J155" s="506">
        <f>Table!$T10+$J$147</f>
        <v>-20.899793427230044</v>
      </c>
      <c r="K155" s="506">
        <f>Table!$S10+$K$147</f>
        <v>518.33239436619715</v>
      </c>
      <c r="L155" s="506">
        <f>Table!$T10+$L$147</f>
        <v>-20.899793427230044</v>
      </c>
      <c r="M155" s="506">
        <f>Table!$S10+$M$147</f>
        <v>518.33239436619715</v>
      </c>
      <c r="N155" s="506">
        <f>Table!$T10+$N$147</f>
        <v>-20.899793427230044</v>
      </c>
      <c r="O155" s="506">
        <f>Table!$S10+$O$147</f>
        <v>518.33239436619715</v>
      </c>
      <c r="P155" s="506">
        <f>Table!$T10+$P$147</f>
        <v>-20.899793427230044</v>
      </c>
    </row>
    <row r="156" spans="1:16" x14ac:dyDescent="0.25">
      <c r="A156" s="506">
        <f>Table!$S11+$A$147</f>
        <v>-5.68075117370892</v>
      </c>
      <c r="B156" s="506">
        <f>Table!$T11+$B$147</f>
        <v>-21.69014084507042</v>
      </c>
      <c r="C156" s="506">
        <f>Table!$S11+$C$147</f>
        <v>9.8122065727699521</v>
      </c>
      <c r="D156" s="506">
        <f>Table!$T11+$D$147</f>
        <v>-21.69014084507042</v>
      </c>
      <c r="E156" s="506">
        <f>Table!$S11+$E$147</f>
        <v>518.49765258215962</v>
      </c>
      <c r="F156" s="506">
        <f>Table!$T11+$F$147</f>
        <v>-21.69014084507042</v>
      </c>
      <c r="G156" s="506">
        <f>Table!$S11+$G$147</f>
        <v>518.49765258215962</v>
      </c>
      <c r="H156" s="506">
        <f>Table!$T11+$H$147</f>
        <v>-21.69014084507042</v>
      </c>
      <c r="I156" s="506">
        <f>Table!$S11+$I$147</f>
        <v>518.49765258215962</v>
      </c>
      <c r="J156" s="506">
        <f>Table!$T11+$J$147</f>
        <v>-21.69014084507042</v>
      </c>
      <c r="K156" s="506">
        <f>Table!$S11+$K$147</f>
        <v>518.49765258215962</v>
      </c>
      <c r="L156" s="506">
        <f>Table!$T11+$L$147</f>
        <v>-21.69014084507042</v>
      </c>
      <c r="M156" s="506">
        <f>Table!$S11+$M$147</f>
        <v>518.49765258215962</v>
      </c>
      <c r="N156" s="506">
        <f>Table!$T11+$N$147</f>
        <v>-21.69014084507042</v>
      </c>
      <c r="O156" s="506">
        <f>Table!$S11+$O$147</f>
        <v>518.49765258215962</v>
      </c>
      <c r="P156" s="506">
        <f>Table!$T11+$P$147</f>
        <v>-21.69014084507042</v>
      </c>
    </row>
    <row r="157" spans="1:16" x14ac:dyDescent="0.25">
      <c r="A157" s="506">
        <f>Table!$S12+$A$147</f>
        <v>-5.8460093896713605</v>
      </c>
      <c r="B157" s="506">
        <f>Table!$T12+$B$147</f>
        <v>-22.480488262910796</v>
      </c>
      <c r="C157" s="506">
        <f>Table!$S12+$C$147</f>
        <v>9.6469483568075116</v>
      </c>
      <c r="D157" s="506">
        <f>Table!$T12+$D$147</f>
        <v>-22.480488262910796</v>
      </c>
      <c r="E157" s="506">
        <f>Table!$S12+$E$147</f>
        <v>518.33239436619715</v>
      </c>
      <c r="F157" s="506">
        <f>Table!$T12+$F$147</f>
        <v>-22.480488262910796</v>
      </c>
      <c r="G157" s="506">
        <f>Table!$S12+$G$147</f>
        <v>518.33239436619715</v>
      </c>
      <c r="H157" s="506">
        <f>Table!$T12+$H$147</f>
        <v>-22.480488262910796</v>
      </c>
      <c r="I157" s="506">
        <f>Table!$S12+$I$147</f>
        <v>518.33239436619715</v>
      </c>
      <c r="J157" s="506">
        <f>Table!$T12+$J$147</f>
        <v>-22.480488262910796</v>
      </c>
      <c r="K157" s="506">
        <f>Table!$S12+$K$147</f>
        <v>518.33239436619715</v>
      </c>
      <c r="L157" s="506">
        <f>Table!$T12+$L$147</f>
        <v>-22.480488262910796</v>
      </c>
      <c r="M157" s="506">
        <f>Table!$S12+$M$147</f>
        <v>518.33239436619715</v>
      </c>
      <c r="N157" s="506">
        <f>Table!$T12+$N$147</f>
        <v>-22.480488262910796</v>
      </c>
      <c r="O157" s="506">
        <f>Table!$S12+$O$147</f>
        <v>518.33239436619715</v>
      </c>
      <c r="P157" s="506">
        <f>Table!$T12+$P$147</f>
        <v>-22.480488262910796</v>
      </c>
    </row>
    <row r="158" spans="1:16" x14ac:dyDescent="0.25">
      <c r="A158" s="506">
        <f>Table!$S13+$A$147</f>
        <v>-6.2855962441314546</v>
      </c>
      <c r="B158" s="506">
        <f>Table!$T13+$B$147</f>
        <v>-23.151023474178402</v>
      </c>
      <c r="C158" s="506">
        <f>Table!$S13+$C$147</f>
        <v>9.2073615023474176</v>
      </c>
      <c r="D158" s="506">
        <f>Table!$T13+$D$147</f>
        <v>-23.151023474178402</v>
      </c>
      <c r="E158" s="506">
        <f>Table!$S13+$E$147</f>
        <v>517.89280751173715</v>
      </c>
      <c r="F158" s="506">
        <f>Table!$T13+$F$147</f>
        <v>-23.151023474178402</v>
      </c>
      <c r="G158" s="506">
        <f>Table!$S13+$G$147</f>
        <v>517.89280751173715</v>
      </c>
      <c r="H158" s="506">
        <f>Table!$T13+$H$147</f>
        <v>-23.151023474178402</v>
      </c>
      <c r="I158" s="506">
        <f>Table!$S13+$I$147</f>
        <v>517.89280751173715</v>
      </c>
      <c r="J158" s="506">
        <f>Table!$T13+$J$147</f>
        <v>-23.151023474178402</v>
      </c>
      <c r="K158" s="506">
        <f>Table!$S13+$K$147</f>
        <v>517.89280751173715</v>
      </c>
      <c r="L158" s="506">
        <f>Table!$T13+$L$147</f>
        <v>-23.151023474178402</v>
      </c>
      <c r="M158" s="506">
        <f>Table!$S13+$M$147</f>
        <v>517.89280751173715</v>
      </c>
      <c r="N158" s="506">
        <f>Table!$T13+$N$147</f>
        <v>-23.151023474178402</v>
      </c>
      <c r="O158" s="506">
        <f>Table!$S13+$O$147</f>
        <v>517.89280751173715</v>
      </c>
      <c r="P158" s="506">
        <f>Table!$T13+$P$147</f>
        <v>-23.151023474178402</v>
      </c>
    </row>
    <row r="159" spans="1:16" x14ac:dyDescent="0.25">
      <c r="A159" s="506">
        <f>Table!$S14+$A$147</f>
        <v>-6.9561314553990607</v>
      </c>
      <c r="B159" s="506">
        <f>Table!$T14+$B$147</f>
        <v>-23.598460093896712</v>
      </c>
      <c r="C159" s="506">
        <f>Table!$S14+$C$147</f>
        <v>8.5368262910798123</v>
      </c>
      <c r="D159" s="506">
        <f>Table!$T14+$D$147</f>
        <v>-23.598460093896712</v>
      </c>
      <c r="E159" s="506">
        <f>Table!$S14+$E$147</f>
        <v>517.22227230046951</v>
      </c>
      <c r="F159" s="506">
        <f>Table!$T14+$F$147</f>
        <v>-23.598460093896712</v>
      </c>
      <c r="G159" s="506">
        <f>Table!$S14+$G$147</f>
        <v>517.22227230046951</v>
      </c>
      <c r="H159" s="506">
        <f>Table!$T14+$H$147</f>
        <v>-23.598460093896712</v>
      </c>
      <c r="I159" s="506">
        <f>Table!$S14+$I$147</f>
        <v>517.22227230046951</v>
      </c>
      <c r="J159" s="506">
        <f>Table!$T14+$J$147</f>
        <v>-23.598460093896712</v>
      </c>
      <c r="K159" s="506">
        <f>Table!$S14+$K$147</f>
        <v>517.22227230046951</v>
      </c>
      <c r="L159" s="506">
        <f>Table!$T14+$L$147</f>
        <v>-23.598460093896712</v>
      </c>
      <c r="M159" s="506">
        <f>Table!$S14+$M$147</f>
        <v>517.22227230046951</v>
      </c>
      <c r="N159" s="506">
        <f>Table!$T14+$N$147</f>
        <v>-23.598460093896712</v>
      </c>
      <c r="O159" s="506">
        <f>Table!$S14+$O$147</f>
        <v>517.22227230046951</v>
      </c>
      <c r="P159" s="506">
        <f>Table!$T14+$P$147</f>
        <v>-23.598460093896712</v>
      </c>
    </row>
    <row r="160" spans="1:16" x14ac:dyDescent="0.25">
      <c r="A160" s="506">
        <f>Table!$S15+$A$147</f>
        <v>-7.7464788732394361</v>
      </c>
      <c r="B160" s="506">
        <f>Table!$T15+$B$147</f>
        <v>-23.755868544600936</v>
      </c>
      <c r="C160" s="506">
        <f>Table!$S15+$C$147</f>
        <v>7.7464788732394361</v>
      </c>
      <c r="D160" s="506">
        <f>Table!$T15+$D$147</f>
        <v>-23.755868544600936</v>
      </c>
      <c r="E160" s="506">
        <f>Table!$S15+$E$147</f>
        <v>516.43192488262912</v>
      </c>
      <c r="F160" s="506">
        <f>Table!$T15+$F$147</f>
        <v>-23.755868544600936</v>
      </c>
      <c r="G160" s="506">
        <f>Table!$S15+$G$147</f>
        <v>516.43192488262912</v>
      </c>
      <c r="H160" s="506">
        <f>Table!$T15+$H$147</f>
        <v>-23.755868544600936</v>
      </c>
      <c r="I160" s="506">
        <f>Table!$S15+$I$147</f>
        <v>516.43192488262912</v>
      </c>
      <c r="J160" s="506">
        <f>Table!$T15+$J$147</f>
        <v>-23.755868544600936</v>
      </c>
      <c r="K160" s="506">
        <f>Table!$S15+$K$147</f>
        <v>516.43192488262912</v>
      </c>
      <c r="L160" s="506">
        <f>Table!$T15+$L$147</f>
        <v>-23.755868544600936</v>
      </c>
      <c r="M160" s="506">
        <f>Table!$S15+$M$147</f>
        <v>516.43192488262912</v>
      </c>
      <c r="N160" s="506">
        <f>Table!$T15+$N$147</f>
        <v>-23.755868544600936</v>
      </c>
      <c r="O160" s="506">
        <f>Table!$S15+$O$147</f>
        <v>516.43192488262912</v>
      </c>
      <c r="P160" s="506">
        <f>Table!$T15+$P$147</f>
        <v>-23.755868544600936</v>
      </c>
    </row>
    <row r="161" spans="1:16" x14ac:dyDescent="0.25">
      <c r="A161" s="506">
        <f>Table!$S16+$A$147</f>
        <v>-8.5368262910798123</v>
      </c>
      <c r="B161" s="506">
        <f>Table!$T16+$B$147</f>
        <v>-23.598460093896712</v>
      </c>
      <c r="C161" s="506">
        <f>Table!$S16+$C$147</f>
        <v>6.9561314553990607</v>
      </c>
      <c r="D161" s="506">
        <f>Table!$T16+$D$147</f>
        <v>-23.598460093896712</v>
      </c>
      <c r="E161" s="506">
        <f>Table!$S16+$E$147</f>
        <v>515.64157746478872</v>
      </c>
      <c r="F161" s="506">
        <f>Table!$T16+$F$147</f>
        <v>-23.598460093896712</v>
      </c>
      <c r="G161" s="506">
        <f>Table!$S16+$G$147</f>
        <v>515.64157746478872</v>
      </c>
      <c r="H161" s="506">
        <f>Table!$T16+$H$147</f>
        <v>-23.598460093896712</v>
      </c>
      <c r="I161" s="506">
        <f>Table!$S16+$I$147</f>
        <v>515.64157746478872</v>
      </c>
      <c r="J161" s="506">
        <f>Table!$T16+$J$147</f>
        <v>-23.598460093896712</v>
      </c>
      <c r="K161" s="506">
        <f>Table!$S16+$K$147</f>
        <v>515.64157746478872</v>
      </c>
      <c r="L161" s="506">
        <f>Table!$T16+$L$147</f>
        <v>-23.598460093896712</v>
      </c>
      <c r="M161" s="506">
        <f>Table!$S16+$M$147</f>
        <v>515.64157746478872</v>
      </c>
      <c r="N161" s="506">
        <f>Table!$T16+$N$147</f>
        <v>-23.598460093896712</v>
      </c>
      <c r="O161" s="506">
        <f>Table!$S16+$O$147</f>
        <v>515.64157746478872</v>
      </c>
      <c r="P161" s="506">
        <f>Table!$T16+$P$147</f>
        <v>-23.598460093896712</v>
      </c>
    </row>
    <row r="162" spans="1:16" x14ac:dyDescent="0.25">
      <c r="A162" s="506">
        <f>Table!$S17+$A$147</f>
        <v>-9.2073615023474176</v>
      </c>
      <c r="B162" s="506">
        <f>Table!$T17+$B$147</f>
        <v>-23.151023474178402</v>
      </c>
      <c r="C162" s="506">
        <f>Table!$S17+$C$147</f>
        <v>6.2855962441314546</v>
      </c>
      <c r="D162" s="506">
        <f>Table!$T17+$D$147</f>
        <v>-23.151023474178402</v>
      </c>
      <c r="E162" s="506">
        <f>Table!$S17+$E$147</f>
        <v>514.97104225352109</v>
      </c>
      <c r="F162" s="506">
        <f>Table!$T17+$F$147</f>
        <v>-23.151023474178402</v>
      </c>
      <c r="G162" s="506">
        <f>Table!$S17+$G$147</f>
        <v>514.97104225352109</v>
      </c>
      <c r="H162" s="506">
        <f>Table!$T17+$H$147</f>
        <v>-23.151023474178402</v>
      </c>
      <c r="I162" s="506">
        <f>Table!$S17+$I$147</f>
        <v>514.97104225352109</v>
      </c>
      <c r="J162" s="506">
        <f>Table!$T17+$J$147</f>
        <v>-23.151023474178402</v>
      </c>
      <c r="K162" s="506">
        <f>Table!$S17+$K$147</f>
        <v>514.97104225352109</v>
      </c>
      <c r="L162" s="506">
        <f>Table!$T17+$L$147</f>
        <v>-23.151023474178402</v>
      </c>
      <c r="M162" s="506">
        <f>Table!$S17+$M$147</f>
        <v>514.97104225352109</v>
      </c>
      <c r="N162" s="506">
        <f>Table!$T17+$N$147</f>
        <v>-23.151023474178402</v>
      </c>
      <c r="O162" s="506">
        <f>Table!$S17+$O$147</f>
        <v>514.97104225352109</v>
      </c>
      <c r="P162" s="506">
        <f>Table!$T17+$P$147</f>
        <v>-23.151023474178402</v>
      </c>
    </row>
    <row r="163" spans="1:16" x14ac:dyDescent="0.25">
      <c r="A163" s="506">
        <f>Table!$S18+$A$147</f>
        <v>-9.6547981220657277</v>
      </c>
      <c r="B163" s="506">
        <f>Table!$T18+$B$147</f>
        <v>-22.480488262910796</v>
      </c>
      <c r="C163" s="506">
        <f>Table!$S18+$C$147</f>
        <v>5.8381596244131453</v>
      </c>
      <c r="D163" s="506">
        <f>Table!$T18+$D$147</f>
        <v>-22.480488262910796</v>
      </c>
      <c r="E163" s="506">
        <f>Table!$S18+$E$147</f>
        <v>514.52360563380284</v>
      </c>
      <c r="F163" s="506">
        <f>Table!$T18+$F$147</f>
        <v>-22.480488262910796</v>
      </c>
      <c r="G163" s="506">
        <f>Table!$S18+$G$147</f>
        <v>514.52360563380284</v>
      </c>
      <c r="H163" s="506">
        <f>Table!$T18+$H$147</f>
        <v>-22.480488262910796</v>
      </c>
      <c r="I163" s="506">
        <f>Table!$S18+$I$147</f>
        <v>514.52360563380284</v>
      </c>
      <c r="J163" s="506">
        <f>Table!$T18+$J$147</f>
        <v>-22.480488262910796</v>
      </c>
      <c r="K163" s="506">
        <f>Table!$S18+$K$147</f>
        <v>514.52360563380284</v>
      </c>
      <c r="L163" s="506">
        <f>Table!$T18+$L$147</f>
        <v>-22.480488262910796</v>
      </c>
      <c r="M163" s="506">
        <f>Table!$S18+$M$147</f>
        <v>514.52360563380284</v>
      </c>
      <c r="N163" s="506">
        <f>Table!$T18+$N$147</f>
        <v>-22.480488262910796</v>
      </c>
      <c r="O163" s="506">
        <f>Table!$S18+$O$147</f>
        <v>514.52360563380284</v>
      </c>
      <c r="P163" s="506">
        <f>Table!$T18+$P$147</f>
        <v>-22.480488262910796</v>
      </c>
    </row>
    <row r="164" spans="1:16" x14ac:dyDescent="0.25">
      <c r="A164" s="506">
        <f>Table!$S19+$A$147</f>
        <v>-9.8122065727699521</v>
      </c>
      <c r="B164" s="506">
        <f>Table!$T19+$B$147</f>
        <v>-21.69014084507042</v>
      </c>
      <c r="C164" s="506">
        <f>Table!$S19+$C$147</f>
        <v>5.68075117370892</v>
      </c>
      <c r="D164" s="506">
        <f>Table!$T19+$D$147</f>
        <v>-21.69014084507042</v>
      </c>
      <c r="E164" s="506">
        <f>Table!$S19+$E$147</f>
        <v>514.36619718309862</v>
      </c>
      <c r="F164" s="506">
        <f>Table!$T19+$F$147</f>
        <v>-21.69014084507042</v>
      </c>
      <c r="G164" s="506">
        <f>Table!$S19+$G$147</f>
        <v>514.36619718309862</v>
      </c>
      <c r="H164" s="506">
        <f>Table!$T19+$H$147</f>
        <v>-21.69014084507042</v>
      </c>
      <c r="I164" s="506">
        <f>Table!$S19+$I$147</f>
        <v>514.36619718309862</v>
      </c>
      <c r="J164" s="506">
        <f>Table!$T19+$J$147</f>
        <v>-21.69014084507042</v>
      </c>
      <c r="K164" s="506">
        <f>Table!$S19+$K$147</f>
        <v>514.36619718309862</v>
      </c>
      <c r="L164" s="506">
        <f>Table!$T19+$L$147</f>
        <v>-21.69014084507042</v>
      </c>
      <c r="M164" s="506">
        <f>Table!$S19+$M$147</f>
        <v>514.36619718309862</v>
      </c>
      <c r="N164" s="506">
        <f>Table!$T19+$N$147</f>
        <v>-21.69014084507042</v>
      </c>
      <c r="O164" s="506">
        <f>Table!$S19+$O$147</f>
        <v>514.36619718309862</v>
      </c>
      <c r="P164" s="506">
        <f>Table!$T19+$P$147</f>
        <v>-21.69014084507042</v>
      </c>
    </row>
    <row r="165" spans="1:16" x14ac:dyDescent="0.25">
      <c r="A165" s="506">
        <f>Table!$S20+$A$147</f>
        <v>-10.84507042253521</v>
      </c>
      <c r="B165" s="506">
        <f>Table!$T20+$B$147</f>
        <v>-21.69014084507042</v>
      </c>
      <c r="C165" s="506">
        <f>Table!$S20+$C$147</f>
        <v>4.647887323943662</v>
      </c>
      <c r="D165" s="506">
        <f>Table!$T20+$D$147</f>
        <v>-21.69014084507042</v>
      </c>
      <c r="E165" s="506">
        <f>Table!$S20+$E$147</f>
        <v>513.33333333333337</v>
      </c>
      <c r="F165" s="506">
        <f>Table!$T20+$F$147</f>
        <v>-21.69014084507042</v>
      </c>
      <c r="G165" s="506">
        <f>Table!$S20+$G$147</f>
        <v>513.33333333333337</v>
      </c>
      <c r="H165" s="506">
        <f>Table!$T20+$H$147</f>
        <v>-21.69014084507042</v>
      </c>
      <c r="I165" s="506">
        <f>Table!$S20+$I$147</f>
        <v>513.33333333333337</v>
      </c>
      <c r="J165" s="506">
        <f>Table!$T20+$J$147</f>
        <v>-21.69014084507042</v>
      </c>
      <c r="K165" s="506">
        <f>Table!$S20+$K$147</f>
        <v>513.33333333333337</v>
      </c>
      <c r="L165" s="506">
        <f>Table!$T20+$L$147</f>
        <v>-21.69014084507042</v>
      </c>
      <c r="M165" s="506">
        <f>Table!$S20+$M$147</f>
        <v>513.33333333333337</v>
      </c>
      <c r="N165" s="506">
        <f>Table!$T20+$N$147</f>
        <v>-21.69014084507042</v>
      </c>
      <c r="O165" s="506">
        <f>Table!$S20+$O$147</f>
        <v>513.33333333333337</v>
      </c>
      <c r="P165" s="506">
        <f>Table!$T20+$P$147</f>
        <v>-21.69014084507042</v>
      </c>
    </row>
    <row r="166" spans="1:16" x14ac:dyDescent="0.25">
      <c r="A166" s="506">
        <f>Table!$S21+$A$147</f>
        <v>-4.647887323943662</v>
      </c>
      <c r="B166" s="506">
        <f>Table!$T21+$B$147</f>
        <v>-21.69014084507042</v>
      </c>
      <c r="C166" s="506">
        <f>Table!$S21+$C$147</f>
        <v>10.84507042253521</v>
      </c>
      <c r="D166" s="506">
        <f>Table!$T21+$D$147</f>
        <v>-21.69014084507042</v>
      </c>
      <c r="E166" s="506">
        <f>Table!$S21+$E$147</f>
        <v>519.53051643192487</v>
      </c>
      <c r="F166" s="506">
        <f>Table!$T21+$F$147</f>
        <v>-21.69014084507042</v>
      </c>
      <c r="G166" s="506">
        <f>Table!$S21+$G$147</f>
        <v>519.53051643192487</v>
      </c>
      <c r="H166" s="506">
        <f>Table!$T21+$H$147</f>
        <v>-21.69014084507042</v>
      </c>
      <c r="I166" s="506">
        <f>Table!$S21+$I$147</f>
        <v>519.53051643192487</v>
      </c>
      <c r="J166" s="506">
        <f>Table!$T21+$J$147</f>
        <v>-21.69014084507042</v>
      </c>
      <c r="K166" s="506">
        <f>Table!$S21+$K$147</f>
        <v>519.53051643192487</v>
      </c>
      <c r="L166" s="506">
        <f>Table!$T21+$L$147</f>
        <v>-21.69014084507042</v>
      </c>
      <c r="M166" s="506">
        <f>Table!$S21+$M$147</f>
        <v>519.53051643192487</v>
      </c>
      <c r="N166" s="506">
        <f>Table!$T21+$N$147</f>
        <v>-21.69014084507042</v>
      </c>
      <c r="O166" s="506">
        <f>Table!$S21+$O$147</f>
        <v>519.53051643192487</v>
      </c>
      <c r="P166" s="506">
        <f>Table!$T21+$P$147</f>
        <v>-21.69014084507042</v>
      </c>
    </row>
    <row r="167" spans="1:16" x14ac:dyDescent="0.25">
      <c r="A167" s="506">
        <f>Table!$S22+$A$147</f>
        <v>-7.7464788732394361</v>
      </c>
      <c r="B167" s="506">
        <f>Table!$T22+$B$147</f>
        <v>-24.788732394366196</v>
      </c>
      <c r="C167" s="506">
        <f>Table!$S22+$C$147</f>
        <v>7.7464788732394361</v>
      </c>
      <c r="D167" s="506">
        <f>Table!$T22+$D$147</f>
        <v>-24.788732394366196</v>
      </c>
      <c r="E167" s="506">
        <f>Table!$S22+$E$147</f>
        <v>516.43192488262912</v>
      </c>
      <c r="F167" s="506">
        <f>Table!$T22+$F$147</f>
        <v>-24.788732394366196</v>
      </c>
      <c r="G167" s="506">
        <f>Table!$S22+$G$147</f>
        <v>516.43192488262912</v>
      </c>
      <c r="H167" s="506">
        <f>Table!$T22+$H$147</f>
        <v>-24.788732394366196</v>
      </c>
      <c r="I167" s="506">
        <f>Table!$S22+$I$147</f>
        <v>516.43192488262912</v>
      </c>
      <c r="J167" s="506">
        <f>Table!$T22+$J$147</f>
        <v>-24.788732394366196</v>
      </c>
      <c r="K167" s="506">
        <f>Table!$S22+$K$147</f>
        <v>516.43192488262912</v>
      </c>
      <c r="L167" s="506">
        <f>Table!$T22+$L$147</f>
        <v>-24.788732394366196</v>
      </c>
      <c r="M167" s="506">
        <f>Table!$S22+$M$147</f>
        <v>516.43192488262912</v>
      </c>
      <c r="N167" s="506">
        <f>Table!$T22+$N$147</f>
        <v>-24.788732394366196</v>
      </c>
      <c r="O167" s="506">
        <f>Table!$S22+$O$147</f>
        <v>516.43192488262912</v>
      </c>
      <c r="P167" s="506">
        <f>Table!$T22+$P$147</f>
        <v>-24.788732394366196</v>
      </c>
    </row>
    <row r="168" spans="1:16" x14ac:dyDescent="0.25">
      <c r="A168" s="506">
        <f>Table!$S23+$A$147</f>
        <v>-7.7464788732394361</v>
      </c>
      <c r="B168" s="506">
        <f>Table!$T23+$B$147</f>
        <v>-18.591549295774644</v>
      </c>
      <c r="C168" s="506">
        <f>Table!$S23+$C$147</f>
        <v>7.7464788732394361</v>
      </c>
      <c r="D168" s="506">
        <f>Table!$T23+$D$147</f>
        <v>-18.591549295774644</v>
      </c>
      <c r="E168" s="506">
        <f>Table!$S23+$E$147</f>
        <v>516.43192488262912</v>
      </c>
      <c r="F168" s="506">
        <f>Table!$T23+$F$147</f>
        <v>-18.591549295774644</v>
      </c>
      <c r="G168" s="506">
        <f>Table!$S23+$G$147</f>
        <v>516.43192488262912</v>
      </c>
      <c r="H168" s="506">
        <f>Table!$T23+$H$147</f>
        <v>-18.591549295774644</v>
      </c>
      <c r="I168" s="506">
        <f>Table!$S23+$I$147</f>
        <v>516.43192488262912</v>
      </c>
      <c r="J168" s="506">
        <f>Table!$T23+$J$147</f>
        <v>-18.591549295774644</v>
      </c>
      <c r="K168" s="506">
        <f>Table!$S23+$K$147</f>
        <v>516.43192488262912</v>
      </c>
      <c r="L168" s="506">
        <f>Table!$T23+$L$147</f>
        <v>-18.591549295774644</v>
      </c>
      <c r="M168" s="506">
        <f>Table!$S23+$M$147</f>
        <v>516.43192488262912</v>
      </c>
      <c r="N168" s="506">
        <f>Table!$T23+$N$147</f>
        <v>-18.591549295774644</v>
      </c>
      <c r="O168" s="506">
        <f>Table!$S23+$O$147</f>
        <v>516.43192488262912</v>
      </c>
      <c r="P168" s="506">
        <f>Table!$T23+$P$147</f>
        <v>-18.591549295774644</v>
      </c>
    </row>
    <row r="169" spans="1:16" x14ac:dyDescent="0.25">
      <c r="A169" s="502" t="s">
        <v>995</v>
      </c>
      <c r="B169" s="502" t="s">
        <v>996</v>
      </c>
      <c r="C169" s="502" t="s">
        <v>997</v>
      </c>
      <c r="D169" s="502" t="s">
        <v>996</v>
      </c>
      <c r="E169" s="502" t="s">
        <v>998</v>
      </c>
      <c r="F169" s="502" t="s">
        <v>996</v>
      </c>
      <c r="G169" s="502" t="s">
        <v>999</v>
      </c>
      <c r="H169" s="502" t="s">
        <v>996</v>
      </c>
      <c r="I169" s="502" t="s">
        <v>1000</v>
      </c>
      <c r="J169" s="502" t="s">
        <v>996</v>
      </c>
      <c r="K169" s="502" t="s">
        <v>1001</v>
      </c>
      <c r="L169" s="502" t="s">
        <v>996</v>
      </c>
      <c r="M169" s="502" t="s">
        <v>1002</v>
      </c>
      <c r="N169" s="502" t="s">
        <v>996</v>
      </c>
      <c r="O169" s="502" t="s">
        <v>1003</v>
      </c>
      <c r="P169" s="502" t="s">
        <v>996</v>
      </c>
    </row>
    <row r="170" spans="1:16" x14ac:dyDescent="0.25">
      <c r="A170" s="502" t="s">
        <v>72</v>
      </c>
      <c r="B170" s="502" t="s">
        <v>71</v>
      </c>
      <c r="C170" s="502" t="s">
        <v>72</v>
      </c>
      <c r="D170" s="502" t="s">
        <v>71</v>
      </c>
      <c r="E170" s="502" t="s">
        <v>72</v>
      </c>
      <c r="F170" s="502" t="s">
        <v>71</v>
      </c>
      <c r="G170" s="502" t="s">
        <v>72</v>
      </c>
      <c r="H170" s="502" t="s">
        <v>71</v>
      </c>
      <c r="I170" s="502" t="s">
        <v>72</v>
      </c>
      <c r="J170" s="502" t="s">
        <v>71</v>
      </c>
      <c r="K170" s="502" t="s">
        <v>72</v>
      </c>
      <c r="L170" s="502" t="s">
        <v>71</v>
      </c>
      <c r="M170" s="502" t="s">
        <v>72</v>
      </c>
      <c r="N170" s="502" t="s">
        <v>71</v>
      </c>
      <c r="O170" s="502" t="s">
        <v>72</v>
      </c>
      <c r="P170" s="502" t="s">
        <v>71</v>
      </c>
    </row>
    <row r="171" spans="1:16" x14ac:dyDescent="0.25">
      <c r="A171" s="502">
        <f>Table!$Q$36/Table!$Q$35*IF('Process (2)'!H56="",100,'Process (2)'!H56)</f>
        <v>-7.7464788732394361</v>
      </c>
      <c r="B171" s="502">
        <f>Table!$Q$36/Table!$Q$35*IF('Process (2)'!D56="",100,'Process (2)'!D56)</f>
        <v>-36.15023474178404</v>
      </c>
      <c r="C171" s="502">
        <f>Table!$Q$36/Table!$Q$35*IF('Process (2)'!H57="",100,'Process (2)'!H57)</f>
        <v>7.7464788732394361</v>
      </c>
      <c r="D171" s="502">
        <f>B171</f>
        <v>-36.15023474178404</v>
      </c>
      <c r="E171" s="502">
        <f>Table!$Q$36/Table!$Q$35*IF('Process (2)'!H58="",100,'Process (2)'!H58)</f>
        <v>516.43192488262912</v>
      </c>
      <c r="F171" s="502">
        <f>D171</f>
        <v>-36.15023474178404</v>
      </c>
      <c r="G171" s="502">
        <f>Table!$Q$36/Table!$Q$35*IF('Process (2)'!H59="",100,'Process (2)'!H59)</f>
        <v>516.43192488262912</v>
      </c>
      <c r="H171" s="502">
        <f>F171</f>
        <v>-36.15023474178404</v>
      </c>
      <c r="I171" s="502">
        <f>Table!$Q$36/Table!$Q$35*IF('Process (2)'!H60="",100,'Process (2)'!H60)</f>
        <v>516.43192488262912</v>
      </c>
      <c r="J171" s="502">
        <f>H171</f>
        <v>-36.15023474178404</v>
      </c>
      <c r="K171" s="502">
        <f>Table!$Q$36/Table!$Q$35*IF('Process (2)'!H61="",100,'Process (2)'!H61)</f>
        <v>516.43192488262912</v>
      </c>
      <c r="L171" s="502">
        <f>J171</f>
        <v>-36.15023474178404</v>
      </c>
      <c r="M171" s="502">
        <f>Table!$Q$36/Table!$Q$35*IF('Process (2)'!H62="",100,'Process (2)'!H62)</f>
        <v>516.43192488262912</v>
      </c>
      <c r="N171" s="502">
        <f>L171</f>
        <v>-36.15023474178404</v>
      </c>
      <c r="O171" s="502">
        <f>Table!$Q$36/Table!$Q$35*IF('Process (2)'!H63="",100,'Process (2)'!H63)</f>
        <v>516.43192488262912</v>
      </c>
      <c r="P171" s="502">
        <f>N171</f>
        <v>-36.15023474178404</v>
      </c>
    </row>
    <row r="172" spans="1:16" x14ac:dyDescent="0.25">
      <c r="A172" s="506">
        <f>Table!$S3+$A$171</f>
        <v>-9.8122065727699521</v>
      </c>
      <c r="B172" s="506">
        <f>Table!$T3+$B$171</f>
        <v>-36.15023474178404</v>
      </c>
      <c r="C172" s="506">
        <f>Table!$S3+$C$171</f>
        <v>5.68075117370892</v>
      </c>
      <c r="D172" s="506">
        <f>Table!$T3+$D$171</f>
        <v>-36.15023474178404</v>
      </c>
      <c r="E172" s="506">
        <f>Table!$S3+$E$171</f>
        <v>514.36619718309862</v>
      </c>
      <c r="F172" s="506">
        <f>Table!$T3+$F$171</f>
        <v>-36.15023474178404</v>
      </c>
      <c r="G172" s="506">
        <f>Table!$S3+$G$171</f>
        <v>514.36619718309862</v>
      </c>
      <c r="H172" s="506">
        <f>Table!$T3+$H$171</f>
        <v>-36.15023474178404</v>
      </c>
      <c r="I172" s="506">
        <f>Table!$S3+$I$171</f>
        <v>514.36619718309862</v>
      </c>
      <c r="J172" s="506">
        <f>Table!$T3+$J$171</f>
        <v>-36.15023474178404</v>
      </c>
      <c r="K172" s="506">
        <f>Table!$S3+$K$171</f>
        <v>514.36619718309862</v>
      </c>
      <c r="L172" s="506">
        <f>Table!$T3+$L$171</f>
        <v>-36.15023474178404</v>
      </c>
      <c r="M172" s="506">
        <f>Table!$S3+$M$171</f>
        <v>514.36619718309862</v>
      </c>
      <c r="N172" s="506">
        <f>Table!$T3+$N$171</f>
        <v>-36.15023474178404</v>
      </c>
      <c r="O172" s="506">
        <f>Table!$S3+$O$171</f>
        <v>514.36619718309862</v>
      </c>
      <c r="P172" s="506">
        <f>Table!$T3+$P$171</f>
        <v>-36.15023474178404</v>
      </c>
    </row>
    <row r="173" spans="1:16" x14ac:dyDescent="0.25">
      <c r="A173" s="506">
        <f>Table!S4+$A$171</f>
        <v>-9.6547981220657277</v>
      </c>
      <c r="B173" s="506">
        <f>Table!T4+$B$171</f>
        <v>-35.359887323943667</v>
      </c>
      <c r="C173" s="506">
        <f>Table!$S4+$C$171</f>
        <v>5.8381596244131453</v>
      </c>
      <c r="D173" s="506">
        <f>Table!$T4+$D$171</f>
        <v>-35.359887323943667</v>
      </c>
      <c r="E173" s="506">
        <f>Table!$S4+$E$171</f>
        <v>514.52360563380284</v>
      </c>
      <c r="F173" s="506">
        <f>Table!$T4+$F$171</f>
        <v>-35.359887323943667</v>
      </c>
      <c r="G173" s="506">
        <f>Table!$S4+$G$171</f>
        <v>514.52360563380284</v>
      </c>
      <c r="H173" s="506">
        <f>Table!$T4+$H$171</f>
        <v>-35.359887323943667</v>
      </c>
      <c r="I173" s="506">
        <f>Table!$S4+$I$171</f>
        <v>514.52360563380284</v>
      </c>
      <c r="J173" s="506">
        <f>Table!$T4+$J$171</f>
        <v>-35.359887323943667</v>
      </c>
      <c r="K173" s="506">
        <f>Table!$S4+$K$171</f>
        <v>514.52360563380284</v>
      </c>
      <c r="L173" s="506">
        <f>Table!$T4+$L$171</f>
        <v>-35.359887323943667</v>
      </c>
      <c r="M173" s="506">
        <f>Table!$S4+$M$171</f>
        <v>514.52360563380284</v>
      </c>
      <c r="N173" s="506">
        <f>Table!$T4+$N$171</f>
        <v>-35.359887323943667</v>
      </c>
      <c r="O173" s="506">
        <f>Table!$S4+$O$171</f>
        <v>514.52360563380284</v>
      </c>
      <c r="P173" s="506">
        <f>Table!$T4+$P$171</f>
        <v>-35.359887323943667</v>
      </c>
    </row>
    <row r="174" spans="1:16" x14ac:dyDescent="0.25">
      <c r="A174" s="506">
        <f>Table!S5+$A$171</f>
        <v>-9.2073615023474176</v>
      </c>
      <c r="B174" s="506">
        <f>Table!T5+$B$171</f>
        <v>-34.689352112676062</v>
      </c>
      <c r="C174" s="506">
        <f>Table!$S5+$C$171</f>
        <v>6.2855962441314546</v>
      </c>
      <c r="D174" s="506">
        <f>Table!$T5+$D$171</f>
        <v>-34.689352112676062</v>
      </c>
      <c r="E174" s="506">
        <f>Table!$S5+$E$171</f>
        <v>514.97104225352109</v>
      </c>
      <c r="F174" s="506">
        <f>Table!$T5+$F$171</f>
        <v>-34.689352112676062</v>
      </c>
      <c r="G174" s="506">
        <f>Table!$S5+$G$171</f>
        <v>514.97104225352109</v>
      </c>
      <c r="H174" s="506">
        <f>Table!$T5+$H$171</f>
        <v>-34.689352112676062</v>
      </c>
      <c r="I174" s="506">
        <f>Table!$S5+$I$171</f>
        <v>514.97104225352109</v>
      </c>
      <c r="J174" s="506">
        <f>Table!$T5+$J$171</f>
        <v>-34.689352112676062</v>
      </c>
      <c r="K174" s="506">
        <f>Table!$S5+$K$171</f>
        <v>514.97104225352109</v>
      </c>
      <c r="L174" s="506">
        <f>Table!$T5+$L$171</f>
        <v>-34.689352112676062</v>
      </c>
      <c r="M174" s="506">
        <f>Table!$S5+$M$171</f>
        <v>514.97104225352109</v>
      </c>
      <c r="N174" s="506">
        <f>Table!$T5+$N$171</f>
        <v>-34.689352112676062</v>
      </c>
      <c r="O174" s="506">
        <f>Table!$S5+$O$171</f>
        <v>514.97104225352109</v>
      </c>
      <c r="P174" s="506">
        <f>Table!$T5+$P$171</f>
        <v>-34.689352112676062</v>
      </c>
    </row>
    <row r="175" spans="1:16" x14ac:dyDescent="0.25">
      <c r="A175" s="506">
        <f>Table!S6+$A$171</f>
        <v>-8.5368262910798123</v>
      </c>
      <c r="B175" s="506">
        <f>Table!T6+$B$171</f>
        <v>-34.241915492957752</v>
      </c>
      <c r="C175" s="506">
        <f>Table!$S6+$C$171</f>
        <v>6.9561314553990607</v>
      </c>
      <c r="D175" s="506">
        <f>Table!$T6+$D$171</f>
        <v>-34.241915492957752</v>
      </c>
      <c r="E175" s="506">
        <f>Table!$S6+$E$171</f>
        <v>515.64157746478872</v>
      </c>
      <c r="F175" s="506">
        <f>Table!$T6+$F$171</f>
        <v>-34.241915492957752</v>
      </c>
      <c r="G175" s="506">
        <f>Table!$S6+$G$171</f>
        <v>515.64157746478872</v>
      </c>
      <c r="H175" s="506">
        <f>Table!$T6+$H$171</f>
        <v>-34.241915492957752</v>
      </c>
      <c r="I175" s="506">
        <f>Table!$S6+$I$171</f>
        <v>515.64157746478872</v>
      </c>
      <c r="J175" s="506">
        <f>Table!$T6+$J$171</f>
        <v>-34.241915492957752</v>
      </c>
      <c r="K175" s="506">
        <f>Table!$S6+$K$171</f>
        <v>515.64157746478872</v>
      </c>
      <c r="L175" s="506">
        <f>Table!$T6+$L$171</f>
        <v>-34.241915492957752</v>
      </c>
      <c r="M175" s="506">
        <f>Table!$S6+$M$171</f>
        <v>515.64157746478872</v>
      </c>
      <c r="N175" s="506">
        <f>Table!$T6+$N$171</f>
        <v>-34.241915492957752</v>
      </c>
      <c r="O175" s="506">
        <f>Table!$S6+$O$171</f>
        <v>515.64157746478872</v>
      </c>
      <c r="P175" s="506">
        <f>Table!$T6+$P$171</f>
        <v>-34.241915492957752</v>
      </c>
    </row>
    <row r="176" spans="1:16" x14ac:dyDescent="0.25">
      <c r="A176" s="506">
        <f>Table!S7+$A$171</f>
        <v>-7.7464788732394361</v>
      </c>
      <c r="B176" s="506">
        <f>Table!T7+$B$171</f>
        <v>-34.08450704225352</v>
      </c>
      <c r="C176" s="506">
        <f>Table!$S7+$C$171</f>
        <v>7.7464788732394361</v>
      </c>
      <c r="D176" s="506">
        <f>Table!$T7+$D$171</f>
        <v>-34.08450704225352</v>
      </c>
      <c r="E176" s="506">
        <f>Table!$S7+$E$171</f>
        <v>516.43192488262912</v>
      </c>
      <c r="F176" s="506">
        <f>Table!$T7+$F$171</f>
        <v>-34.08450704225352</v>
      </c>
      <c r="G176" s="506">
        <f>Table!$S7+$G$171</f>
        <v>516.43192488262912</v>
      </c>
      <c r="H176" s="506">
        <f>Table!$T7+$H$171</f>
        <v>-34.08450704225352</v>
      </c>
      <c r="I176" s="506">
        <f>Table!$S7+$I$171</f>
        <v>516.43192488262912</v>
      </c>
      <c r="J176" s="506">
        <f>Table!$T7+$J$171</f>
        <v>-34.08450704225352</v>
      </c>
      <c r="K176" s="506">
        <f>Table!$S7+$K$171</f>
        <v>516.43192488262912</v>
      </c>
      <c r="L176" s="506">
        <f>Table!$T7+$L$171</f>
        <v>-34.08450704225352</v>
      </c>
      <c r="M176" s="506">
        <f>Table!$S7+$M$171</f>
        <v>516.43192488262912</v>
      </c>
      <c r="N176" s="506">
        <f>Table!$T7+$N$171</f>
        <v>-34.08450704225352</v>
      </c>
      <c r="O176" s="506">
        <f>Table!$S7+$O$171</f>
        <v>516.43192488262912</v>
      </c>
      <c r="P176" s="506">
        <f>Table!$T7+$P$171</f>
        <v>-34.08450704225352</v>
      </c>
    </row>
    <row r="177" spans="1:16" x14ac:dyDescent="0.25">
      <c r="A177" s="506">
        <f>Table!S8+$A$171</f>
        <v>-6.9561314553990607</v>
      </c>
      <c r="B177" s="506">
        <f>Table!T8+$B$171</f>
        <v>-34.241915492957752</v>
      </c>
      <c r="C177" s="506">
        <f>Table!$S8+$C$171</f>
        <v>8.5368262910798123</v>
      </c>
      <c r="D177" s="506">
        <f>Table!$T8+$D$171</f>
        <v>-34.241915492957752</v>
      </c>
      <c r="E177" s="506">
        <f>Table!$S8+$E$171</f>
        <v>517.22227230046951</v>
      </c>
      <c r="F177" s="506">
        <f>Table!$T8+$F$171</f>
        <v>-34.241915492957752</v>
      </c>
      <c r="G177" s="506">
        <f>Table!$S8+$G$171</f>
        <v>517.22227230046951</v>
      </c>
      <c r="H177" s="506">
        <f>Table!$T8+$H$171</f>
        <v>-34.241915492957752</v>
      </c>
      <c r="I177" s="506">
        <f>Table!$S8+$I$171</f>
        <v>517.22227230046951</v>
      </c>
      <c r="J177" s="506">
        <f>Table!$T8+$J$171</f>
        <v>-34.241915492957752</v>
      </c>
      <c r="K177" s="506">
        <f>Table!$S8+$K$171</f>
        <v>517.22227230046951</v>
      </c>
      <c r="L177" s="506">
        <f>Table!$T8+$L$171</f>
        <v>-34.241915492957752</v>
      </c>
      <c r="M177" s="506">
        <f>Table!$S8+$M$171</f>
        <v>517.22227230046951</v>
      </c>
      <c r="N177" s="506">
        <f>Table!$T8+$N$171</f>
        <v>-34.241915492957752</v>
      </c>
      <c r="O177" s="506">
        <f>Table!$S8+$O$171</f>
        <v>517.22227230046951</v>
      </c>
      <c r="P177" s="506">
        <f>Table!$T8+$P$171</f>
        <v>-34.241915492957752</v>
      </c>
    </row>
    <row r="178" spans="1:16" x14ac:dyDescent="0.25">
      <c r="A178" s="506">
        <f>Table!S9+$A$171</f>
        <v>-6.2855962441314546</v>
      </c>
      <c r="B178" s="506">
        <f>Table!T9+$B$171</f>
        <v>-34.689352112676062</v>
      </c>
      <c r="C178" s="506">
        <f>Table!$S9+$C$171</f>
        <v>9.2073615023474176</v>
      </c>
      <c r="D178" s="506">
        <f>Table!$T9+$D$171</f>
        <v>-34.689352112676062</v>
      </c>
      <c r="E178" s="506">
        <f>Table!$S9+$E$171</f>
        <v>517.89280751173715</v>
      </c>
      <c r="F178" s="506">
        <f>Table!$T9+$F$171</f>
        <v>-34.689352112676062</v>
      </c>
      <c r="G178" s="506">
        <f>Table!$S9+$G$171</f>
        <v>517.89280751173715</v>
      </c>
      <c r="H178" s="506">
        <f>Table!$T9+$H$171</f>
        <v>-34.689352112676062</v>
      </c>
      <c r="I178" s="506">
        <f>Table!$S9+$I$171</f>
        <v>517.89280751173715</v>
      </c>
      <c r="J178" s="506">
        <f>Table!$T9+$J$171</f>
        <v>-34.689352112676062</v>
      </c>
      <c r="K178" s="506">
        <f>Table!$S9+$K$171</f>
        <v>517.89280751173715</v>
      </c>
      <c r="L178" s="506">
        <f>Table!$T9+$L$171</f>
        <v>-34.689352112676062</v>
      </c>
      <c r="M178" s="506">
        <f>Table!$S9+$M$171</f>
        <v>517.89280751173715</v>
      </c>
      <c r="N178" s="506">
        <f>Table!$T9+$N$171</f>
        <v>-34.689352112676062</v>
      </c>
      <c r="O178" s="506">
        <f>Table!$S9+$O$171</f>
        <v>517.89280751173715</v>
      </c>
      <c r="P178" s="506">
        <f>Table!$T9+$P$171</f>
        <v>-34.689352112676062</v>
      </c>
    </row>
    <row r="179" spans="1:16" x14ac:dyDescent="0.25">
      <c r="A179" s="506">
        <f>Table!S10+$A$171</f>
        <v>-5.8460093896713605</v>
      </c>
      <c r="B179" s="506">
        <f>Table!T10+$B$171</f>
        <v>-35.359887323943667</v>
      </c>
      <c r="C179" s="506">
        <f>Table!$S10+$C$171</f>
        <v>9.6469483568075116</v>
      </c>
      <c r="D179" s="506">
        <f>Table!$T10+$D$171</f>
        <v>-35.359887323943667</v>
      </c>
      <c r="E179" s="506">
        <f>Table!$S10+$E$171</f>
        <v>518.33239436619715</v>
      </c>
      <c r="F179" s="506">
        <f>Table!$T10+$F$171</f>
        <v>-35.359887323943667</v>
      </c>
      <c r="G179" s="506">
        <f>Table!$S10+$G$171</f>
        <v>518.33239436619715</v>
      </c>
      <c r="H179" s="506">
        <f>Table!$T10+$H$171</f>
        <v>-35.359887323943667</v>
      </c>
      <c r="I179" s="506">
        <f>Table!$S10+$I$171</f>
        <v>518.33239436619715</v>
      </c>
      <c r="J179" s="506">
        <f>Table!$T10+$J$171</f>
        <v>-35.359887323943667</v>
      </c>
      <c r="K179" s="506">
        <f>Table!$S10+$K$171</f>
        <v>518.33239436619715</v>
      </c>
      <c r="L179" s="506">
        <f>Table!$T10+$L$171</f>
        <v>-35.359887323943667</v>
      </c>
      <c r="M179" s="506">
        <f>Table!$S10+$M$171</f>
        <v>518.33239436619715</v>
      </c>
      <c r="N179" s="506">
        <f>Table!$T10+$N$171</f>
        <v>-35.359887323943667</v>
      </c>
      <c r="O179" s="506">
        <f>Table!$S10+$O$171</f>
        <v>518.33239436619715</v>
      </c>
      <c r="P179" s="506">
        <f>Table!$T10+$P$171</f>
        <v>-35.359887323943667</v>
      </c>
    </row>
    <row r="180" spans="1:16" x14ac:dyDescent="0.25">
      <c r="A180" s="506">
        <f>Table!S11+$A$171</f>
        <v>-5.68075117370892</v>
      </c>
      <c r="B180" s="506">
        <f>Table!T11+$B$171</f>
        <v>-36.15023474178404</v>
      </c>
      <c r="C180" s="506">
        <f>Table!$S11+$C$171</f>
        <v>9.8122065727699521</v>
      </c>
      <c r="D180" s="506">
        <f>Table!$T11+$D$171</f>
        <v>-36.15023474178404</v>
      </c>
      <c r="E180" s="506">
        <f>Table!$S11+$E$171</f>
        <v>518.49765258215962</v>
      </c>
      <c r="F180" s="506">
        <f>Table!$T11+$F$171</f>
        <v>-36.15023474178404</v>
      </c>
      <c r="G180" s="506">
        <f>Table!$S11+$G$171</f>
        <v>518.49765258215962</v>
      </c>
      <c r="H180" s="506">
        <f>Table!$T11+$H$171</f>
        <v>-36.15023474178404</v>
      </c>
      <c r="I180" s="506">
        <f>Table!$S11+$I$171</f>
        <v>518.49765258215962</v>
      </c>
      <c r="J180" s="506">
        <f>Table!$T11+$J$171</f>
        <v>-36.15023474178404</v>
      </c>
      <c r="K180" s="506">
        <f>Table!$S11+$K$171</f>
        <v>518.49765258215962</v>
      </c>
      <c r="L180" s="506">
        <f>Table!$T11+$L$171</f>
        <v>-36.15023474178404</v>
      </c>
      <c r="M180" s="506">
        <f>Table!$S11+$M$171</f>
        <v>518.49765258215962</v>
      </c>
      <c r="N180" s="506">
        <f>Table!$T11+$N$171</f>
        <v>-36.15023474178404</v>
      </c>
      <c r="O180" s="506">
        <f>Table!$S11+$O$171</f>
        <v>518.49765258215962</v>
      </c>
      <c r="P180" s="506">
        <f>Table!$T11+$P$171</f>
        <v>-36.15023474178404</v>
      </c>
    </row>
    <row r="181" spans="1:16" x14ac:dyDescent="0.25">
      <c r="A181" s="506">
        <f>Table!S12+$A$171</f>
        <v>-5.8460093896713605</v>
      </c>
      <c r="B181" s="506">
        <f>Table!T12+$B$171</f>
        <v>-36.940582159624412</v>
      </c>
      <c r="C181" s="506">
        <f>Table!$S12+$C$171</f>
        <v>9.6469483568075116</v>
      </c>
      <c r="D181" s="506">
        <f>Table!$T12+$D$171</f>
        <v>-36.940582159624412</v>
      </c>
      <c r="E181" s="506">
        <f>Table!$S12+$E$171</f>
        <v>518.33239436619715</v>
      </c>
      <c r="F181" s="506">
        <f>Table!$T12+$F$171</f>
        <v>-36.940582159624412</v>
      </c>
      <c r="G181" s="506">
        <f>Table!$S12+$G$171</f>
        <v>518.33239436619715</v>
      </c>
      <c r="H181" s="506">
        <f>Table!$T12+$H$171</f>
        <v>-36.940582159624412</v>
      </c>
      <c r="I181" s="506">
        <f>Table!$S12+$I$171</f>
        <v>518.33239436619715</v>
      </c>
      <c r="J181" s="506">
        <f>Table!$T12+$J$171</f>
        <v>-36.940582159624412</v>
      </c>
      <c r="K181" s="506">
        <f>Table!$S12+$K$171</f>
        <v>518.33239436619715</v>
      </c>
      <c r="L181" s="506">
        <f>Table!$T12+$L$171</f>
        <v>-36.940582159624412</v>
      </c>
      <c r="M181" s="506">
        <f>Table!$S12+$M$171</f>
        <v>518.33239436619715</v>
      </c>
      <c r="N181" s="506">
        <f>Table!$T12+$N$171</f>
        <v>-36.940582159624412</v>
      </c>
      <c r="O181" s="506">
        <f>Table!$S12+$O$171</f>
        <v>518.33239436619715</v>
      </c>
      <c r="P181" s="506">
        <f>Table!$T12+$P$171</f>
        <v>-36.940582159624412</v>
      </c>
    </row>
    <row r="182" spans="1:16" x14ac:dyDescent="0.25">
      <c r="A182" s="506">
        <f>Table!S13+$A$171</f>
        <v>-6.2855962441314546</v>
      </c>
      <c r="B182" s="506">
        <f>Table!T13+$B$171</f>
        <v>-37.611117370892018</v>
      </c>
      <c r="C182" s="506">
        <f>Table!$S13+$C$171</f>
        <v>9.2073615023474176</v>
      </c>
      <c r="D182" s="506">
        <f>Table!$T13+$D$171</f>
        <v>-37.611117370892018</v>
      </c>
      <c r="E182" s="506">
        <f>Table!$S13+$E$171</f>
        <v>517.89280751173715</v>
      </c>
      <c r="F182" s="506">
        <f>Table!$T13+$F$171</f>
        <v>-37.611117370892018</v>
      </c>
      <c r="G182" s="506">
        <f>Table!$S13+$G$171</f>
        <v>517.89280751173715</v>
      </c>
      <c r="H182" s="506">
        <f>Table!$T13+$H$171</f>
        <v>-37.611117370892018</v>
      </c>
      <c r="I182" s="506">
        <f>Table!$S13+$I$171</f>
        <v>517.89280751173715</v>
      </c>
      <c r="J182" s="506">
        <f>Table!$T13+$J$171</f>
        <v>-37.611117370892018</v>
      </c>
      <c r="K182" s="506">
        <f>Table!$S13+$K$171</f>
        <v>517.89280751173715</v>
      </c>
      <c r="L182" s="506">
        <f>Table!$T13+$L$171</f>
        <v>-37.611117370892018</v>
      </c>
      <c r="M182" s="506">
        <f>Table!$S13+$M$171</f>
        <v>517.89280751173715</v>
      </c>
      <c r="N182" s="506">
        <f>Table!$T13+$N$171</f>
        <v>-37.611117370892018</v>
      </c>
      <c r="O182" s="506">
        <f>Table!$S13+$O$171</f>
        <v>517.89280751173715</v>
      </c>
      <c r="P182" s="506">
        <f>Table!$T13+$P$171</f>
        <v>-37.611117370892018</v>
      </c>
    </row>
    <row r="183" spans="1:16" x14ac:dyDescent="0.25">
      <c r="A183" s="506">
        <f>Table!S14+$A$171</f>
        <v>-6.9561314553990607</v>
      </c>
      <c r="B183" s="506">
        <f>Table!T14+$B$171</f>
        <v>-38.058553990610328</v>
      </c>
      <c r="C183" s="506">
        <f>Table!$S14+$C$171</f>
        <v>8.5368262910798123</v>
      </c>
      <c r="D183" s="506">
        <f>Table!$T14+$D$171</f>
        <v>-38.058553990610328</v>
      </c>
      <c r="E183" s="506">
        <f>Table!$S14+$E$171</f>
        <v>517.22227230046951</v>
      </c>
      <c r="F183" s="506">
        <f>Table!$T14+$F$171</f>
        <v>-38.058553990610328</v>
      </c>
      <c r="G183" s="506">
        <f>Table!$S14+$G$171</f>
        <v>517.22227230046951</v>
      </c>
      <c r="H183" s="506">
        <f>Table!$T14+$H$171</f>
        <v>-38.058553990610328</v>
      </c>
      <c r="I183" s="506">
        <f>Table!$S14+$I$171</f>
        <v>517.22227230046951</v>
      </c>
      <c r="J183" s="506">
        <f>Table!$T14+$J$171</f>
        <v>-38.058553990610328</v>
      </c>
      <c r="K183" s="506">
        <f>Table!$S14+$K$171</f>
        <v>517.22227230046951</v>
      </c>
      <c r="L183" s="506">
        <f>Table!$T14+$L$171</f>
        <v>-38.058553990610328</v>
      </c>
      <c r="M183" s="506">
        <f>Table!$S14+$M$171</f>
        <v>517.22227230046951</v>
      </c>
      <c r="N183" s="506">
        <f>Table!$T14+$N$171</f>
        <v>-38.058553990610328</v>
      </c>
      <c r="O183" s="506">
        <f>Table!$S14+$O$171</f>
        <v>517.22227230046951</v>
      </c>
      <c r="P183" s="506">
        <f>Table!$T14+$P$171</f>
        <v>-38.058553990610328</v>
      </c>
    </row>
    <row r="184" spans="1:16" x14ac:dyDescent="0.25">
      <c r="A184" s="506">
        <f>Table!S15+$A$171</f>
        <v>-7.7464788732394361</v>
      </c>
      <c r="B184" s="506">
        <f>Table!T15+$B$171</f>
        <v>-38.215962441314559</v>
      </c>
      <c r="C184" s="506">
        <f>Table!$S15+$C$171</f>
        <v>7.7464788732394361</v>
      </c>
      <c r="D184" s="506">
        <f>Table!$T15+$D$171</f>
        <v>-38.215962441314559</v>
      </c>
      <c r="E184" s="506">
        <f>Table!$S15+$E$171</f>
        <v>516.43192488262912</v>
      </c>
      <c r="F184" s="506">
        <f>Table!$T15+$F$171</f>
        <v>-38.215962441314559</v>
      </c>
      <c r="G184" s="506">
        <f>Table!$S15+$G$171</f>
        <v>516.43192488262912</v>
      </c>
      <c r="H184" s="506">
        <f>Table!$T15+$H$171</f>
        <v>-38.215962441314559</v>
      </c>
      <c r="I184" s="506">
        <f>Table!$S15+$I$171</f>
        <v>516.43192488262912</v>
      </c>
      <c r="J184" s="506">
        <f>Table!$T15+$J$171</f>
        <v>-38.215962441314559</v>
      </c>
      <c r="K184" s="506">
        <f>Table!$S15+$K$171</f>
        <v>516.43192488262912</v>
      </c>
      <c r="L184" s="506">
        <f>Table!$T15+$L$171</f>
        <v>-38.215962441314559</v>
      </c>
      <c r="M184" s="506">
        <f>Table!$S15+$M$171</f>
        <v>516.43192488262912</v>
      </c>
      <c r="N184" s="506">
        <f>Table!$T15+$N$171</f>
        <v>-38.215962441314559</v>
      </c>
      <c r="O184" s="506">
        <f>Table!$S15+$O$171</f>
        <v>516.43192488262912</v>
      </c>
      <c r="P184" s="506">
        <f>Table!$T15+$P$171</f>
        <v>-38.215962441314559</v>
      </c>
    </row>
    <row r="185" spans="1:16" x14ac:dyDescent="0.25">
      <c r="A185" s="506">
        <f>Table!S16+$A$171</f>
        <v>-8.5368262910798123</v>
      </c>
      <c r="B185" s="506">
        <f>Table!T16+$B$171</f>
        <v>-38.058553990610328</v>
      </c>
      <c r="C185" s="506">
        <f>Table!$S16+$C$171</f>
        <v>6.9561314553990607</v>
      </c>
      <c r="D185" s="506">
        <f>Table!$T16+$D$171</f>
        <v>-38.058553990610328</v>
      </c>
      <c r="E185" s="506">
        <f>Table!$S16+$E$171</f>
        <v>515.64157746478872</v>
      </c>
      <c r="F185" s="506">
        <f>Table!$T16+$F$171</f>
        <v>-38.058553990610328</v>
      </c>
      <c r="G185" s="506">
        <f>Table!$S16+$G$171</f>
        <v>515.64157746478872</v>
      </c>
      <c r="H185" s="506">
        <f>Table!$T16+$H$171</f>
        <v>-38.058553990610328</v>
      </c>
      <c r="I185" s="506">
        <f>Table!$S16+$I$171</f>
        <v>515.64157746478872</v>
      </c>
      <c r="J185" s="506">
        <f>Table!$T16+$J$171</f>
        <v>-38.058553990610328</v>
      </c>
      <c r="K185" s="506">
        <f>Table!$S16+$K$171</f>
        <v>515.64157746478872</v>
      </c>
      <c r="L185" s="506">
        <f>Table!$T16+$L$171</f>
        <v>-38.058553990610328</v>
      </c>
      <c r="M185" s="506">
        <f>Table!$S16+$M$171</f>
        <v>515.64157746478872</v>
      </c>
      <c r="N185" s="506">
        <f>Table!$T16+$N$171</f>
        <v>-38.058553990610328</v>
      </c>
      <c r="O185" s="506">
        <f>Table!$S16+$O$171</f>
        <v>515.64157746478872</v>
      </c>
      <c r="P185" s="506">
        <f>Table!$T16+$P$171</f>
        <v>-38.058553990610328</v>
      </c>
    </row>
    <row r="186" spans="1:16" x14ac:dyDescent="0.25">
      <c r="A186" s="506">
        <f>Table!S17+$A$171</f>
        <v>-9.2073615023474176</v>
      </c>
      <c r="B186" s="506">
        <f>Table!T17+$B$171</f>
        <v>-37.611117370892018</v>
      </c>
      <c r="C186" s="506">
        <f>Table!$S17+$C$171</f>
        <v>6.2855962441314546</v>
      </c>
      <c r="D186" s="506">
        <f>Table!$T17+$D$171</f>
        <v>-37.611117370892018</v>
      </c>
      <c r="E186" s="506">
        <f>Table!$S17+$E$171</f>
        <v>514.97104225352109</v>
      </c>
      <c r="F186" s="506">
        <f>Table!$T17+$F$171</f>
        <v>-37.611117370892018</v>
      </c>
      <c r="G186" s="506">
        <f>Table!$S17+$G$171</f>
        <v>514.97104225352109</v>
      </c>
      <c r="H186" s="506">
        <f>Table!$T17+$H$171</f>
        <v>-37.611117370892018</v>
      </c>
      <c r="I186" s="506">
        <f>Table!$S17+$I$171</f>
        <v>514.97104225352109</v>
      </c>
      <c r="J186" s="506">
        <f>Table!$T17+$J$171</f>
        <v>-37.611117370892018</v>
      </c>
      <c r="K186" s="506">
        <f>Table!$S17+$K$171</f>
        <v>514.97104225352109</v>
      </c>
      <c r="L186" s="506">
        <f>Table!$T17+$L$171</f>
        <v>-37.611117370892018</v>
      </c>
      <c r="M186" s="506">
        <f>Table!$S17+$M$171</f>
        <v>514.97104225352109</v>
      </c>
      <c r="N186" s="506">
        <f>Table!$T17+$N$171</f>
        <v>-37.611117370892018</v>
      </c>
      <c r="O186" s="506">
        <f>Table!$S17+$O$171</f>
        <v>514.97104225352109</v>
      </c>
      <c r="P186" s="506">
        <f>Table!$T17+$P$171</f>
        <v>-37.611117370892018</v>
      </c>
    </row>
    <row r="187" spans="1:16" x14ac:dyDescent="0.25">
      <c r="A187" s="506">
        <f>Table!S18+$A$171</f>
        <v>-9.6547981220657277</v>
      </c>
      <c r="B187" s="506">
        <f>Table!T18+$B$171</f>
        <v>-36.940582159624412</v>
      </c>
      <c r="C187" s="506">
        <f>Table!$S18+$C$171</f>
        <v>5.8381596244131453</v>
      </c>
      <c r="D187" s="506">
        <f>Table!$T18+$D$171</f>
        <v>-36.940582159624412</v>
      </c>
      <c r="E187" s="506">
        <f>Table!$S18+$E$171</f>
        <v>514.52360563380284</v>
      </c>
      <c r="F187" s="506">
        <f>Table!$T18+$F$171</f>
        <v>-36.940582159624412</v>
      </c>
      <c r="G187" s="506">
        <f>Table!$S18+$G$171</f>
        <v>514.52360563380284</v>
      </c>
      <c r="H187" s="506">
        <f>Table!$T18+$H$171</f>
        <v>-36.940582159624412</v>
      </c>
      <c r="I187" s="506">
        <f>Table!$S18+$I$171</f>
        <v>514.52360563380284</v>
      </c>
      <c r="J187" s="506">
        <f>Table!$T18+$J$171</f>
        <v>-36.940582159624412</v>
      </c>
      <c r="K187" s="506">
        <f>Table!$S18+$K$171</f>
        <v>514.52360563380284</v>
      </c>
      <c r="L187" s="506">
        <f>Table!$T18+$L$171</f>
        <v>-36.940582159624412</v>
      </c>
      <c r="M187" s="506">
        <f>Table!$S18+$M$171</f>
        <v>514.52360563380284</v>
      </c>
      <c r="N187" s="506">
        <f>Table!$T18+$N$171</f>
        <v>-36.940582159624412</v>
      </c>
      <c r="O187" s="506">
        <f>Table!$S18+$O$171</f>
        <v>514.52360563380284</v>
      </c>
      <c r="P187" s="506">
        <f>Table!$T18+$P$171</f>
        <v>-36.940582159624412</v>
      </c>
    </row>
    <row r="188" spans="1:16" x14ac:dyDescent="0.25">
      <c r="A188" s="506">
        <f>Table!S19+$A$171</f>
        <v>-9.8122065727699521</v>
      </c>
      <c r="B188" s="506">
        <f>Table!T19+$B$171</f>
        <v>-36.15023474178404</v>
      </c>
      <c r="C188" s="506">
        <f>Table!$S19+$C$171</f>
        <v>5.68075117370892</v>
      </c>
      <c r="D188" s="506">
        <f>Table!$T19+$D$171</f>
        <v>-36.15023474178404</v>
      </c>
      <c r="E188" s="506">
        <f>Table!$S19+$E$171</f>
        <v>514.36619718309862</v>
      </c>
      <c r="F188" s="506">
        <f>Table!$T19+$F$171</f>
        <v>-36.15023474178404</v>
      </c>
      <c r="G188" s="506">
        <f>Table!$S19+$G$171</f>
        <v>514.36619718309862</v>
      </c>
      <c r="H188" s="506">
        <f>Table!$T19+$H$171</f>
        <v>-36.15023474178404</v>
      </c>
      <c r="I188" s="506">
        <f>Table!$S19+$I$171</f>
        <v>514.36619718309862</v>
      </c>
      <c r="J188" s="506">
        <f>Table!$T19+$J$171</f>
        <v>-36.15023474178404</v>
      </c>
      <c r="K188" s="506">
        <f>Table!$S19+$K$171</f>
        <v>514.36619718309862</v>
      </c>
      <c r="L188" s="506">
        <f>Table!$T19+$L$171</f>
        <v>-36.15023474178404</v>
      </c>
      <c r="M188" s="506">
        <f>Table!$S19+$M$171</f>
        <v>514.36619718309862</v>
      </c>
      <c r="N188" s="506">
        <f>Table!$T19+$N$171</f>
        <v>-36.15023474178404</v>
      </c>
      <c r="O188" s="506">
        <f>Table!$S19+$O$171</f>
        <v>514.36619718309862</v>
      </c>
      <c r="P188" s="506">
        <f>Table!$T19+$P$171</f>
        <v>-36.15023474178404</v>
      </c>
    </row>
    <row r="189" spans="1:16" x14ac:dyDescent="0.25">
      <c r="A189" s="506">
        <f>Table!S20+$A$171</f>
        <v>-10.84507042253521</v>
      </c>
      <c r="B189" s="506">
        <f>Table!T20+$B$171</f>
        <v>-36.15023474178404</v>
      </c>
      <c r="C189" s="506">
        <f>Table!$S20+$C$171</f>
        <v>4.647887323943662</v>
      </c>
      <c r="D189" s="506">
        <f>Table!$T20+$D$171</f>
        <v>-36.15023474178404</v>
      </c>
      <c r="E189" s="506">
        <f>Table!$S20+$E$171</f>
        <v>513.33333333333337</v>
      </c>
      <c r="F189" s="506">
        <f>Table!$T20+$F$171</f>
        <v>-36.15023474178404</v>
      </c>
      <c r="G189" s="506">
        <f>Table!$S20+$G$171</f>
        <v>513.33333333333337</v>
      </c>
      <c r="H189" s="506">
        <f>Table!$T20+$H$171</f>
        <v>-36.15023474178404</v>
      </c>
      <c r="I189" s="506">
        <f>Table!$S20+$I$171</f>
        <v>513.33333333333337</v>
      </c>
      <c r="J189" s="506">
        <f>Table!$T20+$J$171</f>
        <v>-36.15023474178404</v>
      </c>
      <c r="K189" s="506">
        <f>Table!$S20+$K$171</f>
        <v>513.33333333333337</v>
      </c>
      <c r="L189" s="506">
        <f>Table!$T20+$L$171</f>
        <v>-36.15023474178404</v>
      </c>
      <c r="M189" s="506">
        <f>Table!$S20+$M$171</f>
        <v>513.33333333333337</v>
      </c>
      <c r="N189" s="506">
        <f>Table!$T20+$N$171</f>
        <v>-36.15023474178404</v>
      </c>
      <c r="O189" s="506">
        <f>Table!$S20+$O$171</f>
        <v>513.33333333333337</v>
      </c>
      <c r="P189" s="506">
        <f>Table!$T20+$P$171</f>
        <v>-36.15023474178404</v>
      </c>
    </row>
    <row r="190" spans="1:16" x14ac:dyDescent="0.25">
      <c r="A190" s="506">
        <f>Table!S21+$A$171</f>
        <v>-4.647887323943662</v>
      </c>
      <c r="B190" s="506">
        <f>Table!T21+$B$171</f>
        <v>-36.15023474178404</v>
      </c>
      <c r="C190" s="506">
        <f>Table!$S21+$C$171</f>
        <v>10.84507042253521</v>
      </c>
      <c r="D190" s="506">
        <f>Table!$T21+$D$171</f>
        <v>-36.15023474178404</v>
      </c>
      <c r="E190" s="506">
        <f>Table!$S21+$E$171</f>
        <v>519.53051643192487</v>
      </c>
      <c r="F190" s="506">
        <f>Table!$T21+$F$171</f>
        <v>-36.15023474178404</v>
      </c>
      <c r="G190" s="506">
        <f>Table!$S21+$G$171</f>
        <v>519.53051643192487</v>
      </c>
      <c r="H190" s="506">
        <f>Table!$T21+$H$171</f>
        <v>-36.15023474178404</v>
      </c>
      <c r="I190" s="506">
        <f>Table!$S21+$I$171</f>
        <v>519.53051643192487</v>
      </c>
      <c r="J190" s="506">
        <f>Table!$T21+$J$171</f>
        <v>-36.15023474178404</v>
      </c>
      <c r="K190" s="506">
        <f>Table!$S21+$K$171</f>
        <v>519.53051643192487</v>
      </c>
      <c r="L190" s="506">
        <f>Table!$T21+$L$171</f>
        <v>-36.15023474178404</v>
      </c>
      <c r="M190" s="506">
        <f>Table!$S21+$M$171</f>
        <v>519.53051643192487</v>
      </c>
      <c r="N190" s="506">
        <f>Table!$T21+$N$171</f>
        <v>-36.15023474178404</v>
      </c>
      <c r="O190" s="506">
        <f>Table!$S21+$O$171</f>
        <v>519.53051643192487</v>
      </c>
      <c r="P190" s="506">
        <f>Table!$T21+$P$171</f>
        <v>-36.15023474178404</v>
      </c>
    </row>
    <row r="191" spans="1:16" x14ac:dyDescent="0.25">
      <c r="A191" s="506">
        <f>Table!S22+$A$171</f>
        <v>-7.7464788732394361</v>
      </c>
      <c r="B191" s="506">
        <f>Table!T22+$B$171</f>
        <v>-39.248826291079816</v>
      </c>
      <c r="C191" s="506">
        <f>Table!$S22+$C$171</f>
        <v>7.7464788732394361</v>
      </c>
      <c r="D191" s="506">
        <f>Table!$T22+$D$171</f>
        <v>-39.248826291079816</v>
      </c>
      <c r="E191" s="506">
        <f>Table!$S22+$E$171</f>
        <v>516.43192488262912</v>
      </c>
      <c r="F191" s="506">
        <f>Table!$T22+$F$171</f>
        <v>-39.248826291079816</v>
      </c>
      <c r="G191" s="506">
        <f>Table!$S22+$G$171</f>
        <v>516.43192488262912</v>
      </c>
      <c r="H191" s="506">
        <f>Table!$T22+$H$171</f>
        <v>-39.248826291079816</v>
      </c>
      <c r="I191" s="506">
        <f>Table!$S22+$I$171</f>
        <v>516.43192488262912</v>
      </c>
      <c r="J191" s="506">
        <f>Table!$T22+$J$171</f>
        <v>-39.248826291079816</v>
      </c>
      <c r="K191" s="506">
        <f>Table!$S22+$K$171</f>
        <v>516.43192488262912</v>
      </c>
      <c r="L191" s="506">
        <f>Table!$T22+$L$171</f>
        <v>-39.248826291079816</v>
      </c>
      <c r="M191" s="506">
        <f>Table!$S22+$M$171</f>
        <v>516.43192488262912</v>
      </c>
      <c r="N191" s="506">
        <f>Table!$T22+$N$171</f>
        <v>-39.248826291079816</v>
      </c>
      <c r="O191" s="506">
        <f>Table!$S22+$O$171</f>
        <v>516.43192488262912</v>
      </c>
      <c r="P191" s="506">
        <f>Table!$T22+$P$171</f>
        <v>-39.248826291079816</v>
      </c>
    </row>
    <row r="192" spans="1:16" x14ac:dyDescent="0.25">
      <c r="A192" s="506">
        <f>Table!S23+$A$171</f>
        <v>-7.7464788732394361</v>
      </c>
      <c r="B192" s="506">
        <f>Table!T23+$B$171</f>
        <v>-33.051643192488264</v>
      </c>
      <c r="C192" s="506">
        <f>Table!$S23+$C$171</f>
        <v>7.7464788732394361</v>
      </c>
      <c r="D192" s="506">
        <f>Table!$T23+$D$171</f>
        <v>-33.051643192488264</v>
      </c>
      <c r="E192" s="506">
        <f>Table!$S23+$E$171</f>
        <v>516.43192488262912</v>
      </c>
      <c r="F192" s="506">
        <f>Table!$T23+$F$171</f>
        <v>-33.051643192488264</v>
      </c>
      <c r="G192" s="506">
        <f>Table!$S23+$G$171</f>
        <v>516.43192488262912</v>
      </c>
      <c r="H192" s="506">
        <f>Table!$T23+$H$171</f>
        <v>-33.051643192488264</v>
      </c>
      <c r="I192" s="506">
        <f>Table!$S23+$I$171</f>
        <v>516.43192488262912</v>
      </c>
      <c r="J192" s="506">
        <f>Table!$T23+$J$171</f>
        <v>-33.051643192488264</v>
      </c>
      <c r="K192" s="506">
        <f>Table!$S23+$K$171</f>
        <v>516.43192488262912</v>
      </c>
      <c r="L192" s="506">
        <f>Table!$T23+$L$171</f>
        <v>-33.051643192488264</v>
      </c>
      <c r="M192" s="506">
        <f>Table!$S23+$M$171</f>
        <v>516.43192488262912</v>
      </c>
      <c r="N192" s="506">
        <f>Table!$T23+$N$171</f>
        <v>-33.051643192488264</v>
      </c>
      <c r="O192" s="506">
        <f>Table!$S23+$O$171</f>
        <v>516.43192488262912</v>
      </c>
      <c r="P192" s="506">
        <f>Table!$T23+$P$171</f>
        <v>-33.051643192488264</v>
      </c>
    </row>
    <row r="193" spans="1:9" x14ac:dyDescent="0.25">
      <c r="A193" s="571" t="s">
        <v>1015</v>
      </c>
      <c r="B193" s="571"/>
      <c r="C193" s="571"/>
      <c r="D193" s="571"/>
      <c r="E193" s="571"/>
      <c r="F193" s="571"/>
      <c r="G193" s="571"/>
      <c r="H193" s="571"/>
      <c r="I193" s="571"/>
    </row>
    <row r="194" spans="1:9" x14ac:dyDescent="0.25">
      <c r="A194" s="498" t="s">
        <v>72</v>
      </c>
      <c r="B194" s="20">
        <v>0</v>
      </c>
      <c r="C194" s="20">
        <v>0</v>
      </c>
      <c r="D194" s="20">
        <f t="shared" ref="D194:D216" si="10">B194-$B$217</f>
        <v>1.4</v>
      </c>
      <c r="E194" s="20">
        <f t="shared" ref="E194:E216" si="11">C194-$C$217</f>
        <v>0</v>
      </c>
      <c r="F194" s="499">
        <f t="shared" ref="F194:F216" si="12">D194-0.5*$D$217</f>
        <v>-2.8000000000000003</v>
      </c>
      <c r="G194" s="499">
        <f t="shared" ref="G194:G216" si="13">E194-0.5*$E$217</f>
        <v>-3.74</v>
      </c>
      <c r="H194" s="499">
        <f t="shared" ref="H194:H216" si="14">F194*$F$218/$F$217</f>
        <v>-18.666666666666668</v>
      </c>
      <c r="I194" s="499">
        <f t="shared" ref="I194:I216" si="15">G194*$F$218/$F$217</f>
        <v>-24.933333333333334</v>
      </c>
    </row>
    <row r="195" spans="1:9" x14ac:dyDescent="0.25">
      <c r="A195" s="498" t="s">
        <v>71</v>
      </c>
      <c r="B195" s="20">
        <v>0</v>
      </c>
      <c r="C195" s="20">
        <f>'Input (1)'!C43</f>
        <v>0.75</v>
      </c>
      <c r="D195" s="20">
        <f t="shared" si="10"/>
        <v>1.4</v>
      </c>
      <c r="E195" s="20">
        <f t="shared" si="11"/>
        <v>0.75</v>
      </c>
      <c r="F195" s="499">
        <f t="shared" si="12"/>
        <v>-2.8000000000000003</v>
      </c>
      <c r="G195" s="499">
        <f t="shared" si="13"/>
        <v>-2.99</v>
      </c>
      <c r="H195" s="499">
        <f t="shared" si="14"/>
        <v>-18.666666666666668</v>
      </c>
      <c r="I195" s="499">
        <f t="shared" si="15"/>
        <v>-19.933333333333334</v>
      </c>
    </row>
    <row r="196" spans="1:9" x14ac:dyDescent="0.25">
      <c r="A196" s="498" t="s">
        <v>73</v>
      </c>
      <c r="B196" s="20">
        <f>B195+'Input (1)'!F43</f>
        <v>3</v>
      </c>
      <c r="C196" s="20">
        <f>C195+'Input (1)'!C42</f>
        <v>1.25</v>
      </c>
      <c r="D196" s="20">
        <f t="shared" si="10"/>
        <v>4.4000000000000004</v>
      </c>
      <c r="E196" s="20">
        <f t="shared" si="11"/>
        <v>1.25</v>
      </c>
      <c r="F196" s="499">
        <f t="shared" si="12"/>
        <v>0.20000000000000018</v>
      </c>
      <c r="G196" s="499">
        <f t="shared" si="13"/>
        <v>-2.4900000000000002</v>
      </c>
      <c r="H196" s="499">
        <f t="shared" si="14"/>
        <v>1.3333333333333344</v>
      </c>
      <c r="I196" s="499">
        <f t="shared" si="15"/>
        <v>-16.599999999999998</v>
      </c>
    </row>
    <row r="197" spans="1:9" x14ac:dyDescent="0.25">
      <c r="A197" s="498" t="s">
        <v>74</v>
      </c>
      <c r="B197" s="20">
        <f>B196</f>
        <v>3</v>
      </c>
      <c r="C197" s="20">
        <f>C196+'Input (1)'!C41</f>
        <v>3.35</v>
      </c>
      <c r="D197" s="20">
        <f t="shared" si="10"/>
        <v>4.4000000000000004</v>
      </c>
      <c r="E197" s="20">
        <f t="shared" si="11"/>
        <v>3.35</v>
      </c>
      <c r="F197" s="499">
        <f t="shared" si="12"/>
        <v>0.20000000000000018</v>
      </c>
      <c r="G197" s="499">
        <f t="shared" si="13"/>
        <v>-0.39000000000000012</v>
      </c>
      <c r="H197" s="499">
        <f t="shared" si="14"/>
        <v>1.3333333333333344</v>
      </c>
      <c r="I197" s="499">
        <f t="shared" si="15"/>
        <v>-2.6000000000000005</v>
      </c>
    </row>
    <row r="198" spans="1:9" x14ac:dyDescent="0.25">
      <c r="A198" s="498" t="s">
        <v>75</v>
      </c>
      <c r="B198" s="20">
        <f>B197-'Input (1)'!F40</f>
        <v>2.4</v>
      </c>
      <c r="C198" s="20">
        <f>C197+'Input (1)'!C40</f>
        <v>3.95</v>
      </c>
      <c r="D198" s="20">
        <f t="shared" si="10"/>
        <v>3.8</v>
      </c>
      <c r="E198" s="20">
        <f t="shared" si="11"/>
        <v>3.95</v>
      </c>
      <c r="F198" s="499">
        <f t="shared" si="12"/>
        <v>-0.40000000000000036</v>
      </c>
      <c r="G198" s="499">
        <f t="shared" si="13"/>
        <v>0.20999999999999996</v>
      </c>
      <c r="H198" s="499">
        <f t="shared" si="14"/>
        <v>-2.6666666666666687</v>
      </c>
      <c r="I198" s="499">
        <f t="shared" si="15"/>
        <v>1.3999999999999997</v>
      </c>
    </row>
    <row r="199" spans="1:9" x14ac:dyDescent="0.25">
      <c r="A199" s="498" t="s">
        <v>76</v>
      </c>
      <c r="B199" s="20">
        <f>B198</f>
        <v>2.4</v>
      </c>
      <c r="C199" s="20">
        <f>C198+'Input (1)'!C39</f>
        <v>6.58</v>
      </c>
      <c r="D199" s="20">
        <f t="shared" si="10"/>
        <v>3.8</v>
      </c>
      <c r="E199" s="20">
        <f t="shared" si="11"/>
        <v>6.58</v>
      </c>
      <c r="F199" s="499">
        <f t="shared" si="12"/>
        <v>-0.40000000000000036</v>
      </c>
      <c r="G199" s="499">
        <f t="shared" si="13"/>
        <v>2.84</v>
      </c>
      <c r="H199" s="499">
        <f t="shared" si="14"/>
        <v>-2.6666666666666687</v>
      </c>
      <c r="I199" s="499">
        <f t="shared" si="15"/>
        <v>18.93333333333333</v>
      </c>
    </row>
    <row r="200" spans="1:9" x14ac:dyDescent="0.25">
      <c r="A200" s="498" t="s">
        <v>77</v>
      </c>
      <c r="B200" s="20">
        <f>B199+('Input (1)'!F39-'Input (1)'!F38)</f>
        <v>2.6</v>
      </c>
      <c r="C200" s="20">
        <f>C199</f>
        <v>6.58</v>
      </c>
      <c r="D200" s="20">
        <f t="shared" si="10"/>
        <v>4</v>
      </c>
      <c r="E200" s="20">
        <f t="shared" si="11"/>
        <v>6.58</v>
      </c>
      <c r="F200" s="499">
        <f t="shared" si="12"/>
        <v>-0.20000000000000018</v>
      </c>
      <c r="G200" s="499">
        <f t="shared" si="13"/>
        <v>2.84</v>
      </c>
      <c r="H200" s="499">
        <f t="shared" si="14"/>
        <v>-1.3333333333333344</v>
      </c>
      <c r="I200" s="499">
        <f t="shared" si="15"/>
        <v>18.93333333333333</v>
      </c>
    </row>
    <row r="201" spans="1:9" x14ac:dyDescent="0.25">
      <c r="A201" s="498" t="s">
        <v>78</v>
      </c>
      <c r="B201" s="20">
        <f>B200</f>
        <v>2.6</v>
      </c>
      <c r="C201" s="20">
        <f>C200+'Input (1)'!C38</f>
        <v>7.48</v>
      </c>
      <c r="D201" s="20">
        <f t="shared" si="10"/>
        <v>4</v>
      </c>
      <c r="E201" s="20">
        <f t="shared" si="11"/>
        <v>7.48</v>
      </c>
      <c r="F201" s="499">
        <f t="shared" si="12"/>
        <v>-0.20000000000000018</v>
      </c>
      <c r="G201" s="499">
        <f t="shared" si="13"/>
        <v>3.74</v>
      </c>
      <c r="H201" s="499">
        <f t="shared" si="14"/>
        <v>-1.3333333333333344</v>
      </c>
      <c r="I201" s="499">
        <f t="shared" si="15"/>
        <v>24.933333333333334</v>
      </c>
    </row>
    <row r="202" spans="1:9" x14ac:dyDescent="0.25">
      <c r="A202" s="498" t="s">
        <v>79</v>
      </c>
      <c r="B202" s="20">
        <f>B201+'Input (1)'!F38</f>
        <v>2.95</v>
      </c>
      <c r="C202" s="20">
        <f>C201</f>
        <v>7.48</v>
      </c>
      <c r="D202" s="20">
        <f t="shared" si="10"/>
        <v>4.3499999999999996</v>
      </c>
      <c r="E202" s="20">
        <f t="shared" si="11"/>
        <v>7.48</v>
      </c>
      <c r="F202" s="499">
        <f t="shared" si="12"/>
        <v>0.14999999999999947</v>
      </c>
      <c r="G202" s="499">
        <f t="shared" si="13"/>
        <v>3.74</v>
      </c>
      <c r="H202" s="499">
        <f t="shared" si="14"/>
        <v>0.99999999999999645</v>
      </c>
      <c r="I202" s="499">
        <f t="shared" si="15"/>
        <v>24.933333333333334</v>
      </c>
    </row>
    <row r="203" spans="1:9" x14ac:dyDescent="0.25">
      <c r="A203" s="498" t="s">
        <v>80</v>
      </c>
      <c r="B203" s="20">
        <f>B202</f>
        <v>2.95</v>
      </c>
      <c r="C203" s="20">
        <f>C202-'Input (1)'!C46</f>
        <v>4.9800000000000004</v>
      </c>
      <c r="D203" s="20">
        <f t="shared" si="10"/>
        <v>4.3499999999999996</v>
      </c>
      <c r="E203" s="20">
        <f t="shared" si="11"/>
        <v>4.9800000000000004</v>
      </c>
      <c r="F203" s="499">
        <f t="shared" si="12"/>
        <v>0.14999999999999947</v>
      </c>
      <c r="G203" s="499">
        <f t="shared" si="13"/>
        <v>1.2400000000000002</v>
      </c>
      <c r="H203" s="499">
        <f t="shared" si="14"/>
        <v>0.99999999999999645</v>
      </c>
      <c r="I203" s="499">
        <f t="shared" si="15"/>
        <v>8.2666666666666675</v>
      </c>
    </row>
    <row r="204" spans="1:9" x14ac:dyDescent="0.25">
      <c r="A204" s="498" t="s">
        <v>81</v>
      </c>
      <c r="B204" s="20">
        <f>B203+'Input (1)'!F42+'Input (1)'!F40-'Input (1)'!F39</f>
        <v>4</v>
      </c>
      <c r="C204" s="20">
        <f>C203</f>
        <v>4.9800000000000004</v>
      </c>
      <c r="D204" s="20">
        <f t="shared" si="10"/>
        <v>5.4</v>
      </c>
      <c r="E204" s="20">
        <f t="shared" si="11"/>
        <v>4.9800000000000004</v>
      </c>
      <c r="F204" s="499">
        <f t="shared" si="12"/>
        <v>1.2000000000000002</v>
      </c>
      <c r="G204" s="499">
        <f t="shared" si="13"/>
        <v>1.2400000000000002</v>
      </c>
      <c r="H204" s="499">
        <f t="shared" si="14"/>
        <v>8.0000000000000018</v>
      </c>
      <c r="I204" s="499">
        <f t="shared" si="15"/>
        <v>8.2666666666666675</v>
      </c>
    </row>
    <row r="205" spans="1:9" x14ac:dyDescent="0.25">
      <c r="A205" s="498" t="s">
        <v>82</v>
      </c>
      <c r="B205" s="20">
        <f>B204</f>
        <v>4</v>
      </c>
      <c r="C205" s="20">
        <f>C204-'Input (1)'!C47</f>
        <v>4.4300000000000006</v>
      </c>
      <c r="D205" s="20">
        <f t="shared" si="10"/>
        <v>5.4</v>
      </c>
      <c r="E205" s="20">
        <f t="shared" si="11"/>
        <v>4.4300000000000006</v>
      </c>
      <c r="F205" s="499">
        <f t="shared" si="12"/>
        <v>1.2000000000000002</v>
      </c>
      <c r="G205" s="499">
        <f t="shared" si="13"/>
        <v>0.69000000000000039</v>
      </c>
      <c r="H205" s="499">
        <f t="shared" si="14"/>
        <v>8.0000000000000018</v>
      </c>
      <c r="I205" s="499">
        <f t="shared" si="15"/>
        <v>4.6000000000000023</v>
      </c>
    </row>
    <row r="206" spans="1:9" x14ac:dyDescent="0.25">
      <c r="A206" s="498" t="s">
        <v>83</v>
      </c>
      <c r="B206" s="20">
        <f>B205+'Input (1)'!F45</f>
        <v>4.5999999999999996</v>
      </c>
      <c r="C206" s="20">
        <f>C205</f>
        <v>4.4300000000000006</v>
      </c>
      <c r="D206" s="20">
        <f t="shared" si="10"/>
        <v>6</v>
      </c>
      <c r="E206" s="20">
        <f t="shared" si="11"/>
        <v>4.4300000000000006</v>
      </c>
      <c r="F206" s="499">
        <f t="shared" si="12"/>
        <v>1.7999999999999998</v>
      </c>
      <c r="G206" s="499">
        <f t="shared" si="13"/>
        <v>0.69000000000000039</v>
      </c>
      <c r="H206" s="499">
        <f t="shared" si="14"/>
        <v>11.999999999999998</v>
      </c>
      <c r="I206" s="499">
        <f t="shared" si="15"/>
        <v>4.6000000000000023</v>
      </c>
    </row>
    <row r="207" spans="1:9" x14ac:dyDescent="0.25">
      <c r="A207" s="498" t="s">
        <v>84</v>
      </c>
      <c r="B207" s="20">
        <f>B206</f>
        <v>4.5999999999999996</v>
      </c>
      <c r="C207" s="20">
        <f>C206-'Input (1)'!C48</f>
        <v>3.6300000000000008</v>
      </c>
      <c r="D207" s="20">
        <f t="shared" si="10"/>
        <v>6</v>
      </c>
      <c r="E207" s="20">
        <f t="shared" si="11"/>
        <v>3.6300000000000008</v>
      </c>
      <c r="F207" s="499">
        <f t="shared" si="12"/>
        <v>1.7999999999999998</v>
      </c>
      <c r="G207" s="499">
        <f t="shared" si="13"/>
        <v>-0.10999999999999943</v>
      </c>
      <c r="H207" s="499">
        <f t="shared" si="14"/>
        <v>11.999999999999998</v>
      </c>
      <c r="I207" s="499">
        <f t="shared" si="15"/>
        <v>-0.73333333333332951</v>
      </c>
    </row>
    <row r="208" spans="1:9" x14ac:dyDescent="0.25">
      <c r="A208" s="498" t="s">
        <v>85</v>
      </c>
      <c r="B208" s="20">
        <f>B207-'Input (1)'!F45</f>
        <v>3.9999999999999996</v>
      </c>
      <c r="C208" s="20">
        <f>C207-'Input (1)'!C49</f>
        <v>3.0300000000000007</v>
      </c>
      <c r="D208" s="20">
        <f t="shared" si="10"/>
        <v>5.3999999999999995</v>
      </c>
      <c r="E208" s="20">
        <f t="shared" si="11"/>
        <v>3.0300000000000007</v>
      </c>
      <c r="F208" s="499">
        <f t="shared" si="12"/>
        <v>1.1999999999999993</v>
      </c>
      <c r="G208" s="499">
        <f t="shared" si="13"/>
        <v>-0.70999999999999952</v>
      </c>
      <c r="H208" s="499">
        <f t="shared" si="14"/>
        <v>7.9999999999999947</v>
      </c>
      <c r="I208" s="499">
        <f t="shared" si="15"/>
        <v>-4.7333333333333307</v>
      </c>
    </row>
    <row r="209" spans="1:9" x14ac:dyDescent="0.25">
      <c r="A209" s="498" t="s">
        <v>86</v>
      </c>
      <c r="B209" s="20">
        <f>B208</f>
        <v>3.9999999999999996</v>
      </c>
      <c r="C209" s="20">
        <f>C208-'Input (1)'!C50</f>
        <v>1.25</v>
      </c>
      <c r="D209" s="20">
        <f t="shared" si="10"/>
        <v>5.3999999999999995</v>
      </c>
      <c r="E209" s="20">
        <f t="shared" si="11"/>
        <v>1.25</v>
      </c>
      <c r="F209" s="499">
        <f t="shared" si="12"/>
        <v>1.1999999999999993</v>
      </c>
      <c r="G209" s="499">
        <f t="shared" si="13"/>
        <v>-2.4900000000000002</v>
      </c>
      <c r="H209" s="499">
        <f t="shared" si="14"/>
        <v>7.9999999999999947</v>
      </c>
      <c r="I209" s="499">
        <f t="shared" si="15"/>
        <v>-16.599999999999998</v>
      </c>
    </row>
    <row r="210" spans="1:9" x14ac:dyDescent="0.25">
      <c r="A210" s="498" t="s">
        <v>87</v>
      </c>
      <c r="B210" s="20">
        <f>B209+'Input (1)'!F44</f>
        <v>7</v>
      </c>
      <c r="C210" s="20">
        <f>C209-'Input (1)'!C42</f>
        <v>0.75</v>
      </c>
      <c r="D210" s="20">
        <f t="shared" si="10"/>
        <v>8.4</v>
      </c>
      <c r="E210" s="20">
        <f t="shared" si="11"/>
        <v>0.75</v>
      </c>
      <c r="F210" s="499">
        <f t="shared" si="12"/>
        <v>4.2</v>
      </c>
      <c r="G210" s="499">
        <f t="shared" si="13"/>
        <v>-2.99</v>
      </c>
      <c r="H210" s="499">
        <f t="shared" si="14"/>
        <v>28</v>
      </c>
      <c r="I210" s="499">
        <f t="shared" si="15"/>
        <v>-19.933333333333334</v>
      </c>
    </row>
    <row r="211" spans="1:9" x14ac:dyDescent="0.25">
      <c r="A211" s="498" t="s">
        <v>88</v>
      </c>
      <c r="B211" s="20">
        <f>B210</f>
        <v>7</v>
      </c>
      <c r="C211" s="20">
        <f>C210-'Input (1)'!C43</f>
        <v>0</v>
      </c>
      <c r="D211" s="20">
        <f t="shared" si="10"/>
        <v>8.4</v>
      </c>
      <c r="E211" s="20">
        <f t="shared" si="11"/>
        <v>0</v>
      </c>
      <c r="F211" s="499">
        <f t="shared" si="12"/>
        <v>4.2</v>
      </c>
      <c r="G211" s="499">
        <f t="shared" si="13"/>
        <v>-3.74</v>
      </c>
      <c r="H211" s="499">
        <f t="shared" si="14"/>
        <v>28</v>
      </c>
      <c r="I211" s="499">
        <f t="shared" si="15"/>
        <v>-24.933333333333334</v>
      </c>
    </row>
    <row r="212" spans="1:9" x14ac:dyDescent="0.25">
      <c r="A212" s="498" t="s">
        <v>990</v>
      </c>
      <c r="B212" s="20">
        <v>0</v>
      </c>
      <c r="C212" s="20">
        <v>0</v>
      </c>
      <c r="D212" s="20">
        <f t="shared" si="10"/>
        <v>1.4</v>
      </c>
      <c r="E212" s="20">
        <f t="shared" si="11"/>
        <v>0</v>
      </c>
      <c r="F212" s="499">
        <f t="shared" si="12"/>
        <v>-2.8000000000000003</v>
      </c>
      <c r="G212" s="499">
        <f t="shared" si="13"/>
        <v>-3.74</v>
      </c>
      <c r="H212" s="499">
        <f t="shared" si="14"/>
        <v>-18.666666666666668</v>
      </c>
      <c r="I212" s="499">
        <f t="shared" si="15"/>
        <v>-24.933333333333334</v>
      </c>
    </row>
    <row r="213" spans="1:9" x14ac:dyDescent="0.25">
      <c r="A213" s="498" t="s">
        <v>71</v>
      </c>
      <c r="B213" s="20">
        <f>B195</f>
        <v>0</v>
      </c>
      <c r="C213" s="20">
        <f>C195</f>
        <v>0.75</v>
      </c>
      <c r="D213" s="20">
        <f t="shared" si="10"/>
        <v>1.4</v>
      </c>
      <c r="E213" s="20">
        <f t="shared" si="11"/>
        <v>0.75</v>
      </c>
      <c r="F213" s="499">
        <f t="shared" si="12"/>
        <v>-2.8000000000000003</v>
      </c>
      <c r="G213" s="499">
        <f t="shared" si="13"/>
        <v>-2.99</v>
      </c>
      <c r="H213" s="499">
        <f t="shared" si="14"/>
        <v>-18.666666666666668</v>
      </c>
      <c r="I213" s="499">
        <f t="shared" si="15"/>
        <v>-19.933333333333334</v>
      </c>
    </row>
    <row r="214" spans="1:9" x14ac:dyDescent="0.25">
      <c r="A214" s="498" t="s">
        <v>991</v>
      </c>
      <c r="B214" s="20">
        <f>B201-'Input (1)'!F54</f>
        <v>-1.4</v>
      </c>
      <c r="C214" s="20">
        <f>C201-'Input (1)'!C54</f>
        <v>1.4800000000000004</v>
      </c>
      <c r="D214" s="20">
        <f t="shared" si="10"/>
        <v>0</v>
      </c>
      <c r="E214" s="20">
        <f t="shared" si="11"/>
        <v>1.4800000000000004</v>
      </c>
      <c r="F214" s="499">
        <f t="shared" si="12"/>
        <v>-4.2</v>
      </c>
      <c r="G214" s="499">
        <f t="shared" si="13"/>
        <v>-2.2599999999999998</v>
      </c>
      <c r="H214" s="499">
        <f t="shared" si="14"/>
        <v>-28</v>
      </c>
      <c r="I214" s="499">
        <f t="shared" si="15"/>
        <v>-15.066666666666665</v>
      </c>
    </row>
    <row r="215" spans="1:9" x14ac:dyDescent="0.25">
      <c r="A215" s="498" t="s">
        <v>992</v>
      </c>
      <c r="B215" s="20">
        <f>B214</f>
        <v>-1.4</v>
      </c>
      <c r="C215" s="20">
        <f>C201</f>
        <v>7.48</v>
      </c>
      <c r="D215" s="20">
        <f t="shared" si="10"/>
        <v>0</v>
      </c>
      <c r="E215" s="20">
        <f t="shared" si="11"/>
        <v>7.48</v>
      </c>
      <c r="F215" s="499">
        <f t="shared" si="12"/>
        <v>-4.2</v>
      </c>
      <c r="G215" s="499">
        <f t="shared" si="13"/>
        <v>3.74</v>
      </c>
      <c r="H215" s="499">
        <f t="shared" si="14"/>
        <v>-28</v>
      </c>
      <c r="I215" s="499">
        <f t="shared" si="15"/>
        <v>24.933333333333334</v>
      </c>
    </row>
    <row r="216" spans="1:9" x14ac:dyDescent="0.25">
      <c r="A216" s="498" t="s">
        <v>78</v>
      </c>
      <c r="B216" s="20">
        <f>B201</f>
        <v>2.6</v>
      </c>
      <c r="C216" s="20">
        <f>C201</f>
        <v>7.48</v>
      </c>
      <c r="D216" s="20">
        <f t="shared" si="10"/>
        <v>4</v>
      </c>
      <c r="E216" s="20">
        <f t="shared" si="11"/>
        <v>7.48</v>
      </c>
      <c r="F216" s="499">
        <f t="shared" si="12"/>
        <v>-0.20000000000000018</v>
      </c>
      <c r="G216" s="499">
        <f t="shared" si="13"/>
        <v>3.74</v>
      </c>
      <c r="H216" s="499">
        <f t="shared" si="14"/>
        <v>-1.3333333333333344</v>
      </c>
      <c r="I216" s="499">
        <f t="shared" si="15"/>
        <v>24.933333333333334</v>
      </c>
    </row>
    <row r="217" spans="1:9" x14ac:dyDescent="0.25">
      <c r="A217" s="1"/>
      <c r="B217" s="20">
        <f>MIN(B194:B216)</f>
        <v>-1.4</v>
      </c>
      <c r="C217" s="20">
        <f>MIN(C194:C216)</f>
        <v>0</v>
      </c>
      <c r="D217" s="499">
        <f>MAX(D194:D216)</f>
        <v>8.4</v>
      </c>
      <c r="E217" s="499">
        <f>MAX(E194:E216)</f>
        <v>7.48</v>
      </c>
      <c r="F217" s="499">
        <f>MAX(F194:G216,ABS(MIN(F194:G216)))</f>
        <v>4.2</v>
      </c>
      <c r="G217" s="499"/>
      <c r="H217" s="499"/>
      <c r="I217" s="499"/>
    </row>
    <row r="218" spans="1:9" x14ac:dyDescent="0.25">
      <c r="A218" s="1"/>
      <c r="B218" s="20"/>
      <c r="C218" s="20"/>
      <c r="D218" s="499"/>
      <c r="E218" s="499"/>
      <c r="F218" s="499">
        <v>28</v>
      </c>
      <c r="G218" s="499"/>
      <c r="H218" s="499"/>
      <c r="I218" s="499"/>
    </row>
  </sheetData>
  <mergeCells count="3">
    <mergeCell ref="Q24:T24"/>
    <mergeCell ref="Q1:T1"/>
    <mergeCell ref="A193:I193"/>
  </mergeCells>
  <pageMargins left="0.7" right="0.7" top="0.75" bottom="0.75" header="0.3" footer="0.3"/>
  <pageSetup orientation="portrait" r:id="rId1"/>
  <ignoredErrors>
    <ignoredError sqref="A1:XFD34 A175:XFD191 A174:Q174 S174:XFD174 A219:XFD1048576 J193:XFD218 B192:XFD192 A36:XFD36 A35:P35 R35:XFD35 A60:XFD173 A37:P59 Z37:XFD5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9A175-4D56-4E05-BC23-B1C7C4E88E5E}">
  <sheetPr>
    <tabColor theme="8" tint="0.79998168889431442"/>
  </sheetPr>
  <dimension ref="A1:P93"/>
  <sheetViews>
    <sheetView showGridLines="0" topLeftCell="B77" workbookViewId="0">
      <selection activeCell="S32" sqref="S32"/>
    </sheetView>
  </sheetViews>
  <sheetFormatPr defaultColWidth="8.85546875" defaultRowHeight="19.149999999999999" customHeight="1" x14ac:dyDescent="0.25"/>
  <cols>
    <col min="1" max="1" width="4.42578125" style="14" bestFit="1" customWidth="1"/>
    <col min="2" max="2" width="18" style="1" bestFit="1" customWidth="1"/>
    <col min="3" max="7" width="9" style="1" customWidth="1"/>
    <col min="8" max="8" width="9" style="7" customWidth="1"/>
    <col min="9" max="9" width="9" style="514" customWidth="1"/>
    <col min="10" max="10" width="9" style="5" customWidth="1"/>
    <col min="11" max="13" width="9" style="1" customWidth="1"/>
    <col min="14" max="14" width="17.5703125" style="1" bestFit="1" customWidth="1"/>
    <col min="15" max="21" width="12.140625" style="1" customWidth="1"/>
    <col min="22" max="22" width="4.7109375" style="1" bestFit="1" customWidth="1"/>
    <col min="23" max="16384" width="8.85546875" style="1"/>
  </cols>
  <sheetData>
    <row r="1" spans="1:13" ht="19.149999999999999" customHeight="1" x14ac:dyDescent="0.25">
      <c r="A1" s="14" t="s">
        <v>4</v>
      </c>
      <c r="B1" s="9" t="s">
        <v>1053</v>
      </c>
      <c r="I1" s="519"/>
    </row>
    <row r="2" spans="1:13" ht="37.5" customHeight="1" x14ac:dyDescent="0.25">
      <c r="B2" s="566" t="s">
        <v>1054</v>
      </c>
      <c r="C2" s="566"/>
      <c r="D2" s="566"/>
      <c r="E2" s="566"/>
      <c r="F2" s="566"/>
      <c r="H2" s="7" t="s">
        <v>151</v>
      </c>
      <c r="I2" s="521">
        <f>'Input (1)'!I66</f>
        <v>0.3</v>
      </c>
      <c r="J2" s="5" t="s">
        <v>152</v>
      </c>
      <c r="K2" s="514"/>
      <c r="L2" s="514"/>
      <c r="M2" s="514"/>
    </row>
    <row r="3" spans="1:13" ht="37.5" customHeight="1" x14ac:dyDescent="0.25">
      <c r="B3" s="566" t="s">
        <v>1055</v>
      </c>
      <c r="C3" s="566"/>
      <c r="D3" s="566"/>
      <c r="E3" s="566"/>
      <c r="F3" s="566"/>
      <c r="G3" s="522"/>
      <c r="H3" s="7" t="s">
        <v>1056</v>
      </c>
      <c r="I3" s="521">
        <f>'Input (1)'!I68</f>
        <v>0.6</v>
      </c>
      <c r="J3" s="5" t="s">
        <v>152</v>
      </c>
      <c r="K3" s="514"/>
      <c r="L3" s="514"/>
      <c r="M3" s="514"/>
    </row>
    <row r="4" spans="1:13" ht="37.5" customHeight="1" x14ac:dyDescent="0.25">
      <c r="B4" s="566" t="s">
        <v>1057</v>
      </c>
      <c r="C4" s="566"/>
      <c r="D4" s="566"/>
      <c r="E4" s="566"/>
      <c r="F4" s="566"/>
      <c r="G4" s="522"/>
      <c r="H4" s="7" t="s">
        <v>1058</v>
      </c>
      <c r="I4" s="521">
        <f>'Input (1)'!I69</f>
        <v>0.25</v>
      </c>
      <c r="J4" s="5" t="s">
        <v>152</v>
      </c>
      <c r="K4" s="514"/>
      <c r="L4" s="514"/>
      <c r="M4" s="514"/>
    </row>
    <row r="5" spans="1:13" ht="15" x14ac:dyDescent="0.25">
      <c r="B5" s="8"/>
      <c r="C5" s="522"/>
      <c r="D5" s="522"/>
      <c r="E5" s="522"/>
      <c r="F5" s="522"/>
      <c r="G5" s="522"/>
      <c r="I5" s="523"/>
      <c r="J5" s="353"/>
    </row>
    <row r="6" spans="1:13" ht="15" x14ac:dyDescent="0.25">
      <c r="A6" s="14" t="s">
        <v>5</v>
      </c>
      <c r="B6" s="524" t="s">
        <v>1059</v>
      </c>
      <c r="C6" s="522"/>
      <c r="D6" s="522"/>
      <c r="E6" s="522"/>
      <c r="F6" s="522"/>
      <c r="G6" s="522"/>
      <c r="I6" s="519"/>
      <c r="J6" s="353"/>
    </row>
    <row r="7" spans="1:13" ht="15" x14ac:dyDescent="0.25">
      <c r="B7" s="1" t="s">
        <v>1060</v>
      </c>
      <c r="H7" s="574" t="str">
        <f>'Input (1)'!H70</f>
        <v>Tanah Sedang (SD)</v>
      </c>
      <c r="I7" s="575"/>
    </row>
    <row r="8" spans="1:13" ht="15" x14ac:dyDescent="0.25">
      <c r="B8" s="1" t="s">
        <v>1105</v>
      </c>
      <c r="H8" s="7" t="s">
        <v>1062</v>
      </c>
      <c r="I8" s="525">
        <f>'Process (1)'!I135</f>
        <v>0.11433203521147195</v>
      </c>
      <c r="J8" s="5" t="s">
        <v>1063</v>
      </c>
    </row>
    <row r="9" spans="1:13" ht="15" x14ac:dyDescent="0.25">
      <c r="B9" s="1" t="s">
        <v>1121</v>
      </c>
      <c r="H9" s="7" t="s">
        <v>1062</v>
      </c>
      <c r="I9" s="525">
        <f>'Process (1)'!I157</f>
        <v>2.2746723623207066E-2</v>
      </c>
      <c r="J9" s="5" t="s">
        <v>1063</v>
      </c>
    </row>
    <row r="10" spans="1:13" ht="15" x14ac:dyDescent="0.25">
      <c r="B10" s="8"/>
      <c r="C10" s="522"/>
      <c r="D10" s="522"/>
      <c r="E10" s="522"/>
      <c r="F10" s="522"/>
      <c r="G10" s="522"/>
      <c r="I10" s="519"/>
      <c r="J10" s="353"/>
    </row>
    <row r="11" spans="1:13" ht="15" x14ac:dyDescent="0.25">
      <c r="A11" s="14" t="s">
        <v>50</v>
      </c>
      <c r="B11" s="524" t="s">
        <v>1064</v>
      </c>
      <c r="C11" s="522"/>
      <c r="D11" s="522"/>
      <c r="E11" s="522"/>
      <c r="F11" s="522"/>
      <c r="G11" s="522"/>
      <c r="I11" s="519"/>
      <c r="J11" s="353"/>
    </row>
    <row r="12" spans="1:13" ht="15" x14ac:dyDescent="0.25">
      <c r="B12" s="1" t="s">
        <v>1065</v>
      </c>
      <c r="C12" s="522"/>
      <c r="D12" s="522"/>
      <c r="E12" s="522"/>
      <c r="F12" s="522"/>
      <c r="G12" s="522"/>
      <c r="I12" s="519"/>
      <c r="J12" s="353"/>
    </row>
    <row r="13" spans="1:13" ht="15" x14ac:dyDescent="0.25">
      <c r="E13" s="526" t="s">
        <v>1066</v>
      </c>
      <c r="F13" s="527" t="s">
        <v>1067</v>
      </c>
      <c r="G13" s="527" t="s">
        <v>1068</v>
      </c>
      <c r="H13" s="527" t="s">
        <v>1069</v>
      </c>
      <c r="I13" s="527" t="s">
        <v>1070</v>
      </c>
      <c r="J13" s="353"/>
    </row>
    <row r="14" spans="1:13" ht="18" x14ac:dyDescent="0.25">
      <c r="D14" s="7" t="s">
        <v>154</v>
      </c>
      <c r="E14" s="4">
        <v>0.8</v>
      </c>
      <c r="F14" s="4">
        <v>1</v>
      </c>
      <c r="G14" s="4">
        <f>IF(I2&lt;=0.2,1.2,IF(I2&lt;0.3,(I2-0.3)/(0.2-0.3)*(1.2-1.1)+1.1,IF(I2=0.3,1.1,IF(I2&gt;0.3,1,"[ EROR ]"))))</f>
        <v>1.1000000000000001</v>
      </c>
      <c r="H14" s="528">
        <f>IF(I2&lt;=0.1,1.6,IF(I2&lt;0.2,(I2-0.2)/(0.1-0.2)*(1.6-1.4)+1.4,IF(I2=0.2,1.4,IF(I2&lt;0.3,(I2-0.3)/(0.2-0.3)*(1.4-1.2)+1.2,IF(I2=0.3,1.2,IF(I2&lt;0.4,(I2-0.4)/(0.3-0.4)*(1.2-1.1)+1.1,IF(I2=0.4,1.1,IF(I2&lt;0.5,(I2-0.5)/(0.4-0.5)*(1.1-1)+1,IF(I2&gt;=0.5,1,"[ EROR ]")))))))))</f>
        <v>1.2</v>
      </c>
      <c r="I14" s="528">
        <f>IF(I2&lt;=0.1,2.5,IF(I2&lt;0.2,(I2-0.2)/(0.1-0.2)*(2.5-1.7)+1.7,IF(I2=0.2,1.7,IF(I2&lt;0.3,(I2-0.3)/(0.2-0.3)*(1.7-1.2)+1.2,IF(I2=0.3,1.2,IF(I2&lt;0.4,(I2-0.4)/(0.3-0.4)*(1.2-0.9)+0.9,IF(I2&gt;=0.4,0.9,"[ EROR ]")))))))</f>
        <v>1.2</v>
      </c>
      <c r="J14" s="353"/>
    </row>
    <row r="15" spans="1:13" ht="15" x14ac:dyDescent="0.25">
      <c r="B15" s="8"/>
      <c r="C15" s="522"/>
      <c r="D15" s="522"/>
      <c r="E15" s="522"/>
      <c r="F15" s="522"/>
      <c r="G15" s="522"/>
      <c r="I15" s="519"/>
      <c r="J15" s="353"/>
    </row>
    <row r="16" spans="1:13" ht="15" x14ac:dyDescent="0.25">
      <c r="B16" s="1" t="s">
        <v>1071</v>
      </c>
      <c r="C16" s="522"/>
      <c r="D16" s="522"/>
      <c r="E16" s="522"/>
      <c r="F16" s="522"/>
      <c r="G16" s="522"/>
      <c r="I16" s="519"/>
      <c r="J16" s="353"/>
    </row>
    <row r="17" spans="1:14" ht="15" x14ac:dyDescent="0.25">
      <c r="C17" s="8"/>
      <c r="E17" s="526" t="s">
        <v>1066</v>
      </c>
      <c r="F17" s="527" t="s">
        <v>1067</v>
      </c>
      <c r="G17" s="527" t="s">
        <v>1068</v>
      </c>
      <c r="H17" s="527" t="s">
        <v>1069</v>
      </c>
      <c r="I17" s="527" t="s">
        <v>1070</v>
      </c>
      <c r="J17" s="353"/>
    </row>
    <row r="18" spans="1:14" ht="18" x14ac:dyDescent="0.25">
      <c r="D18" s="7" t="s">
        <v>1072</v>
      </c>
      <c r="E18" s="4">
        <v>0.8</v>
      </c>
      <c r="F18" s="4">
        <v>1</v>
      </c>
      <c r="G18" s="4">
        <f>IF(I3&lt;=0.25,1.2,IF(I3&lt;0.5,(I3-0.5)/(0.25-0.5)*(1.2-1.1)+1.1,IF(I3=0.5,1.1,IF(I3&gt;0.5,1,"[ EROR ]"))))</f>
        <v>1</v>
      </c>
      <c r="H18" s="528">
        <f>IF(I3&lt;=0.25,1.6,IF(I3&lt;0.5,(I3-0.5)/(0.25-0.5)*(1.6-1.4)+1.4,IF(I3=0.5,1.4,IF(I3&lt;0.75,(I3-0.75)/(0.5-0.75)*(1.4-1.2)+1.2,IF(I3=0.75,1.2,IF(I3&lt;0.1,(I3-1)/(0.75-1)*(1.2-1.1)+1.1,IF(I3=1,1.1,IF(I3&lt;1.25,(I3-1.25)/(1-1.25)*(1.1-1)+1,IF(I3&gt;=1.25,1,"[ EROR ]")))))))))</f>
        <v>1.3199999999999998</v>
      </c>
      <c r="I18" s="528">
        <f>IF(I3&lt;=0.25,2.5,IF(I3&lt;0.5,(I3-0.5)/(0.25-0.5)*(2.5-1.7)+1.7,IF(I3=0.5,1.7,IF(I3&lt;0.75,(I3-0.75)/(0.5-0.75)*(1.7-1.2)+1.2,IF(I3=0.75,1.2,IF(I3&lt;1,(I3-1)/(0.75-1)*(1.2-0.9)+0.9,IF(I3&gt;=1,0.9,"[ EROR ]")))))))</f>
        <v>1.5</v>
      </c>
      <c r="J18" s="353"/>
    </row>
    <row r="19" spans="1:14" ht="19.149999999999999" customHeight="1" x14ac:dyDescent="0.25">
      <c r="H19" s="1"/>
      <c r="I19" s="1"/>
    </row>
    <row r="20" spans="1:14" ht="19.149999999999999" customHeight="1" x14ac:dyDescent="0.25">
      <c r="B20" s="1" t="s">
        <v>1073</v>
      </c>
      <c r="H20" s="1"/>
      <c r="I20" s="1"/>
    </row>
    <row r="21" spans="1:14" ht="19.149999999999999" customHeight="1" x14ac:dyDescent="0.25">
      <c r="E21" s="526" t="s">
        <v>1066</v>
      </c>
      <c r="F21" s="527" t="s">
        <v>1067</v>
      </c>
      <c r="G21" s="527" t="s">
        <v>1068</v>
      </c>
      <c r="H21" s="527" t="s">
        <v>1069</v>
      </c>
      <c r="I21" s="527" t="s">
        <v>1070</v>
      </c>
    </row>
    <row r="22" spans="1:14" ht="19.149999999999999" customHeight="1" x14ac:dyDescent="0.25">
      <c r="D22" s="7" t="s">
        <v>1074</v>
      </c>
      <c r="E22" s="4">
        <v>0.8</v>
      </c>
      <c r="F22" s="4">
        <v>1</v>
      </c>
      <c r="G22" s="4">
        <f>IF(I4&lt;=0.1,1.6,IF(I4&lt;0.2,(I4-0.2)/(0.1-0.2)*(1.6-1.4)+1.4,IF(I4=0.2,1.4,IF(I4&lt;0.3,(I4-0.3)/(0.2-0.3)*(1.4-1.2)+1.2,IF(I4=0.3,1.2,IF(I4&lt;0.4,(I4-0.4)/(0.3-0.4)*(1.2-1.1)+1.1,IF(I4=0.4,1.1,IF(I4&lt;0.5,(I4-0.5)/(0.4-0.5)*(1.1-1)+1,IF(I4&gt;=0.5,1,"[ EROR ]")))))))))</f>
        <v>1.2999999999999998</v>
      </c>
      <c r="H22" s="528">
        <f>IF(I4&lt;=0.1,1.6,IF(I4&lt;0.2,(I4-0.2)/(0.1-0.2)*(1.6-1.4)+1.4,IF(I4=0.2,1.4,IF(I4&lt;0.3,(I4-0.3)/(0.2-0.3)*(1.4-1.2)+1.2,IF(I4=0.3,1.2,IF(I4&lt;0.4,(I4-0.4)/(0.3-0.4)*(1.2-1.1)+1.1,IF(I4=0.4,1.1,IF(I4&lt;0.5,(I4-0.5)/(0.4-0.5)*(1.1-1)+1,IF(I4&gt;=0.5,1,"[ EROR ]")))))))))</f>
        <v>1.2999999999999998</v>
      </c>
      <c r="I22" s="528">
        <f>IF(I4&lt;=0.1,1.6,IF(I4&lt;0.2,(I4-0.2)/(0.1-0.2)*(1.6-1.4)+1.4,IF(I4=0.2,1.4,IF(I4&lt;0.3,(I4-0.3)/(0.2-0.3)*(1.4-1.2)+1.2,IF(I4=0.3,1.2,IF(I4&lt;0.4,(I4-0.4)/(0.3-0.4)*(1.2-1.1)+1.1,IF(I4=0.4,1.1,IF(I4&lt;0.5,(I4-0.5)/(0.4-0.5)*(1.1-1)+1,IF(I4&gt;=0.5,1,"[ EROR ]")))))))))</f>
        <v>1.2999999999999998</v>
      </c>
    </row>
    <row r="23" spans="1:14" ht="19.149999999999999" customHeight="1" x14ac:dyDescent="0.25">
      <c r="H23" s="1"/>
      <c r="I23" s="1"/>
      <c r="N23" s="514"/>
    </row>
    <row r="24" spans="1:14" ht="19.149999999999999" customHeight="1" x14ac:dyDescent="0.25">
      <c r="A24" s="14" t="s">
        <v>1075</v>
      </c>
      <c r="B24" s="524" t="s">
        <v>1076</v>
      </c>
      <c r="H24" s="1"/>
      <c r="I24" s="1"/>
      <c r="N24" s="514"/>
    </row>
    <row r="25" spans="1:14" ht="19.149999999999999" customHeight="1" x14ac:dyDescent="0.25">
      <c r="B25" s="1" t="s">
        <v>177</v>
      </c>
    </row>
    <row r="26" spans="1:14" ht="19.149999999999999" customHeight="1" x14ac:dyDescent="0.25">
      <c r="E26" s="526" t="s">
        <v>1066</v>
      </c>
      <c r="F26" s="527" t="s">
        <v>1067</v>
      </c>
      <c r="G26" s="527" t="s">
        <v>1068</v>
      </c>
      <c r="H26" s="527" t="s">
        <v>1069</v>
      </c>
      <c r="I26" s="527" t="s">
        <v>1070</v>
      </c>
      <c r="J26" s="1"/>
    </row>
    <row r="27" spans="1:14" ht="19.149999999999999" customHeight="1" x14ac:dyDescent="0.25">
      <c r="D27" s="7" t="s">
        <v>156</v>
      </c>
      <c r="E27" s="4">
        <f>E14*$I$2</f>
        <v>0.24</v>
      </c>
      <c r="F27" s="4">
        <f>F14*$I$2</f>
        <v>0.3</v>
      </c>
      <c r="G27" s="4">
        <f>G14*$I$2</f>
        <v>0.33</v>
      </c>
      <c r="H27" s="4">
        <f>H14*$I$2</f>
        <v>0.36</v>
      </c>
      <c r="I27" s="4">
        <f>I14*$I$2</f>
        <v>0.36</v>
      </c>
      <c r="J27" s="5" t="s">
        <v>152</v>
      </c>
    </row>
    <row r="28" spans="1:14" ht="19.149999999999999" customHeight="1" x14ac:dyDescent="0.25">
      <c r="C28" s="7"/>
      <c r="D28" s="519"/>
      <c r="I28" s="519"/>
    </row>
    <row r="29" spans="1:14" ht="19.149999999999999" customHeight="1" x14ac:dyDescent="0.25">
      <c r="B29" s="1" t="s">
        <v>1077</v>
      </c>
      <c r="C29" s="529"/>
      <c r="D29" s="529"/>
      <c r="E29" s="529"/>
      <c r="F29" s="529"/>
      <c r="G29" s="529"/>
      <c r="H29" s="1"/>
      <c r="I29" s="1"/>
      <c r="J29" s="1"/>
    </row>
    <row r="30" spans="1:14" ht="19.149999999999999" customHeight="1" x14ac:dyDescent="0.25">
      <c r="D30" s="529"/>
      <c r="E30" s="526" t="s">
        <v>1066</v>
      </c>
      <c r="F30" s="527" t="s">
        <v>1067</v>
      </c>
      <c r="G30" s="527" t="s">
        <v>1068</v>
      </c>
      <c r="H30" s="527" t="s">
        <v>1069</v>
      </c>
      <c r="I30" s="527" t="s">
        <v>1070</v>
      </c>
      <c r="J30" s="530"/>
    </row>
    <row r="31" spans="1:14" ht="19.149999999999999" customHeight="1" x14ac:dyDescent="0.25">
      <c r="D31" s="7" t="s">
        <v>1078</v>
      </c>
      <c r="E31" s="4">
        <f>E18*$I$3</f>
        <v>0.48</v>
      </c>
      <c r="F31" s="4">
        <f>F18*$I$3</f>
        <v>0.6</v>
      </c>
      <c r="G31" s="4">
        <f>G18*$I$3</f>
        <v>0.6</v>
      </c>
      <c r="H31" s="4">
        <f>H18*$I$3</f>
        <v>0.79199999999999993</v>
      </c>
      <c r="I31" s="4">
        <f>I18*$I$3</f>
        <v>0.89999999999999991</v>
      </c>
      <c r="J31" s="5" t="s">
        <v>152</v>
      </c>
    </row>
    <row r="32" spans="1:14" ht="19.149999999999999" customHeight="1" x14ac:dyDescent="0.25">
      <c r="C32" s="7"/>
      <c r="D32" s="519"/>
      <c r="E32" s="519"/>
      <c r="F32" s="519"/>
      <c r="G32" s="519"/>
      <c r="H32" s="519"/>
      <c r="I32" s="5"/>
    </row>
    <row r="33" spans="1:13" ht="19.149999999999999" customHeight="1" x14ac:dyDescent="0.25">
      <c r="B33" s="1" t="s">
        <v>1079</v>
      </c>
      <c r="H33" s="1"/>
      <c r="I33" s="1"/>
      <c r="J33" s="1"/>
    </row>
    <row r="34" spans="1:13" ht="19.149999999999999" customHeight="1" x14ac:dyDescent="0.25">
      <c r="E34" s="526" t="s">
        <v>1066</v>
      </c>
      <c r="F34" s="527" t="s">
        <v>1067</v>
      </c>
      <c r="G34" s="527" t="s">
        <v>1068</v>
      </c>
      <c r="H34" s="527" t="s">
        <v>1069</v>
      </c>
      <c r="I34" s="527" t="s">
        <v>1070</v>
      </c>
      <c r="J34" s="514"/>
    </row>
    <row r="35" spans="1:13" ht="19.149999999999999" customHeight="1" x14ac:dyDescent="0.25">
      <c r="D35" s="7" t="s">
        <v>1080</v>
      </c>
      <c r="E35" s="4">
        <f>E22*$I$4</f>
        <v>0.2</v>
      </c>
      <c r="F35" s="4">
        <f>F22*$I$4</f>
        <v>0.25</v>
      </c>
      <c r="G35" s="4">
        <f>G22*$I$4</f>
        <v>0.32499999999999996</v>
      </c>
      <c r="H35" s="4">
        <f>H22*$I$4</f>
        <v>0.32499999999999996</v>
      </c>
      <c r="I35" s="4">
        <f>I22*$I$4</f>
        <v>0.32499999999999996</v>
      </c>
      <c r="J35" s="5" t="s">
        <v>152</v>
      </c>
    </row>
    <row r="36" spans="1:13" ht="19.149999999999999" customHeight="1" x14ac:dyDescent="0.25">
      <c r="C36" s="7"/>
      <c r="D36" s="519"/>
      <c r="E36" s="519"/>
      <c r="F36" s="519"/>
      <c r="G36" s="519"/>
      <c r="H36" s="519"/>
      <c r="I36" s="5"/>
    </row>
    <row r="37" spans="1:13" ht="19.149999999999999" customHeight="1" x14ac:dyDescent="0.25">
      <c r="A37" s="14" t="s">
        <v>1081</v>
      </c>
      <c r="B37" s="524" t="s">
        <v>1082</v>
      </c>
      <c r="C37" s="7"/>
      <c r="D37" s="519"/>
      <c r="E37" s="519"/>
      <c r="F37" s="519"/>
      <c r="G37" s="519"/>
      <c r="H37" s="519"/>
      <c r="I37" s="5"/>
    </row>
    <row r="38" spans="1:13" ht="19.149999999999999" customHeight="1" x14ac:dyDescent="0.25">
      <c r="C38" s="7"/>
      <c r="D38" s="519"/>
      <c r="E38" s="519"/>
      <c r="F38" s="519"/>
      <c r="G38" s="519"/>
      <c r="H38" s="519"/>
      <c r="I38" s="5"/>
    </row>
    <row r="39" spans="1:13" ht="19.149999999999999" customHeight="1" x14ac:dyDescent="0.25">
      <c r="B39" s="1" t="s">
        <v>1083</v>
      </c>
      <c r="H39" s="1"/>
      <c r="I39" s="1"/>
      <c r="J39" s="1"/>
    </row>
    <row r="40" spans="1:13" ht="19.149999999999999" customHeight="1" x14ac:dyDescent="0.25">
      <c r="E40" s="526" t="s">
        <v>1066</v>
      </c>
      <c r="F40" s="527" t="s">
        <v>1067</v>
      </c>
      <c r="G40" s="527" t="s">
        <v>1068</v>
      </c>
      <c r="H40" s="527" t="s">
        <v>1069</v>
      </c>
      <c r="I40" s="527" t="s">
        <v>1070</v>
      </c>
    </row>
    <row r="41" spans="1:13" ht="19.149999999999999" customHeight="1" x14ac:dyDescent="0.25">
      <c r="D41" s="7" t="s">
        <v>1084</v>
      </c>
      <c r="E41" s="4">
        <f>E35/E31</f>
        <v>0.41666666666666669</v>
      </c>
      <c r="F41" s="4">
        <f t="shared" ref="F41:I41" si="0">F35/F31</f>
        <v>0.41666666666666669</v>
      </c>
      <c r="G41" s="4">
        <f t="shared" si="0"/>
        <v>0.54166666666666663</v>
      </c>
      <c r="H41" s="4">
        <f t="shared" si="0"/>
        <v>0.41035353535353536</v>
      </c>
      <c r="I41" s="4">
        <f t="shared" si="0"/>
        <v>0.3611111111111111</v>
      </c>
      <c r="J41" s="5" t="s">
        <v>1063</v>
      </c>
    </row>
    <row r="42" spans="1:13" ht="19.149999999999999" customHeight="1" x14ac:dyDescent="0.25">
      <c r="D42" s="7"/>
      <c r="E42" s="20"/>
      <c r="I42" s="20"/>
    </row>
    <row r="43" spans="1:13" ht="19.149999999999999" customHeight="1" x14ac:dyDescent="0.25">
      <c r="B43" s="1" t="s">
        <v>1085</v>
      </c>
      <c r="H43" s="1"/>
      <c r="I43" s="1"/>
      <c r="J43" s="1"/>
    </row>
    <row r="44" spans="1:13" ht="19.149999999999999" customHeight="1" x14ac:dyDescent="0.25">
      <c r="E44" s="526" t="s">
        <v>1066</v>
      </c>
      <c r="F44" s="527" t="s">
        <v>1067</v>
      </c>
      <c r="G44" s="527" t="s">
        <v>1068</v>
      </c>
      <c r="H44" s="527" t="s">
        <v>1069</v>
      </c>
      <c r="I44" s="527" t="s">
        <v>1070</v>
      </c>
      <c r="J44" s="1"/>
      <c r="K44" s="518"/>
      <c r="L44" s="518"/>
      <c r="M44" s="518"/>
    </row>
    <row r="45" spans="1:13" ht="19.149999999999999" customHeight="1" x14ac:dyDescent="0.25">
      <c r="D45" s="7" t="s">
        <v>1086</v>
      </c>
      <c r="E45" s="4">
        <f>0.2*E41</f>
        <v>8.3333333333333343E-2</v>
      </c>
      <c r="F45" s="4">
        <f t="shared" ref="F45:I45" si="1">0.2*F41</f>
        <v>8.3333333333333343E-2</v>
      </c>
      <c r="G45" s="4">
        <f t="shared" si="1"/>
        <v>0.10833333333333334</v>
      </c>
      <c r="H45" s="4">
        <f t="shared" si="1"/>
        <v>8.2070707070707072E-2</v>
      </c>
      <c r="I45" s="4">
        <f t="shared" si="1"/>
        <v>7.2222222222222229E-2</v>
      </c>
      <c r="J45" s="5" t="s">
        <v>1063</v>
      </c>
    </row>
    <row r="46" spans="1:13" ht="19.149999999999999" customHeight="1" x14ac:dyDescent="0.25">
      <c r="H46" s="1"/>
      <c r="I46" s="1"/>
      <c r="J46" s="1"/>
    </row>
    <row r="48" spans="1:13" ht="19.149999999999999" customHeight="1" x14ac:dyDescent="0.25">
      <c r="A48" s="14" t="s">
        <v>922</v>
      </c>
      <c r="B48" s="524" t="s">
        <v>1082</v>
      </c>
    </row>
    <row r="49" spans="1:13" ht="19.149999999999999" customHeight="1" x14ac:dyDescent="0.25">
      <c r="B49" s="531" t="s">
        <v>1087</v>
      </c>
      <c r="C49" s="531" t="s">
        <v>1088</v>
      </c>
      <c r="D49" s="531" t="s">
        <v>1087</v>
      </c>
      <c r="E49" s="531" t="s">
        <v>1088</v>
      </c>
      <c r="F49" s="531" t="s">
        <v>1087</v>
      </c>
      <c r="G49" s="531" t="s">
        <v>1088</v>
      </c>
      <c r="H49" s="531" t="s">
        <v>1087</v>
      </c>
      <c r="I49" s="531" t="s">
        <v>1088</v>
      </c>
      <c r="J49" s="531" t="s">
        <v>1087</v>
      </c>
      <c r="K49" s="531" t="s">
        <v>1088</v>
      </c>
      <c r="L49" s="532"/>
      <c r="M49" s="532"/>
    </row>
    <row r="50" spans="1:13" ht="19.149999999999999" customHeight="1" x14ac:dyDescent="0.25">
      <c r="B50" s="576" t="s">
        <v>1066</v>
      </c>
      <c r="C50" s="576"/>
      <c r="D50" s="572" t="s">
        <v>1067</v>
      </c>
      <c r="E50" s="572"/>
      <c r="F50" s="572" t="s">
        <v>1068</v>
      </c>
      <c r="G50" s="572"/>
      <c r="H50" s="572" t="s">
        <v>1069</v>
      </c>
      <c r="I50" s="572"/>
      <c r="J50" s="572" t="s">
        <v>1070</v>
      </c>
      <c r="K50" s="572"/>
      <c r="L50" s="533"/>
      <c r="M50" s="533"/>
    </row>
    <row r="51" spans="1:13" ht="19.149999999999999" customHeight="1" x14ac:dyDescent="0.25">
      <c r="A51" s="534">
        <v>1</v>
      </c>
      <c r="B51" s="535">
        <v>0</v>
      </c>
      <c r="C51" s="4">
        <f>E27</f>
        <v>0.24</v>
      </c>
      <c r="D51" s="535">
        <v>0</v>
      </c>
      <c r="E51" s="4">
        <f>F27</f>
        <v>0.3</v>
      </c>
      <c r="F51" s="535">
        <v>0</v>
      </c>
      <c r="G51" s="4">
        <f>G27</f>
        <v>0.33</v>
      </c>
      <c r="H51" s="535">
        <v>0</v>
      </c>
      <c r="I51" s="4">
        <f>H27</f>
        <v>0.36</v>
      </c>
      <c r="J51" s="535">
        <v>0</v>
      </c>
      <c r="K51" s="4">
        <f>I27</f>
        <v>0.36</v>
      </c>
      <c r="L51" s="519"/>
      <c r="M51" s="519"/>
    </row>
    <row r="52" spans="1:13" ht="19.149999999999999" customHeight="1" x14ac:dyDescent="0.25">
      <c r="A52" s="534">
        <f>A51+1</f>
        <v>2</v>
      </c>
      <c r="B52" s="535">
        <f>E45</f>
        <v>8.3333333333333343E-2</v>
      </c>
      <c r="C52" s="4">
        <f>E31</f>
        <v>0.48</v>
      </c>
      <c r="D52" s="535">
        <f>F45</f>
        <v>8.3333333333333343E-2</v>
      </c>
      <c r="E52" s="4">
        <f>F31</f>
        <v>0.6</v>
      </c>
      <c r="F52" s="535">
        <f>G45</f>
        <v>0.10833333333333334</v>
      </c>
      <c r="G52" s="4">
        <f>G31</f>
        <v>0.6</v>
      </c>
      <c r="H52" s="535">
        <f>H45</f>
        <v>8.2070707070707072E-2</v>
      </c>
      <c r="I52" s="4">
        <f>H31</f>
        <v>0.79199999999999993</v>
      </c>
      <c r="J52" s="535">
        <f>I45</f>
        <v>7.2222222222222229E-2</v>
      </c>
      <c r="K52" s="4">
        <f>I31</f>
        <v>0.89999999999999991</v>
      </c>
      <c r="L52" s="519"/>
      <c r="M52" s="519"/>
    </row>
    <row r="53" spans="1:13" ht="19.149999999999999" customHeight="1" x14ac:dyDescent="0.25">
      <c r="A53" s="534">
        <f t="shared" ref="A53:A80" si="2">A52+1</f>
        <v>3</v>
      </c>
      <c r="B53" s="535">
        <f>E41</f>
        <v>0.41666666666666669</v>
      </c>
      <c r="C53" s="4">
        <f>E31</f>
        <v>0.48</v>
      </c>
      <c r="D53" s="535">
        <f>F41</f>
        <v>0.41666666666666669</v>
      </c>
      <c r="E53" s="4">
        <f>F31</f>
        <v>0.6</v>
      </c>
      <c r="F53" s="535">
        <f>G41</f>
        <v>0.54166666666666663</v>
      </c>
      <c r="G53" s="4">
        <f>G31</f>
        <v>0.6</v>
      </c>
      <c r="H53" s="535">
        <f>H41</f>
        <v>0.41035353535353536</v>
      </c>
      <c r="I53" s="4">
        <f>H31</f>
        <v>0.79199999999999993</v>
      </c>
      <c r="J53" s="535">
        <f>I41</f>
        <v>0.3611111111111111</v>
      </c>
      <c r="K53" s="4">
        <f>I31</f>
        <v>0.89999999999999991</v>
      </c>
      <c r="L53" s="519"/>
      <c r="M53" s="519"/>
    </row>
    <row r="54" spans="1:13" ht="19.149999999999999" customHeight="1" x14ac:dyDescent="0.25">
      <c r="A54" s="534">
        <f t="shared" si="2"/>
        <v>4</v>
      </c>
      <c r="B54" s="535">
        <f>(A54-30)/(3-30)*($B$53-$B$80)+$B$80</f>
        <v>0.77160493827160437</v>
      </c>
      <c r="C54" s="4">
        <f>$E$35/B54</f>
        <v>0.25920000000000021</v>
      </c>
      <c r="D54" s="535">
        <f>(A54-30)/(3-30)*($D$53-$D$80)+$D$80</f>
        <v>0.77160493827160437</v>
      </c>
      <c r="E54" s="4">
        <f>$F$35/D54</f>
        <v>0.32400000000000023</v>
      </c>
      <c r="F54" s="535">
        <f>(A54-30)/(3-30)*($F$53-$F$80)+$F$80</f>
        <v>0.89197530864197461</v>
      </c>
      <c r="G54" s="4">
        <f>$G$35/F54</f>
        <v>0.36435986159169576</v>
      </c>
      <c r="H54" s="535">
        <f>(A54-30)/(3-30)*($H$53-$H$80)+$H$80</f>
        <v>0.7655256266367374</v>
      </c>
      <c r="I54" s="4">
        <f>$H$35/H54</f>
        <v>0.42454489920586452</v>
      </c>
      <c r="J54" s="535">
        <f>(A54-30)/(3-30)*($J$53-$J$80)+$J$80</f>
        <v>0.71810699588477434</v>
      </c>
      <c r="K54" s="4">
        <f>$I$35/J54</f>
        <v>0.4525787965616041</v>
      </c>
      <c r="L54" s="519"/>
      <c r="M54" s="519"/>
    </row>
    <row r="55" spans="1:13" ht="19.149999999999999" customHeight="1" x14ac:dyDescent="0.25">
      <c r="A55" s="534">
        <f t="shared" si="2"/>
        <v>5</v>
      </c>
      <c r="B55" s="535">
        <f t="shared" ref="B55:B79" si="3">(A55-30)/(3-30)*($B$53-$B$80)+$B$80</f>
        <v>1.1265432098765427</v>
      </c>
      <c r="C55" s="4">
        <f t="shared" ref="C55:C80" si="4">$E$35/B55</f>
        <v>0.17753424657534256</v>
      </c>
      <c r="D55" s="535">
        <f t="shared" ref="D55:D79" si="5">(A55-30)/(3-30)*($D$53-$D$80)+$D$80</f>
        <v>1.1265432098765427</v>
      </c>
      <c r="E55" s="4">
        <f t="shared" ref="E55:E80" si="6">$F$35/D55</f>
        <v>0.2219178082191782</v>
      </c>
      <c r="F55" s="535">
        <f t="shared" ref="F55:F79" si="7">(A55-30)/(3-30)*($F$53-$F$80)+$F$80</f>
        <v>1.2422839506172831</v>
      </c>
      <c r="G55" s="4">
        <f t="shared" ref="G55:G80" si="8">$G$35/F55</f>
        <v>0.26161490683229827</v>
      </c>
      <c r="H55" s="535">
        <f t="shared" ref="H55:H79" si="9">(A55-30)/(3-30)*($H$53-$H$80)+$H$80</f>
        <v>1.1206977179199402</v>
      </c>
      <c r="I55" s="4">
        <f t="shared" ref="I55:I79" si="10">$H$35/H55</f>
        <v>0.28999791362403499</v>
      </c>
      <c r="J55" s="535">
        <f t="shared" ref="J55:J79" si="11">(A55-30)/(3-30)*($J$53-$J$80)+$J$80</f>
        <v>1.0751028806584362</v>
      </c>
      <c r="K55" s="4">
        <f t="shared" ref="K55:K80" si="12">$I$35/J55</f>
        <v>0.30229665071770334</v>
      </c>
      <c r="L55" s="519"/>
      <c r="M55" s="519"/>
    </row>
    <row r="56" spans="1:13" ht="19.149999999999999" customHeight="1" x14ac:dyDescent="0.25">
      <c r="A56" s="534">
        <f t="shared" si="2"/>
        <v>6</v>
      </c>
      <c r="B56" s="535">
        <f t="shared" si="3"/>
        <v>1.481481481481481</v>
      </c>
      <c r="C56" s="4">
        <f t="shared" si="4"/>
        <v>0.13500000000000006</v>
      </c>
      <c r="D56" s="535">
        <f t="shared" si="5"/>
        <v>1.481481481481481</v>
      </c>
      <c r="E56" s="4">
        <f t="shared" si="6"/>
        <v>0.16875000000000007</v>
      </c>
      <c r="F56" s="535">
        <f t="shared" si="7"/>
        <v>1.5925925925925917</v>
      </c>
      <c r="G56" s="4">
        <f t="shared" si="8"/>
        <v>0.20406976744186056</v>
      </c>
      <c r="H56" s="535">
        <f t="shared" si="9"/>
        <v>1.475869809203143</v>
      </c>
      <c r="I56" s="4">
        <f t="shared" si="10"/>
        <v>0.22020912547528507</v>
      </c>
      <c r="J56" s="535">
        <f t="shared" si="11"/>
        <v>1.432098765432098</v>
      </c>
      <c r="K56" s="4">
        <f t="shared" si="12"/>
        <v>0.22693965517241388</v>
      </c>
      <c r="L56" s="519"/>
      <c r="M56" s="519"/>
    </row>
    <row r="57" spans="1:13" ht="19.149999999999999" customHeight="1" x14ac:dyDescent="0.25">
      <c r="A57" s="534">
        <f t="shared" si="2"/>
        <v>7</v>
      </c>
      <c r="B57" s="535">
        <f t="shared" si="3"/>
        <v>1.8364197530864192</v>
      </c>
      <c r="C57" s="4">
        <f t="shared" si="4"/>
        <v>0.10890756302521012</v>
      </c>
      <c r="D57" s="535">
        <f t="shared" si="5"/>
        <v>1.8364197530864192</v>
      </c>
      <c r="E57" s="4">
        <f t="shared" si="6"/>
        <v>0.13613445378151265</v>
      </c>
      <c r="F57" s="535">
        <f t="shared" si="7"/>
        <v>1.9429012345679002</v>
      </c>
      <c r="G57" s="4">
        <f t="shared" si="8"/>
        <v>0.1672756155679111</v>
      </c>
      <c r="H57" s="535">
        <f t="shared" si="9"/>
        <v>1.8310419004863441</v>
      </c>
      <c r="I57" s="4">
        <f t="shared" si="10"/>
        <v>0.17749457285148773</v>
      </c>
      <c r="J57" s="535">
        <f t="shared" si="11"/>
        <v>1.7890946502057616</v>
      </c>
      <c r="K57" s="4">
        <f t="shared" si="12"/>
        <v>0.18165612420931565</v>
      </c>
      <c r="L57" s="519"/>
      <c r="M57" s="519"/>
    </row>
    <row r="58" spans="1:13" ht="19.149999999999999" customHeight="1" x14ac:dyDescent="0.25">
      <c r="A58" s="534">
        <f t="shared" si="2"/>
        <v>8</v>
      </c>
      <c r="B58" s="535">
        <f t="shared" si="3"/>
        <v>2.1913580246913575</v>
      </c>
      <c r="C58" s="4">
        <f t="shared" si="4"/>
        <v>9.1267605633802845E-2</v>
      </c>
      <c r="D58" s="535">
        <f t="shared" si="5"/>
        <v>2.1913580246913575</v>
      </c>
      <c r="E58" s="4">
        <f t="shared" si="6"/>
        <v>0.11408450704225355</v>
      </c>
      <c r="F58" s="535">
        <f t="shared" si="7"/>
        <v>2.2932098765432096</v>
      </c>
      <c r="G58" s="4">
        <f t="shared" si="8"/>
        <v>0.14172274562584117</v>
      </c>
      <c r="H58" s="535">
        <f t="shared" si="9"/>
        <v>2.1862139917695469</v>
      </c>
      <c r="I58" s="4">
        <f t="shared" si="10"/>
        <v>0.14865882352941176</v>
      </c>
      <c r="J58" s="535">
        <f t="shared" si="11"/>
        <v>2.1460905349794244</v>
      </c>
      <c r="K58" s="4">
        <f t="shared" si="12"/>
        <v>0.15143815915627989</v>
      </c>
      <c r="L58" s="519"/>
      <c r="M58" s="519"/>
    </row>
    <row r="59" spans="1:13" ht="19.149999999999999" customHeight="1" x14ac:dyDescent="0.25">
      <c r="A59" s="534">
        <f t="shared" si="2"/>
        <v>9</v>
      </c>
      <c r="B59" s="535">
        <f t="shared" si="3"/>
        <v>2.5462962962962958</v>
      </c>
      <c r="C59" s="4">
        <f t="shared" si="4"/>
        <v>7.8545454545454557E-2</v>
      </c>
      <c r="D59" s="535">
        <f t="shared" si="5"/>
        <v>2.5462962962962958</v>
      </c>
      <c r="E59" s="4">
        <f t="shared" si="6"/>
        <v>9.8181818181818203E-2</v>
      </c>
      <c r="F59" s="535">
        <f t="shared" si="7"/>
        <v>2.6435185185185182</v>
      </c>
      <c r="G59" s="4">
        <f t="shared" si="8"/>
        <v>0.12294220665499124</v>
      </c>
      <c r="H59" s="535">
        <f t="shared" si="9"/>
        <v>2.5413860830527488</v>
      </c>
      <c r="I59" s="4">
        <f t="shared" si="10"/>
        <v>0.12788296991443557</v>
      </c>
      <c r="J59" s="535">
        <f t="shared" si="11"/>
        <v>2.5030864197530862</v>
      </c>
      <c r="K59" s="4">
        <f t="shared" si="12"/>
        <v>0.12983970406905054</v>
      </c>
      <c r="L59" s="519"/>
      <c r="M59" s="519"/>
    </row>
    <row r="60" spans="1:13" ht="19.149999999999999" customHeight="1" x14ac:dyDescent="0.25">
      <c r="A60" s="534">
        <f t="shared" si="2"/>
        <v>10</v>
      </c>
      <c r="B60" s="535">
        <f t="shared" si="3"/>
        <v>2.9012345679012341</v>
      </c>
      <c r="C60" s="4">
        <f t="shared" si="4"/>
        <v>6.8936170212765976E-2</v>
      </c>
      <c r="D60" s="535">
        <f t="shared" si="5"/>
        <v>2.9012345679012341</v>
      </c>
      <c r="E60" s="4">
        <f t="shared" si="6"/>
        <v>8.617021276595746E-2</v>
      </c>
      <c r="F60" s="535">
        <f t="shared" si="7"/>
        <v>2.9938271604938267</v>
      </c>
      <c r="G60" s="4">
        <f t="shared" si="8"/>
        <v>0.10855670103092784</v>
      </c>
      <c r="H60" s="535">
        <f t="shared" si="9"/>
        <v>2.8965581743359516</v>
      </c>
      <c r="I60" s="4">
        <f t="shared" si="10"/>
        <v>0.11220213109460769</v>
      </c>
      <c r="J60" s="535">
        <f t="shared" si="11"/>
        <v>2.8600823045267489</v>
      </c>
      <c r="K60" s="4">
        <f t="shared" si="12"/>
        <v>0.11363309352517985</v>
      </c>
      <c r="L60" s="519"/>
      <c r="M60" s="519"/>
    </row>
    <row r="61" spans="1:13" ht="19.149999999999999" customHeight="1" x14ac:dyDescent="0.25">
      <c r="A61" s="534">
        <f t="shared" si="2"/>
        <v>11</v>
      </c>
      <c r="B61" s="535">
        <f t="shared" si="3"/>
        <v>3.2561728395061724</v>
      </c>
      <c r="C61" s="4">
        <f t="shared" si="4"/>
        <v>6.1421800947867311E-2</v>
      </c>
      <c r="D61" s="535">
        <f t="shared" si="5"/>
        <v>3.2561728395061724</v>
      </c>
      <c r="E61" s="4">
        <f t="shared" si="6"/>
        <v>7.6777251184834139E-2</v>
      </c>
      <c r="F61" s="535">
        <f t="shared" si="7"/>
        <v>3.3441358024691352</v>
      </c>
      <c r="G61" s="4">
        <f t="shared" si="8"/>
        <v>9.7185048454083989E-2</v>
      </c>
      <c r="H61" s="535">
        <f t="shared" si="9"/>
        <v>3.2517302656191536</v>
      </c>
      <c r="I61" s="4">
        <f t="shared" si="10"/>
        <v>9.9946789386639839E-2</v>
      </c>
      <c r="J61" s="535">
        <f t="shared" si="11"/>
        <v>3.2170781893004108</v>
      </c>
      <c r="K61" s="4">
        <f t="shared" si="12"/>
        <v>0.10102334505916215</v>
      </c>
      <c r="L61" s="519"/>
      <c r="M61" s="519"/>
    </row>
    <row r="62" spans="1:13" ht="19.149999999999999" customHeight="1" x14ac:dyDescent="0.25">
      <c r="A62" s="534">
        <f t="shared" si="2"/>
        <v>12</v>
      </c>
      <c r="B62" s="535">
        <f t="shared" si="3"/>
        <v>3.6111111111111107</v>
      </c>
      <c r="C62" s="4">
        <f t="shared" si="4"/>
        <v>5.5384615384615393E-2</v>
      </c>
      <c r="D62" s="535">
        <f t="shared" si="5"/>
        <v>3.6111111111111107</v>
      </c>
      <c r="E62" s="4">
        <f t="shared" si="6"/>
        <v>6.9230769230769235E-2</v>
      </c>
      <c r="F62" s="535">
        <f t="shared" si="7"/>
        <v>3.6944444444444446</v>
      </c>
      <c r="G62" s="4">
        <f t="shared" si="8"/>
        <v>8.7969924812030059E-2</v>
      </c>
      <c r="H62" s="535">
        <f t="shared" si="9"/>
        <v>3.6069023569023564</v>
      </c>
      <c r="I62" s="4">
        <f t="shared" si="10"/>
        <v>9.0105017502917148E-2</v>
      </c>
      <c r="J62" s="535">
        <f t="shared" si="11"/>
        <v>3.5740740740740744</v>
      </c>
      <c r="K62" s="4">
        <f t="shared" si="12"/>
        <v>9.0932642487046605E-2</v>
      </c>
      <c r="L62" s="519"/>
      <c r="M62" s="519"/>
    </row>
    <row r="63" spans="1:13" ht="19.149999999999999" customHeight="1" x14ac:dyDescent="0.25">
      <c r="A63" s="534">
        <f t="shared" si="2"/>
        <v>13</v>
      </c>
      <c r="B63" s="535">
        <f t="shared" si="3"/>
        <v>3.966049382716049</v>
      </c>
      <c r="C63" s="4">
        <f t="shared" si="4"/>
        <v>5.0428015564202344E-2</v>
      </c>
      <c r="D63" s="535">
        <f t="shared" si="5"/>
        <v>3.966049382716049</v>
      </c>
      <c r="E63" s="4">
        <f t="shared" si="6"/>
        <v>6.303501945525293E-2</v>
      </c>
      <c r="F63" s="535">
        <f t="shared" si="7"/>
        <v>4.0447530864197523</v>
      </c>
      <c r="G63" s="4">
        <f t="shared" si="8"/>
        <v>8.0351011064479214E-2</v>
      </c>
      <c r="H63" s="535">
        <f t="shared" si="9"/>
        <v>3.9620744481855583</v>
      </c>
      <c r="I63" s="4">
        <f t="shared" si="10"/>
        <v>8.2027736795514908E-2</v>
      </c>
      <c r="J63" s="535">
        <f t="shared" si="11"/>
        <v>3.9310699588477362</v>
      </c>
      <c r="K63" s="4">
        <f t="shared" si="12"/>
        <v>8.2674692488877252E-2</v>
      </c>
      <c r="L63" s="519"/>
      <c r="M63" s="519"/>
    </row>
    <row r="64" spans="1:13" ht="19.149999999999999" customHeight="1" x14ac:dyDescent="0.25">
      <c r="A64" s="534">
        <f t="shared" si="2"/>
        <v>14</v>
      </c>
      <c r="B64" s="535">
        <f t="shared" si="3"/>
        <v>4.3209876543209873</v>
      </c>
      <c r="C64" s="4">
        <f t="shared" si="4"/>
        <v>4.6285714285714291E-2</v>
      </c>
      <c r="D64" s="535">
        <f t="shared" si="5"/>
        <v>4.3209876543209873</v>
      </c>
      <c r="E64" s="4">
        <f t="shared" si="6"/>
        <v>5.7857142857142864E-2</v>
      </c>
      <c r="F64" s="535">
        <f t="shared" si="7"/>
        <v>4.3950617283950617</v>
      </c>
      <c r="G64" s="4">
        <f t="shared" si="8"/>
        <v>7.3946629213483134E-2</v>
      </c>
      <c r="H64" s="535">
        <f t="shared" si="9"/>
        <v>4.3172465394687611</v>
      </c>
      <c r="I64" s="4">
        <f t="shared" si="10"/>
        <v>7.5279462738301564E-2</v>
      </c>
      <c r="J64" s="535">
        <f t="shared" si="11"/>
        <v>4.288065843621399</v>
      </c>
      <c r="K64" s="4">
        <f t="shared" si="12"/>
        <v>7.5791746641074853E-2</v>
      </c>
      <c r="L64" s="519"/>
      <c r="M64" s="519"/>
    </row>
    <row r="65" spans="1:13" ht="19.149999999999999" customHeight="1" x14ac:dyDescent="0.25">
      <c r="A65" s="534">
        <f t="shared" si="2"/>
        <v>15</v>
      </c>
      <c r="B65" s="535">
        <f t="shared" si="3"/>
        <v>4.6759259259259256</v>
      </c>
      <c r="C65" s="4">
        <f t="shared" si="4"/>
        <v>4.2772277227722776E-2</v>
      </c>
      <c r="D65" s="535">
        <f t="shared" si="5"/>
        <v>4.6759259259259256</v>
      </c>
      <c r="E65" s="4">
        <f t="shared" si="6"/>
        <v>5.3465346534653471E-2</v>
      </c>
      <c r="F65" s="535">
        <f t="shared" si="7"/>
        <v>4.7453703703703702</v>
      </c>
      <c r="G65" s="4">
        <f t="shared" si="8"/>
        <v>6.8487804878048772E-2</v>
      </c>
      <c r="H65" s="535">
        <f t="shared" si="9"/>
        <v>4.6724186307519631</v>
      </c>
      <c r="I65" s="4">
        <f t="shared" si="10"/>
        <v>6.9557123555021777E-2</v>
      </c>
      <c r="J65" s="535">
        <f t="shared" si="11"/>
        <v>4.6450617283950617</v>
      </c>
      <c r="K65" s="4">
        <f t="shared" si="12"/>
        <v>6.9966777408637867E-2</v>
      </c>
      <c r="L65" s="519"/>
      <c r="M65" s="519"/>
    </row>
    <row r="66" spans="1:13" ht="19.149999999999999" customHeight="1" x14ac:dyDescent="0.25">
      <c r="A66" s="534">
        <f t="shared" si="2"/>
        <v>16</v>
      </c>
      <c r="B66" s="535">
        <f t="shared" si="3"/>
        <v>5.0308641975308639</v>
      </c>
      <c r="C66" s="4">
        <f t="shared" si="4"/>
        <v>3.9754601226993869E-2</v>
      </c>
      <c r="D66" s="535">
        <f t="shared" si="5"/>
        <v>5.0308641975308639</v>
      </c>
      <c r="E66" s="4">
        <f t="shared" si="6"/>
        <v>4.9693251533742336E-2</v>
      </c>
      <c r="F66" s="535">
        <f t="shared" si="7"/>
        <v>5.0956790123456788</v>
      </c>
      <c r="G66" s="4">
        <f t="shared" si="8"/>
        <v>6.377952755905511E-2</v>
      </c>
      <c r="H66" s="535">
        <f t="shared" si="9"/>
        <v>5.0275907220351668</v>
      </c>
      <c r="I66" s="4">
        <f t="shared" si="10"/>
        <v>6.4643288996372422E-2</v>
      </c>
      <c r="J66" s="535">
        <f t="shared" si="11"/>
        <v>5.0020576131687244</v>
      </c>
      <c r="K66" s="4">
        <f t="shared" si="12"/>
        <v>6.4973262032085546E-2</v>
      </c>
      <c r="L66" s="519"/>
      <c r="M66" s="519"/>
    </row>
    <row r="67" spans="1:13" ht="19.149999999999999" customHeight="1" x14ac:dyDescent="0.25">
      <c r="A67" s="534">
        <f t="shared" si="2"/>
        <v>17</v>
      </c>
      <c r="B67" s="535">
        <f t="shared" si="3"/>
        <v>5.3858024691358022</v>
      </c>
      <c r="C67" s="4">
        <f t="shared" si="4"/>
        <v>3.7134670487106024E-2</v>
      </c>
      <c r="D67" s="535">
        <f t="shared" si="5"/>
        <v>5.3858024691358022</v>
      </c>
      <c r="E67" s="4">
        <f t="shared" si="6"/>
        <v>4.6418338108882524E-2</v>
      </c>
      <c r="F67" s="535">
        <f t="shared" si="7"/>
        <v>5.4459876543209873</v>
      </c>
      <c r="G67" s="4">
        <f t="shared" si="8"/>
        <v>5.9676962312269759E-2</v>
      </c>
      <c r="H67" s="535">
        <f t="shared" si="9"/>
        <v>5.3827628133183687</v>
      </c>
      <c r="I67" s="4">
        <f t="shared" si="10"/>
        <v>6.0377915815994089E-2</v>
      </c>
      <c r="J67" s="535">
        <f t="shared" si="11"/>
        <v>5.3590534979423872</v>
      </c>
      <c r="K67" s="4">
        <f t="shared" si="12"/>
        <v>6.0645037435208278E-2</v>
      </c>
      <c r="L67" s="519"/>
      <c r="M67" s="519"/>
    </row>
    <row r="68" spans="1:13" ht="19.149999999999999" customHeight="1" x14ac:dyDescent="0.25">
      <c r="A68" s="534">
        <f t="shared" si="2"/>
        <v>18</v>
      </c>
      <c r="B68" s="535">
        <f t="shared" si="3"/>
        <v>5.7407407407407405</v>
      </c>
      <c r="C68" s="4">
        <f t="shared" si="4"/>
        <v>3.4838709677419359E-2</v>
      </c>
      <c r="D68" s="535">
        <f t="shared" si="5"/>
        <v>5.7407407407407405</v>
      </c>
      <c r="E68" s="4">
        <f t="shared" si="6"/>
        <v>4.3548387096774194E-2</v>
      </c>
      <c r="F68" s="535">
        <f t="shared" si="7"/>
        <v>5.7962962962962958</v>
      </c>
      <c r="G68" s="4">
        <f t="shared" si="8"/>
        <v>5.6070287539936099E-2</v>
      </c>
      <c r="H68" s="535">
        <f t="shared" si="9"/>
        <v>5.7379349046015715</v>
      </c>
      <c r="I68" s="4">
        <f t="shared" si="10"/>
        <v>5.6640586797066003E-2</v>
      </c>
      <c r="J68" s="535">
        <f t="shared" si="11"/>
        <v>5.716049382716049</v>
      </c>
      <c r="K68" s="4">
        <f t="shared" si="12"/>
        <v>5.6857451403887684E-2</v>
      </c>
      <c r="L68" s="519"/>
      <c r="M68" s="519"/>
    </row>
    <row r="69" spans="1:13" ht="19.149999999999999" customHeight="1" x14ac:dyDescent="0.25">
      <c r="A69" s="534">
        <f t="shared" si="2"/>
        <v>19</v>
      </c>
      <c r="B69" s="535">
        <f t="shared" si="3"/>
        <v>6.0956790123456788</v>
      </c>
      <c r="C69" s="4">
        <f t="shared" si="4"/>
        <v>3.2810126582278484E-2</v>
      </c>
      <c r="D69" s="535">
        <f t="shared" si="5"/>
        <v>6.0956790123456788</v>
      </c>
      <c r="E69" s="4">
        <f t="shared" si="6"/>
        <v>4.1012658227848102E-2</v>
      </c>
      <c r="F69" s="535">
        <f t="shared" si="7"/>
        <v>6.1466049382716044</v>
      </c>
      <c r="G69" s="4">
        <f t="shared" si="8"/>
        <v>5.287471754958574E-2</v>
      </c>
      <c r="H69" s="535">
        <f t="shared" si="9"/>
        <v>6.0931069958847734</v>
      </c>
      <c r="I69" s="4">
        <f t="shared" si="10"/>
        <v>5.3338961587167576E-2</v>
      </c>
      <c r="J69" s="535">
        <f t="shared" si="11"/>
        <v>6.0730452674897126</v>
      </c>
      <c r="K69" s="4">
        <f t="shared" si="12"/>
        <v>5.351516178214466E-2</v>
      </c>
      <c r="L69" s="519"/>
      <c r="M69" s="519"/>
    </row>
    <row r="70" spans="1:13" ht="19.149999999999999" customHeight="1" x14ac:dyDescent="0.25">
      <c r="A70" s="534">
        <f t="shared" si="2"/>
        <v>20</v>
      </c>
      <c r="B70" s="535">
        <f t="shared" si="3"/>
        <v>6.4506172839506171</v>
      </c>
      <c r="C70" s="4">
        <f t="shared" si="4"/>
        <v>3.1004784688995219E-2</v>
      </c>
      <c r="D70" s="535">
        <f t="shared" si="5"/>
        <v>6.4506172839506171</v>
      </c>
      <c r="E70" s="4">
        <f t="shared" si="6"/>
        <v>3.8755980861244023E-2</v>
      </c>
      <c r="F70" s="535">
        <f t="shared" si="7"/>
        <v>6.4969135802469129</v>
      </c>
      <c r="G70" s="4">
        <f t="shared" si="8"/>
        <v>5.0023752969121135E-2</v>
      </c>
      <c r="H70" s="535">
        <f t="shared" si="9"/>
        <v>6.4482790871679754</v>
      </c>
      <c r="I70" s="4">
        <f t="shared" si="10"/>
        <v>5.0401044310682423E-2</v>
      </c>
      <c r="J70" s="535">
        <f t="shared" si="11"/>
        <v>6.4300411522633745</v>
      </c>
      <c r="K70" s="4">
        <f t="shared" si="12"/>
        <v>5.0543999999999992E-2</v>
      </c>
      <c r="L70" s="519"/>
      <c r="M70" s="519"/>
    </row>
    <row r="71" spans="1:13" ht="19.149999999999999" customHeight="1" x14ac:dyDescent="0.25">
      <c r="A71" s="534">
        <f t="shared" si="2"/>
        <v>21</v>
      </c>
      <c r="B71" s="535">
        <f t="shared" si="3"/>
        <v>6.8055555555555554</v>
      </c>
      <c r="C71" s="4">
        <f t="shared" si="4"/>
        <v>2.9387755102040818E-2</v>
      </c>
      <c r="D71" s="535">
        <f t="shared" si="5"/>
        <v>6.8055555555555554</v>
      </c>
      <c r="E71" s="4">
        <f t="shared" si="6"/>
        <v>3.6734693877551024E-2</v>
      </c>
      <c r="F71" s="535">
        <f t="shared" si="7"/>
        <v>6.8472222222222223</v>
      </c>
      <c r="G71" s="4">
        <f t="shared" si="8"/>
        <v>4.7464503042596341E-2</v>
      </c>
      <c r="H71" s="535">
        <f t="shared" si="9"/>
        <v>6.8034511784511782</v>
      </c>
      <c r="I71" s="4">
        <f t="shared" si="10"/>
        <v>4.7769873182802347E-2</v>
      </c>
      <c r="J71" s="535">
        <f t="shared" si="11"/>
        <v>6.7870370370370372</v>
      </c>
      <c r="K71" s="4">
        <f t="shared" si="12"/>
        <v>4.7885402455661655E-2</v>
      </c>
      <c r="L71" s="519"/>
      <c r="M71" s="519"/>
    </row>
    <row r="72" spans="1:13" ht="19.149999999999999" customHeight="1" x14ac:dyDescent="0.25">
      <c r="A72" s="534">
        <f t="shared" si="2"/>
        <v>22</v>
      </c>
      <c r="B72" s="535">
        <f t="shared" si="3"/>
        <v>7.1604938271604937</v>
      </c>
      <c r="C72" s="4">
        <f t="shared" si="4"/>
        <v>2.7931034482758622E-2</v>
      </c>
      <c r="D72" s="535">
        <f t="shared" si="5"/>
        <v>7.1604938271604937</v>
      </c>
      <c r="E72" s="4">
        <f t="shared" si="6"/>
        <v>3.4913793103448276E-2</v>
      </c>
      <c r="F72" s="535">
        <f t="shared" si="7"/>
        <v>7.1975308641975309</v>
      </c>
      <c r="G72" s="4">
        <f t="shared" si="8"/>
        <v>4.5154373927958825E-2</v>
      </c>
      <c r="H72" s="535">
        <f t="shared" si="9"/>
        <v>7.158623269734381</v>
      </c>
      <c r="I72" s="4">
        <f t="shared" si="10"/>
        <v>4.5399790958975693E-2</v>
      </c>
      <c r="J72" s="535">
        <f t="shared" si="11"/>
        <v>7.1440329218106999</v>
      </c>
      <c r="K72" s="4">
        <f t="shared" si="12"/>
        <v>4.5492511520737321E-2</v>
      </c>
      <c r="L72" s="519"/>
      <c r="M72" s="519"/>
    </row>
    <row r="73" spans="1:13" ht="19.149999999999999" customHeight="1" x14ac:dyDescent="0.25">
      <c r="A73" s="534">
        <f t="shared" si="2"/>
        <v>23</v>
      </c>
      <c r="B73" s="535">
        <f t="shared" si="3"/>
        <v>7.5154320987654319</v>
      </c>
      <c r="C73" s="4">
        <f t="shared" si="4"/>
        <v>2.6611909650924026E-2</v>
      </c>
      <c r="D73" s="535">
        <f t="shared" si="5"/>
        <v>7.5154320987654319</v>
      </c>
      <c r="E73" s="4">
        <f t="shared" si="6"/>
        <v>3.3264887063655033E-2</v>
      </c>
      <c r="F73" s="535">
        <f t="shared" si="7"/>
        <v>7.5478395061728394</v>
      </c>
      <c r="G73" s="4">
        <f t="shared" si="8"/>
        <v>4.3058679206706189E-2</v>
      </c>
      <c r="H73" s="535">
        <f t="shared" si="9"/>
        <v>7.5137953610175838</v>
      </c>
      <c r="I73" s="4">
        <f t="shared" si="10"/>
        <v>4.3253773144546433E-2</v>
      </c>
      <c r="J73" s="535">
        <f t="shared" si="11"/>
        <v>7.5010288065843618</v>
      </c>
      <c r="K73" s="4">
        <f t="shared" si="12"/>
        <v>4.332738993279385E-2</v>
      </c>
      <c r="L73" s="519"/>
      <c r="M73" s="519"/>
    </row>
    <row r="74" spans="1:13" ht="19.149999999999999" customHeight="1" x14ac:dyDescent="0.25">
      <c r="A74" s="534">
        <f t="shared" si="2"/>
        <v>24</v>
      </c>
      <c r="B74" s="535">
        <f t="shared" si="3"/>
        <v>7.8703703703703702</v>
      </c>
      <c r="C74" s="4">
        <f t="shared" si="4"/>
        <v>2.5411764705882356E-2</v>
      </c>
      <c r="D74" s="535">
        <f t="shared" si="5"/>
        <v>7.8703703703703702</v>
      </c>
      <c r="E74" s="4">
        <f t="shared" si="6"/>
        <v>3.1764705882352945E-2</v>
      </c>
      <c r="F74" s="535">
        <f t="shared" si="7"/>
        <v>7.8981481481481479</v>
      </c>
      <c r="G74" s="4">
        <f t="shared" si="8"/>
        <v>4.1148886283704569E-2</v>
      </c>
      <c r="H74" s="535">
        <f t="shared" si="9"/>
        <v>7.8689674523007858</v>
      </c>
      <c r="I74" s="4">
        <f t="shared" si="10"/>
        <v>4.1301479764663925E-2</v>
      </c>
      <c r="J74" s="535">
        <f t="shared" si="11"/>
        <v>7.8580246913580245</v>
      </c>
      <c r="K74" s="4">
        <f t="shared" si="12"/>
        <v>4.1358994501178317E-2</v>
      </c>
      <c r="L74" s="519"/>
      <c r="M74" s="519"/>
    </row>
    <row r="75" spans="1:13" ht="19.149999999999999" customHeight="1" x14ac:dyDescent="0.25">
      <c r="A75" s="534">
        <f t="shared" si="2"/>
        <v>25</v>
      </c>
      <c r="B75" s="535">
        <f t="shared" si="3"/>
        <v>8.2253086419753085</v>
      </c>
      <c r="C75" s="4">
        <f t="shared" si="4"/>
        <v>2.4315196998123827E-2</v>
      </c>
      <c r="D75" s="535">
        <f t="shared" si="5"/>
        <v>8.2253086419753085</v>
      </c>
      <c r="E75" s="4">
        <f t="shared" si="6"/>
        <v>3.0393996247654785E-2</v>
      </c>
      <c r="F75" s="535">
        <f t="shared" si="7"/>
        <v>8.2484567901234573</v>
      </c>
      <c r="G75" s="4">
        <f t="shared" si="8"/>
        <v>3.9401309635173049E-2</v>
      </c>
      <c r="H75" s="535">
        <f t="shared" si="9"/>
        <v>8.2241395435839877</v>
      </c>
      <c r="I75" s="4">
        <f t="shared" si="10"/>
        <v>3.9517811958035991E-2</v>
      </c>
      <c r="J75" s="535">
        <f t="shared" si="11"/>
        <v>8.2150205761316872</v>
      </c>
      <c r="K75" s="4">
        <f t="shared" si="12"/>
        <v>3.9561678146524726E-2</v>
      </c>
      <c r="L75" s="519"/>
      <c r="M75" s="519"/>
    </row>
    <row r="76" spans="1:13" ht="19.149999999999999" customHeight="1" x14ac:dyDescent="0.25">
      <c r="A76" s="534">
        <f t="shared" si="2"/>
        <v>26</v>
      </c>
      <c r="B76" s="535">
        <f t="shared" si="3"/>
        <v>8.5802469135802468</v>
      </c>
      <c r="C76" s="4">
        <f t="shared" si="4"/>
        <v>2.3309352517985615E-2</v>
      </c>
      <c r="D76" s="535">
        <f t="shared" si="5"/>
        <v>8.5802469135802468</v>
      </c>
      <c r="E76" s="4">
        <f t="shared" si="6"/>
        <v>2.9136690647482016E-2</v>
      </c>
      <c r="F76" s="535">
        <f t="shared" si="7"/>
        <v>8.5987654320987659</v>
      </c>
      <c r="G76" s="4">
        <f t="shared" si="8"/>
        <v>3.7796123474515428E-2</v>
      </c>
      <c r="H76" s="535">
        <f t="shared" si="9"/>
        <v>8.5793116348671905</v>
      </c>
      <c r="I76" s="4">
        <f t="shared" si="10"/>
        <v>3.7881827101275474E-2</v>
      </c>
      <c r="J76" s="535">
        <f t="shared" si="11"/>
        <v>8.5720164609053491</v>
      </c>
      <c r="K76" s="4">
        <f t="shared" si="12"/>
        <v>3.7914066250600093E-2</v>
      </c>
      <c r="L76" s="519"/>
      <c r="M76" s="519"/>
    </row>
    <row r="77" spans="1:13" ht="19.149999999999999" customHeight="1" x14ac:dyDescent="0.25">
      <c r="A77" s="534">
        <f t="shared" si="2"/>
        <v>27</v>
      </c>
      <c r="B77" s="535">
        <f>(A76-30)/(3-30)*($B$53-$B$80)+$B$80</f>
        <v>8.5802469135802468</v>
      </c>
      <c r="C77" s="4">
        <f t="shared" si="4"/>
        <v>2.3309352517985615E-2</v>
      </c>
      <c r="D77" s="535">
        <f t="shared" si="5"/>
        <v>8.9351851851851851</v>
      </c>
      <c r="E77" s="4">
        <f t="shared" si="6"/>
        <v>2.7979274611398965E-2</v>
      </c>
      <c r="F77" s="535">
        <f t="shared" si="7"/>
        <v>8.9490740740740744</v>
      </c>
      <c r="G77" s="4">
        <f t="shared" si="8"/>
        <v>3.6316606311432999E-2</v>
      </c>
      <c r="H77" s="535">
        <f t="shared" si="9"/>
        <v>8.9344837261503933</v>
      </c>
      <c r="I77" s="4">
        <f t="shared" si="10"/>
        <v>3.6375912695297156E-2</v>
      </c>
      <c r="J77" s="535">
        <f t="shared" si="11"/>
        <v>8.9290123456790127</v>
      </c>
      <c r="K77" s="4">
        <f t="shared" si="12"/>
        <v>3.6398202557898371E-2</v>
      </c>
      <c r="L77" s="519"/>
      <c r="M77" s="519"/>
    </row>
    <row r="78" spans="1:13" ht="19.149999999999999" customHeight="1" x14ac:dyDescent="0.25">
      <c r="A78" s="534">
        <f t="shared" si="2"/>
        <v>28</v>
      </c>
      <c r="B78" s="535">
        <f t="shared" si="3"/>
        <v>9.2901234567901234</v>
      </c>
      <c r="C78" s="4">
        <f t="shared" si="4"/>
        <v>2.1528239202657808E-2</v>
      </c>
      <c r="D78" s="535">
        <f t="shared" si="5"/>
        <v>9.2901234567901234</v>
      </c>
      <c r="E78" s="4">
        <f t="shared" si="6"/>
        <v>2.6910299003322258E-2</v>
      </c>
      <c r="F78" s="535">
        <f t="shared" si="7"/>
        <v>9.2993827160493829</v>
      </c>
      <c r="G78" s="4">
        <f t="shared" si="8"/>
        <v>3.4948556256223028E-2</v>
      </c>
      <c r="H78" s="535">
        <f t="shared" si="9"/>
        <v>9.2896558174335944</v>
      </c>
      <c r="I78" s="4">
        <f t="shared" si="10"/>
        <v>3.4985149760885979E-2</v>
      </c>
      <c r="J78" s="535">
        <f t="shared" si="11"/>
        <v>9.2860082304526745</v>
      </c>
      <c r="K78" s="4">
        <f t="shared" si="12"/>
        <v>3.4998892089519167E-2</v>
      </c>
      <c r="L78" s="519"/>
      <c r="M78" s="519"/>
    </row>
    <row r="79" spans="1:13" ht="19.149999999999999" customHeight="1" x14ac:dyDescent="0.25">
      <c r="A79" s="534">
        <f t="shared" si="2"/>
        <v>29</v>
      </c>
      <c r="B79" s="535">
        <f t="shared" si="3"/>
        <v>9.6450617283950617</v>
      </c>
      <c r="C79" s="4">
        <f t="shared" si="4"/>
        <v>2.0736000000000001E-2</v>
      </c>
      <c r="D79" s="535">
        <f t="shared" si="5"/>
        <v>9.6450617283950617</v>
      </c>
      <c r="E79" s="4">
        <f t="shared" si="6"/>
        <v>2.5919999999999999E-2</v>
      </c>
      <c r="F79" s="535">
        <f t="shared" si="7"/>
        <v>9.6496913580246915</v>
      </c>
      <c r="G79" s="4">
        <f t="shared" si="8"/>
        <v>3.3679833679833675E-2</v>
      </c>
      <c r="H79" s="535">
        <f t="shared" si="9"/>
        <v>9.6448279087167972</v>
      </c>
      <c r="I79" s="4">
        <f t="shared" si="10"/>
        <v>3.3696816892530727E-2</v>
      </c>
      <c r="J79" s="535">
        <f t="shared" si="11"/>
        <v>9.6430041152263382</v>
      </c>
      <c r="K79" s="4">
        <f t="shared" si="12"/>
        <v>3.3703190013869622E-2</v>
      </c>
      <c r="L79" s="519"/>
      <c r="M79" s="519"/>
    </row>
    <row r="80" spans="1:13" ht="19.149999999999999" customHeight="1" x14ac:dyDescent="0.25">
      <c r="A80" s="534">
        <f t="shared" si="2"/>
        <v>30</v>
      </c>
      <c r="B80" s="535">
        <v>10</v>
      </c>
      <c r="C80" s="4">
        <f t="shared" si="4"/>
        <v>0.02</v>
      </c>
      <c r="D80" s="535">
        <v>10</v>
      </c>
      <c r="E80" s="4">
        <f t="shared" si="6"/>
        <v>2.5000000000000001E-2</v>
      </c>
      <c r="F80" s="535">
        <v>10</v>
      </c>
      <c r="G80" s="4">
        <f t="shared" si="8"/>
        <v>3.2499999999999994E-2</v>
      </c>
      <c r="H80" s="535">
        <v>10</v>
      </c>
      <c r="I80" s="4">
        <f>$H$35/H80</f>
        <v>3.2499999999999994E-2</v>
      </c>
      <c r="J80" s="535">
        <v>10</v>
      </c>
      <c r="K80" s="4">
        <f t="shared" si="12"/>
        <v>3.2499999999999994E-2</v>
      </c>
      <c r="L80" s="519"/>
      <c r="M80" s="519"/>
    </row>
    <row r="81" spans="1:16" ht="19.149999999999999" customHeight="1" x14ac:dyDescent="0.25">
      <c r="B81" s="514"/>
    </row>
    <row r="83" spans="1:16" ht="19.149999999999999" customHeight="1" x14ac:dyDescent="0.25">
      <c r="A83" s="14" t="s">
        <v>923</v>
      </c>
      <c r="B83" s="524" t="s">
        <v>1089</v>
      </c>
    </row>
    <row r="84" spans="1:16" ht="19.149999999999999" customHeight="1" x14ac:dyDescent="0.25">
      <c r="B84" s="1" t="s">
        <v>1085</v>
      </c>
      <c r="H84" s="7" t="s">
        <v>1090</v>
      </c>
      <c r="I84" s="4">
        <f>IF(H7="Batuan Keras (SA)",E45,IF(H7="Batuan (SB)",F45,IF(H7="Tanah Keras (SC)",G45,IF(H7="Tanah Sedang (SD)",H45,IF(H7="Tanah Lunak (SE)",I45,"[ EROR ]")))))</f>
        <v>8.2070707070707072E-2</v>
      </c>
      <c r="J84" s="5" t="s">
        <v>1063</v>
      </c>
    </row>
    <row r="85" spans="1:16" ht="19.149999999999999" customHeight="1" x14ac:dyDescent="0.25">
      <c r="B85" s="1" t="s">
        <v>1083</v>
      </c>
      <c r="H85" s="7" t="s">
        <v>1091</v>
      </c>
      <c r="I85" s="4">
        <f>IF(H7="Batuan Keras (SA)",E41,IF(H7="Batuan (SB)",F41,IF(H7="Tanah Keras (SC)",G41,IF(H7="Tanah Sedang (SD)",H41,IF(H7="Tanah Lunak (SE)",I41,"[ EROR ]")))))</f>
        <v>0.41035353535353536</v>
      </c>
      <c r="J85" s="5" t="s">
        <v>1063</v>
      </c>
    </row>
    <row r="86" spans="1:16" ht="19.149999999999999" customHeight="1" x14ac:dyDescent="0.25">
      <c r="B86" s="1" t="s">
        <v>177</v>
      </c>
      <c r="H86" s="7" t="s">
        <v>1092</v>
      </c>
      <c r="I86" s="4">
        <f>IF(H7="Batuan Keras (SA)",E27,IF(H7="Batuan (SB)",F27,IF(H7="Tanah Keras (SC)",G27,IF(H7="Tanah Sedang (SD)",H27,IF(H7="Tanah Lunak (SE)",I27,"[ EROR ]")))))</f>
        <v>0.36</v>
      </c>
      <c r="J86" s="5" t="s">
        <v>152</v>
      </c>
    </row>
    <row r="87" spans="1:16" ht="19.149999999999999" customHeight="1" x14ac:dyDescent="0.25">
      <c r="B87" s="1" t="s">
        <v>1077</v>
      </c>
      <c r="H87" s="7" t="s">
        <v>1093</v>
      </c>
      <c r="I87" s="4">
        <f>IF(H7="Batuan Keras (SA)",E31,IF(H7="Batuan (SB)",F31,IF(H7="Tanah Keras (SC)",G31,IF(H7="Tanah Sedang (SD)",H31,IF(H7="Tanah Lunak (SE)",I31,"[ EROR ]")))))</f>
        <v>0.79199999999999993</v>
      </c>
      <c r="J87" s="5" t="s">
        <v>152</v>
      </c>
    </row>
    <row r="88" spans="1:16" ht="19.149999999999999" customHeight="1" x14ac:dyDescent="0.25">
      <c r="B88" s="1" t="s">
        <v>1079</v>
      </c>
      <c r="H88" s="7" t="s">
        <v>1094</v>
      </c>
      <c r="I88" s="4">
        <f>IF(H7="Batuan Keras (SA)",E35,IF(H7="Batuan (SB)",F35,IF(H7="Tanah Keras (SC)",G35,IF(H7="Tanah Sedang (SD)",H35,IF(H7="Tanah Lunak (SE)",I35,"[ EROR ]")))))</f>
        <v>0.32499999999999996</v>
      </c>
      <c r="J88" s="5" t="s">
        <v>152</v>
      </c>
      <c r="N88" s="20"/>
      <c r="O88" s="519"/>
      <c r="P88" s="519"/>
    </row>
    <row r="89" spans="1:16" ht="19.149999999999999" customHeight="1" x14ac:dyDescent="0.25">
      <c r="B89" s="1" t="s">
        <v>1095</v>
      </c>
      <c r="H89" s="7" t="s">
        <v>1096</v>
      </c>
      <c r="I89" s="536">
        <f>IF(I8&lt;I84,(I87-I86)*(I8/I84)+I86,IF(I8&lt;=I85,I87,IF(I8&gt;I85,I88/I8,"[ EROR ]")))</f>
        <v>0.79199999999999993</v>
      </c>
      <c r="J89" s="5" t="s">
        <v>152</v>
      </c>
      <c r="K89" s="573" t="s">
        <v>1097</v>
      </c>
      <c r="L89" s="519">
        <f>I8</f>
        <v>0.11433203521147195</v>
      </c>
      <c r="M89" s="519">
        <v>0</v>
      </c>
    </row>
    <row r="90" spans="1:16" ht="19.149999999999999" customHeight="1" x14ac:dyDescent="0.25">
      <c r="I90" s="537"/>
      <c r="K90" s="573"/>
      <c r="L90" s="519">
        <f>L89</f>
        <v>0.11433203521147195</v>
      </c>
      <c r="M90" s="519">
        <f>I89</f>
        <v>0.79199999999999993</v>
      </c>
    </row>
    <row r="92" spans="1:16" ht="19.149999999999999" customHeight="1" x14ac:dyDescent="0.25">
      <c r="B92" s="1" t="s">
        <v>1095</v>
      </c>
      <c r="H92" s="7" t="s">
        <v>1096</v>
      </c>
      <c r="I92" s="536">
        <f>IF(I9&lt;I84,(I87-I86)*(I9/I84)+I86,IF(I9&lt;=I85,I87,IF(I9&gt;I85,I88/I9,"[ EROR ]")))</f>
        <v>0.47973315395905469</v>
      </c>
      <c r="J92" s="5" t="s">
        <v>152</v>
      </c>
      <c r="K92" s="573" t="s">
        <v>1097</v>
      </c>
      <c r="L92" s="519">
        <f>I9</f>
        <v>2.2746723623207066E-2</v>
      </c>
      <c r="M92" s="519">
        <v>0</v>
      </c>
    </row>
    <row r="93" spans="1:16" ht="19.149999999999999" customHeight="1" x14ac:dyDescent="0.25">
      <c r="I93" s="537"/>
      <c r="K93" s="573"/>
      <c r="L93" s="519">
        <f>L92</f>
        <v>2.2746723623207066E-2</v>
      </c>
      <c r="M93" s="519">
        <f>I92</f>
        <v>0.47973315395905469</v>
      </c>
    </row>
  </sheetData>
  <mergeCells count="11">
    <mergeCell ref="J50:K50"/>
    <mergeCell ref="K89:K90"/>
    <mergeCell ref="K92:K93"/>
    <mergeCell ref="B2:F2"/>
    <mergeCell ref="B3:F3"/>
    <mergeCell ref="B4:F4"/>
    <mergeCell ref="H7:I7"/>
    <mergeCell ref="B50:C50"/>
    <mergeCell ref="D50:E50"/>
    <mergeCell ref="F50:G50"/>
    <mergeCell ref="H50:I50"/>
  </mergeCells>
  <dataValidations disablePrompts="1" count="1">
    <dataValidation type="list" allowBlank="1" showInputMessage="1" showErrorMessage="1" sqref="H7:I7" xr:uid="{B386C36D-F8C4-42E6-93A1-A482BCE66CDE}">
      <formula1>"Batuan Keras (SA), Batuan (SB), Tanah Keras (SC), Tanah Sedang (SD), Tanah Lunak (SE)"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8638F-BDA9-4314-817D-BAF38A71D4E0}">
  <sheetPr>
    <tabColor theme="8" tint="0.79998168889431442"/>
  </sheetPr>
  <dimension ref="A20:F30"/>
  <sheetViews>
    <sheetView showGridLines="0" workbookViewId="0"/>
  </sheetViews>
  <sheetFormatPr defaultRowHeight="19.5" customHeight="1" x14ac:dyDescent="0.25"/>
  <cols>
    <col min="1" max="1" width="6.7109375" style="108" customWidth="1"/>
    <col min="2" max="2" width="9.85546875" customWidth="1"/>
    <col min="3" max="3" width="36.42578125" customWidth="1"/>
    <col min="4" max="4" width="11.5703125" customWidth="1"/>
    <col min="5" max="9" width="11.7109375" customWidth="1"/>
  </cols>
  <sheetData>
    <row r="20" spans="1:6" ht="19.5" customHeight="1" x14ac:dyDescent="0.25">
      <c r="A20" s="14" t="s">
        <v>50</v>
      </c>
      <c r="B20" s="9" t="s">
        <v>945</v>
      </c>
    </row>
    <row r="21" spans="1:6" ht="15" x14ac:dyDescent="0.25">
      <c r="B21" s="577" t="s">
        <v>59</v>
      </c>
      <c r="C21" s="577" t="s">
        <v>184</v>
      </c>
      <c r="D21" s="577"/>
      <c r="E21" s="577"/>
      <c r="F21" s="577"/>
    </row>
    <row r="22" spans="1:6" ht="19.5" customHeight="1" x14ac:dyDescent="0.25">
      <c r="B22" s="577"/>
      <c r="C22" s="577"/>
      <c r="D22" s="266" t="s">
        <v>185</v>
      </c>
      <c r="E22" s="266" t="s">
        <v>622</v>
      </c>
      <c r="F22" s="266" t="s">
        <v>623</v>
      </c>
    </row>
    <row r="23" spans="1:6" ht="19.5" customHeight="1" x14ac:dyDescent="0.25">
      <c r="B23" s="267">
        <v>1</v>
      </c>
      <c r="C23" s="57" t="s">
        <v>188</v>
      </c>
      <c r="D23" s="264">
        <f>0.5*6958.068</f>
        <v>3479.0340000000001</v>
      </c>
      <c r="E23" s="265"/>
      <c r="F23" s="265"/>
    </row>
    <row r="24" spans="1:6" ht="19.5" customHeight="1" x14ac:dyDescent="0.25">
      <c r="B24" s="267">
        <v>2</v>
      </c>
      <c r="C24" s="57" t="s">
        <v>189</v>
      </c>
      <c r="D24" s="264">
        <f>0.5*2443.6</f>
        <v>1221.8</v>
      </c>
      <c r="E24" s="265"/>
      <c r="F24" s="265"/>
    </row>
    <row r="25" spans="1:6" ht="19.5" customHeight="1" x14ac:dyDescent="0.25">
      <c r="B25" s="267">
        <v>3</v>
      </c>
      <c r="C25" s="57" t="s">
        <v>190</v>
      </c>
      <c r="D25" s="264">
        <f>0.5*3068.8</f>
        <v>1534.4</v>
      </c>
      <c r="E25" s="265"/>
      <c r="F25" s="265"/>
    </row>
    <row r="26" spans="1:6" ht="19.5" customHeight="1" x14ac:dyDescent="0.25">
      <c r="B26" s="267">
        <v>4</v>
      </c>
      <c r="C26" s="57" t="s">
        <v>191</v>
      </c>
      <c r="D26" s="264">
        <f>500*1.3</f>
        <v>650</v>
      </c>
      <c r="E26" s="265"/>
      <c r="F26" s="265"/>
    </row>
    <row r="27" spans="1:6" ht="19.5" customHeight="1" x14ac:dyDescent="0.25">
      <c r="B27" s="267">
        <v>5</v>
      </c>
      <c r="C27" s="57" t="s">
        <v>192</v>
      </c>
      <c r="D27" s="265"/>
      <c r="E27" s="264">
        <v>144.01499999999999</v>
      </c>
      <c r="F27" s="265"/>
    </row>
    <row r="28" spans="1:6" ht="19.5" customHeight="1" x14ac:dyDescent="0.25">
      <c r="B28" s="267">
        <v>6</v>
      </c>
      <c r="C28" s="57" t="s">
        <v>193</v>
      </c>
      <c r="D28" s="264">
        <f>0.5*640</f>
        <v>320</v>
      </c>
      <c r="E28" s="265"/>
      <c r="F28" s="265"/>
    </row>
    <row r="29" spans="1:6" ht="19.5" customHeight="1" x14ac:dyDescent="0.25">
      <c r="B29" s="267">
        <v>7</v>
      </c>
      <c r="C29" s="57" t="s">
        <v>194</v>
      </c>
      <c r="D29" s="265"/>
      <c r="E29" s="265"/>
      <c r="F29" s="264">
        <f>0.5*58.4</f>
        <v>29.2</v>
      </c>
    </row>
    <row r="30" spans="1:6" ht="19.5" customHeight="1" x14ac:dyDescent="0.25">
      <c r="B30" s="267">
        <v>8</v>
      </c>
      <c r="C30" s="57" t="s">
        <v>195</v>
      </c>
      <c r="D30" s="265"/>
      <c r="E30" s="265"/>
      <c r="F30" s="264">
        <f>0.5*764.92</f>
        <v>382.46</v>
      </c>
    </row>
  </sheetData>
  <mergeCells count="3">
    <mergeCell ref="B21:B22"/>
    <mergeCell ref="C21:C22"/>
    <mergeCell ref="D21:F2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986E8-FE24-47BD-87F7-5833D3906C78}">
  <sheetPr>
    <tabColor theme="7" tint="0.79998168889431442"/>
  </sheetPr>
  <dimension ref="A1:AA215"/>
  <sheetViews>
    <sheetView showGridLines="0" workbookViewId="0"/>
  </sheetViews>
  <sheetFormatPr defaultRowHeight="19.5" customHeight="1" x14ac:dyDescent="0.25"/>
  <cols>
    <col min="1" max="1" width="7.140625" style="35" customWidth="1"/>
    <col min="2" max="4" width="9.140625" style="1"/>
    <col min="5" max="5" width="9.140625" style="1" customWidth="1"/>
    <col min="6" max="7" width="9.140625" style="1"/>
    <col min="8" max="8" width="11.42578125" style="1" customWidth="1"/>
    <col min="9" max="9" width="12.85546875" style="1" customWidth="1"/>
    <col min="10" max="10" width="10.7109375" style="1" customWidth="1"/>
    <col min="11" max="11" width="9.85546875" style="1" bestFit="1" customWidth="1"/>
    <col min="12" max="12" width="9.140625" style="1"/>
    <col min="13" max="13" width="29.42578125" style="1" customWidth="1"/>
    <col min="14" max="20" width="11.42578125" style="1" customWidth="1"/>
    <col min="21" max="21" width="14.28515625" style="1" customWidth="1"/>
    <col min="22" max="22" width="9.140625" style="1"/>
    <col min="23" max="23" width="14.28515625" style="1" customWidth="1"/>
    <col min="24" max="16384" width="9.140625" style="1"/>
  </cols>
  <sheetData>
    <row r="1" spans="1:27" ht="19.5" customHeight="1" x14ac:dyDescent="0.25">
      <c r="A1" s="14" t="s">
        <v>95</v>
      </c>
      <c r="B1" s="9" t="s">
        <v>94</v>
      </c>
    </row>
    <row r="2" spans="1:27" ht="19.5" customHeight="1" x14ac:dyDescent="0.25">
      <c r="P2" s="580" t="s">
        <v>59</v>
      </c>
      <c r="Q2" s="580" t="s">
        <v>64</v>
      </c>
      <c r="R2" s="580"/>
      <c r="S2" s="580"/>
      <c r="T2" s="580"/>
      <c r="U2" s="48" t="s">
        <v>65</v>
      </c>
      <c r="V2" s="48" t="s">
        <v>67</v>
      </c>
      <c r="W2" s="48" t="s">
        <v>69</v>
      </c>
    </row>
    <row r="3" spans="1:27" ht="19.5" customHeight="1" x14ac:dyDescent="0.25">
      <c r="P3" s="580"/>
      <c r="Q3" s="48" t="s">
        <v>60</v>
      </c>
      <c r="R3" s="48" t="s">
        <v>61</v>
      </c>
      <c r="S3" s="48" t="s">
        <v>62</v>
      </c>
      <c r="T3" s="48" t="s">
        <v>63</v>
      </c>
      <c r="U3" s="48" t="s">
        <v>66</v>
      </c>
      <c r="V3" s="48" t="s">
        <v>68</v>
      </c>
      <c r="W3" s="48" t="s">
        <v>70</v>
      </c>
    </row>
    <row r="4" spans="1:27" ht="19.5" customHeight="1" x14ac:dyDescent="0.25">
      <c r="P4" s="581" t="s">
        <v>89</v>
      </c>
      <c r="Q4" s="581"/>
      <c r="R4" s="581"/>
      <c r="S4" s="581"/>
      <c r="T4" s="581"/>
      <c r="U4" s="581"/>
      <c r="V4" s="581"/>
      <c r="W4" s="581"/>
      <c r="Z4" s="44">
        <f>'Input (1)'!$F$49/2</f>
        <v>3.5</v>
      </c>
      <c r="AA4" s="45"/>
    </row>
    <row r="5" spans="1:27" ht="19.5" customHeight="1" x14ac:dyDescent="0.25">
      <c r="P5" s="38" t="s">
        <v>72</v>
      </c>
      <c r="Q5" s="39">
        <f>'Input (1)'!F54</f>
        <v>4</v>
      </c>
      <c r="R5" s="39">
        <f>'Input (1)'!C38</f>
        <v>0.9</v>
      </c>
      <c r="S5" s="38">
        <v>1</v>
      </c>
      <c r="T5" s="38">
        <f>IF(AA5&gt;1,1,-1)</f>
        <v>-1</v>
      </c>
      <c r="U5" s="40">
        <f>Q5*R5*S5*$I$17*$I$15</f>
        <v>90</v>
      </c>
      <c r="V5" s="40">
        <f>ABS(AA5)</f>
        <v>2.8999999999999995</v>
      </c>
      <c r="W5" s="40">
        <f>T5*U5*V5</f>
        <v>-260.99999999999994</v>
      </c>
      <c r="Z5" s="44">
        <f>0.5*Q5+'Input (1)'!$F$42+'Input (1)'!$F$44+'Input (1)'!$F$40-('Input (1)'!$F$39-'Input (1)'!$F$38)</f>
        <v>6.3999999999999995</v>
      </c>
      <c r="AA5" s="46">
        <f t="shared" ref="AA5:AA22" si="0">$Z$4-Z5</f>
        <v>-2.8999999999999995</v>
      </c>
    </row>
    <row r="6" spans="1:27" ht="19.5" customHeight="1" x14ac:dyDescent="0.25">
      <c r="P6" s="41" t="s">
        <v>71</v>
      </c>
      <c r="Q6" s="36">
        <f>'Input (1)'!F38</f>
        <v>0.35</v>
      </c>
      <c r="R6" s="36">
        <f>R5</f>
        <v>0.9</v>
      </c>
      <c r="S6" s="41">
        <v>1</v>
      </c>
      <c r="T6" s="41">
        <f t="shared" ref="T6:T29" si="1">IF(AA6&gt;1,1,-1)</f>
        <v>-1</v>
      </c>
      <c r="U6" s="42">
        <f>Q6*R6*S6*$I$18</f>
        <v>5.4495000000000005</v>
      </c>
      <c r="V6" s="42">
        <f t="shared" ref="V6:V29" si="2">ABS(AA6)</f>
        <v>0.72499999999999964</v>
      </c>
      <c r="W6" s="42">
        <f t="shared" ref="W6:W29" si="3">T6*U6*V6</f>
        <v>-3.9508874999999986</v>
      </c>
      <c r="Z6" s="44">
        <f>0.5*Q6+'Input (1)'!$F$42+'Input (1)'!$F$44+('Input (1)'!$F$40-'Input (1)'!$F$39)</f>
        <v>4.2249999999999996</v>
      </c>
      <c r="AA6" s="46">
        <f t="shared" si="0"/>
        <v>-0.72499999999999964</v>
      </c>
    </row>
    <row r="7" spans="1:27" ht="19.5" customHeight="1" x14ac:dyDescent="0.25">
      <c r="P7" s="41" t="s">
        <v>73</v>
      </c>
      <c r="Q7" s="36">
        <f>'Input (1)'!C46-'Input (1)'!C38</f>
        <v>1.6</v>
      </c>
      <c r="R7" s="36">
        <f>'Input (1)'!F39</f>
        <v>0.55000000000000004</v>
      </c>
      <c r="S7" s="41">
        <v>1</v>
      </c>
      <c r="T7" s="41">
        <f t="shared" si="1"/>
        <v>-1</v>
      </c>
      <c r="U7" s="42">
        <f>Q7*R7*S7*$I$18</f>
        <v>15.224000000000002</v>
      </c>
      <c r="V7" s="42">
        <f t="shared" si="2"/>
        <v>1.3499999999999996</v>
      </c>
      <c r="W7" s="42">
        <f t="shared" si="3"/>
        <v>-20.552399999999999</v>
      </c>
      <c r="Z7" s="44">
        <f>0.5*Q7+'Input (1)'!$F$42+'Input (1)'!$F$44+('Input (1)'!$F$40-'Input (1)'!$F$39)</f>
        <v>4.8499999999999996</v>
      </c>
      <c r="AA7" s="46">
        <f t="shared" si="0"/>
        <v>-1.3499999999999996</v>
      </c>
    </row>
    <row r="8" spans="1:27" ht="19.5" customHeight="1" x14ac:dyDescent="0.25">
      <c r="P8" s="38" t="s">
        <v>74</v>
      </c>
      <c r="Q8" s="39">
        <f>'Input (1)'!F54-('Input (1)'!F39-'Input (1)'!F38)</f>
        <v>3.8</v>
      </c>
      <c r="R8" s="39">
        <f>'Input (1)'!C39</f>
        <v>2.63</v>
      </c>
      <c r="S8" s="38">
        <v>1</v>
      </c>
      <c r="T8" s="38">
        <f t="shared" si="1"/>
        <v>-1</v>
      </c>
      <c r="U8" s="40">
        <f>Q8*R8*S8*$I$17*$I$15</f>
        <v>249.85</v>
      </c>
      <c r="V8" s="40">
        <f t="shared" si="2"/>
        <v>3</v>
      </c>
      <c r="W8" s="40">
        <f t="shared" si="3"/>
        <v>-749.55</v>
      </c>
      <c r="Z8" s="44">
        <f>0.5*Q8+'Input (1)'!$F$40+'Input (1)'!$F$42+'Input (1)'!$F$44</f>
        <v>6.5</v>
      </c>
      <c r="AA8" s="46">
        <f t="shared" si="0"/>
        <v>-3</v>
      </c>
    </row>
    <row r="9" spans="1:27" ht="19.5" customHeight="1" x14ac:dyDescent="0.25">
      <c r="P9" s="41" t="s">
        <v>75</v>
      </c>
      <c r="Q9" s="36">
        <f>'Input (1)'!$F$40</f>
        <v>0.6</v>
      </c>
      <c r="R9" s="36">
        <f>'Input (1)'!$C$38+'Input (1)'!$C$39-'Input (1)'!$C$46</f>
        <v>1.0299999999999998</v>
      </c>
      <c r="S9" s="41">
        <v>1</v>
      </c>
      <c r="T9" s="41">
        <f t="shared" si="1"/>
        <v>-1</v>
      </c>
      <c r="U9" s="42">
        <f>Q9*R9*S9*$I$18</f>
        <v>10.691399999999998</v>
      </c>
      <c r="V9" s="42">
        <f t="shared" si="2"/>
        <v>0.79999999999999982</v>
      </c>
      <c r="W9" s="42">
        <f t="shared" si="3"/>
        <v>-8.5531199999999963</v>
      </c>
      <c r="Z9" s="44">
        <f>0.5*Q9+'Input (1)'!$F$42+'Input (1)'!$F$44</f>
        <v>4.3</v>
      </c>
      <c r="AA9" s="46">
        <f t="shared" si="0"/>
        <v>-0.79999999999999982</v>
      </c>
    </row>
    <row r="10" spans="1:27" ht="19.5" customHeight="1" x14ac:dyDescent="0.25">
      <c r="P10" s="41" t="s">
        <v>76</v>
      </c>
      <c r="Q10" s="36">
        <f>'Input (1)'!$F$40</f>
        <v>0.6</v>
      </c>
      <c r="R10" s="36">
        <f>'Input (1)'!$C$40</f>
        <v>0.6</v>
      </c>
      <c r="S10" s="41">
        <v>0.5</v>
      </c>
      <c r="T10" s="41">
        <f t="shared" si="1"/>
        <v>-1</v>
      </c>
      <c r="U10" s="42">
        <f>Q10*R10*S10*$I$18</f>
        <v>3.1139999999999999</v>
      </c>
      <c r="V10" s="42">
        <f t="shared" si="2"/>
        <v>0.70000000000000018</v>
      </c>
      <c r="W10" s="42">
        <f t="shared" si="3"/>
        <v>-2.1798000000000006</v>
      </c>
      <c r="Z10" s="44">
        <f>1/3*Q10+'Input (1)'!$F$42+'Input (1)'!$F$44</f>
        <v>4.2</v>
      </c>
      <c r="AA10" s="46">
        <f t="shared" si="0"/>
        <v>-0.70000000000000018</v>
      </c>
    </row>
    <row r="11" spans="1:27" ht="19.5" customHeight="1" x14ac:dyDescent="0.25">
      <c r="P11" s="38" t="s">
        <v>77</v>
      </c>
      <c r="Q11" s="39">
        <f>'Process (1)'!Q8</f>
        <v>3.8</v>
      </c>
      <c r="R11" s="39">
        <f>'Input (1)'!$C$40</f>
        <v>0.6</v>
      </c>
      <c r="S11" s="38">
        <v>1</v>
      </c>
      <c r="T11" s="38">
        <f t="shared" si="1"/>
        <v>-1</v>
      </c>
      <c r="U11" s="40">
        <f>Q11*R11*S11*$I$17*$I$15</f>
        <v>56.999999999999993</v>
      </c>
      <c r="V11" s="40">
        <f t="shared" si="2"/>
        <v>3</v>
      </c>
      <c r="W11" s="40">
        <f t="shared" si="3"/>
        <v>-170.99999999999997</v>
      </c>
      <c r="Z11" s="44">
        <f>0.5*Q11+'Input (1)'!$F$40+'Input (1)'!$F$42+'Input (1)'!$F$44</f>
        <v>6.5</v>
      </c>
      <c r="AA11" s="46">
        <f t="shared" si="0"/>
        <v>-3</v>
      </c>
    </row>
    <row r="12" spans="1:27" ht="19.5" customHeight="1" x14ac:dyDescent="0.25">
      <c r="P12" s="38" t="s">
        <v>78</v>
      </c>
      <c r="Q12" s="39">
        <f>'Input (1)'!$F$40</f>
        <v>0.6</v>
      </c>
      <c r="R12" s="39">
        <f>'Input (1)'!$C$40</f>
        <v>0.6</v>
      </c>
      <c r="S12" s="38">
        <v>0.5</v>
      </c>
      <c r="T12" s="38">
        <f t="shared" si="1"/>
        <v>-1</v>
      </c>
      <c r="U12" s="40">
        <f>Q12*R12*S12*$I$17*$I$15</f>
        <v>4.5</v>
      </c>
      <c r="V12" s="40">
        <f t="shared" si="2"/>
        <v>0.90000000000000036</v>
      </c>
      <c r="W12" s="40">
        <f t="shared" si="3"/>
        <v>-4.0500000000000016</v>
      </c>
      <c r="Z12" s="44">
        <f>2/3*Q12+'Input (1)'!$F$42+'Input (1)'!$F$44</f>
        <v>4.4000000000000004</v>
      </c>
      <c r="AA12" s="46">
        <f t="shared" si="0"/>
        <v>-0.90000000000000036</v>
      </c>
    </row>
    <row r="13" spans="1:27" ht="19.5" customHeight="1" x14ac:dyDescent="0.25">
      <c r="P13" s="41" t="s">
        <v>79</v>
      </c>
      <c r="Q13" s="36">
        <f>'Input (1)'!$F$45</f>
        <v>0.6</v>
      </c>
      <c r="R13" s="36">
        <f>'Input (1)'!$C$48</f>
        <v>0.8</v>
      </c>
      <c r="S13" s="41">
        <v>1</v>
      </c>
      <c r="T13" s="41">
        <f t="shared" si="1"/>
        <v>-1</v>
      </c>
      <c r="U13" s="42">
        <f>Q13*R13*S13*$I$18</f>
        <v>8.3040000000000003</v>
      </c>
      <c r="V13" s="42">
        <f t="shared" si="2"/>
        <v>0.80000000000000027</v>
      </c>
      <c r="W13" s="42">
        <f t="shared" si="3"/>
        <v>-6.643200000000002</v>
      </c>
      <c r="Z13" s="44">
        <f>0.5*Q13+('Input (1)'!$F$44-'Input (1)'!$F$45)</f>
        <v>2.6999999999999997</v>
      </c>
      <c r="AA13" s="46">
        <f t="shared" si="0"/>
        <v>0.80000000000000027</v>
      </c>
    </row>
    <row r="14" spans="1:27" ht="19.5" customHeight="1" x14ac:dyDescent="0.25">
      <c r="P14" s="41" t="s">
        <v>80</v>
      </c>
      <c r="Q14" s="36">
        <f>'Input (1)'!$F$45</f>
        <v>0.6</v>
      </c>
      <c r="R14" s="36">
        <f>'Input (1)'!$C$49</f>
        <v>0.6</v>
      </c>
      <c r="S14" s="41">
        <v>0.5</v>
      </c>
      <c r="T14" s="41">
        <f t="shared" si="1"/>
        <v>-1</v>
      </c>
      <c r="U14" s="42">
        <f>Q14*R14*S14*$I$18</f>
        <v>3.1139999999999999</v>
      </c>
      <c r="V14" s="42">
        <f t="shared" si="2"/>
        <v>0.70000000000000018</v>
      </c>
      <c r="W14" s="42">
        <f t="shared" si="3"/>
        <v>-2.1798000000000006</v>
      </c>
      <c r="Z14" s="44">
        <f>2/3*Q14+('Input (1)'!$F$44-'Input (1)'!$F$45)</f>
        <v>2.8</v>
      </c>
      <c r="AA14" s="46">
        <f t="shared" si="0"/>
        <v>0.70000000000000018</v>
      </c>
    </row>
    <row r="15" spans="1:27" ht="19.5" customHeight="1" x14ac:dyDescent="0.25">
      <c r="B15" s="1" t="s">
        <v>172</v>
      </c>
      <c r="H15" s="7" t="s">
        <v>53</v>
      </c>
      <c r="I15" s="36">
        <f>'Input (1)'!I63</f>
        <v>25</v>
      </c>
      <c r="J15" s="5" t="s">
        <v>54</v>
      </c>
      <c r="P15" s="41" t="s">
        <v>81</v>
      </c>
      <c r="Q15" s="36">
        <f>'Input (1)'!$F$42</f>
        <v>1</v>
      </c>
      <c r="R15" s="36">
        <f>'Input (1)'!$F$51+'Input (1)'!$F$50</f>
        <v>4.9800000000000004</v>
      </c>
      <c r="S15" s="41">
        <v>1</v>
      </c>
      <c r="T15" s="41">
        <f t="shared" si="1"/>
        <v>-1</v>
      </c>
      <c r="U15" s="42">
        <f>Q15*R15*S15*$I$18</f>
        <v>86.154000000000011</v>
      </c>
      <c r="V15" s="42">
        <f t="shared" si="2"/>
        <v>0</v>
      </c>
      <c r="W15" s="42">
        <f t="shared" si="3"/>
        <v>0</v>
      </c>
      <c r="Z15" s="44">
        <f>0.5*Q15+'Input (1)'!$F$44</f>
        <v>3.5</v>
      </c>
      <c r="AA15" s="46">
        <f t="shared" si="0"/>
        <v>0</v>
      </c>
    </row>
    <row r="16" spans="1:27" ht="19.5" customHeight="1" x14ac:dyDescent="0.25">
      <c r="B16" s="1" t="s">
        <v>173</v>
      </c>
      <c r="H16" s="7" t="s">
        <v>55</v>
      </c>
      <c r="I16" s="36">
        <f>'Input (1)'!I61</f>
        <v>17.2</v>
      </c>
      <c r="J16" s="5" t="s">
        <v>54</v>
      </c>
      <c r="P16" s="38" t="s">
        <v>82</v>
      </c>
      <c r="Q16" s="39">
        <f>'Process (1)'!Q11+'Process (1)'!Q12</f>
        <v>4.3999999999999995</v>
      </c>
      <c r="R16" s="39">
        <f>'Input (1)'!$C$41</f>
        <v>2.1</v>
      </c>
      <c r="S16" s="38">
        <v>1</v>
      </c>
      <c r="T16" s="38">
        <f t="shared" si="1"/>
        <v>-1</v>
      </c>
      <c r="U16" s="40">
        <f>Q16*R16*S16*$I$17*$I$15</f>
        <v>230.99999999999997</v>
      </c>
      <c r="V16" s="40">
        <f t="shared" si="2"/>
        <v>2.6999999999999993</v>
      </c>
      <c r="W16" s="40">
        <f t="shared" si="3"/>
        <v>-623.6999999999997</v>
      </c>
      <c r="Z16" s="44">
        <f>0.5*Q16+'Input (1)'!$F$44+'Input (1)'!$F$42</f>
        <v>6.1999999999999993</v>
      </c>
      <c r="AA16" s="46">
        <f t="shared" si="0"/>
        <v>-2.6999999999999993</v>
      </c>
    </row>
    <row r="17" spans="1:27" ht="19.5" customHeight="1" x14ac:dyDescent="0.25">
      <c r="B17" s="1" t="s">
        <v>56</v>
      </c>
      <c r="H17" s="7" t="s">
        <v>57</v>
      </c>
      <c r="I17" s="36">
        <f>2*'Input (1)'!C55</f>
        <v>1</v>
      </c>
      <c r="J17" s="5" t="s">
        <v>0</v>
      </c>
      <c r="P17" s="38" t="s">
        <v>83</v>
      </c>
      <c r="Q17" s="39">
        <f>'Process (1)'!Q16-'Input (1)'!$F$43</f>
        <v>1.3999999999999995</v>
      </c>
      <c r="R17" s="39">
        <f>'Input (1)'!$C$42</f>
        <v>0.5</v>
      </c>
      <c r="S17" s="38">
        <v>0.5</v>
      </c>
      <c r="T17" s="38">
        <f t="shared" si="1"/>
        <v>-1</v>
      </c>
      <c r="U17" s="40">
        <f>Q17*R17*S17*$I$17*$I$15</f>
        <v>8.7499999999999964</v>
      </c>
      <c r="V17" s="40">
        <f t="shared" si="2"/>
        <v>3.9666666666666668</v>
      </c>
      <c r="W17" s="40">
        <f t="shared" si="3"/>
        <v>-34.708333333333321</v>
      </c>
      <c r="Z17" s="44">
        <f>1/3*Q17+'Input (1)'!$F$49</f>
        <v>7.4666666666666668</v>
      </c>
      <c r="AA17" s="46">
        <f t="shared" si="0"/>
        <v>-3.9666666666666668</v>
      </c>
    </row>
    <row r="18" spans="1:27" ht="19.5" customHeight="1" x14ac:dyDescent="0.25">
      <c r="B18" s="1" t="s">
        <v>58</v>
      </c>
      <c r="H18" s="7" t="s">
        <v>2</v>
      </c>
      <c r="I18" s="36">
        <f>'Input (1)'!I58</f>
        <v>17.3</v>
      </c>
      <c r="J18" s="5" t="s">
        <v>0</v>
      </c>
      <c r="P18" s="38" t="s">
        <v>84</v>
      </c>
      <c r="Q18" s="39">
        <f>'Input (1)'!$F$43</f>
        <v>3</v>
      </c>
      <c r="R18" s="39">
        <f>'Input (1)'!$C$42</f>
        <v>0.5</v>
      </c>
      <c r="S18" s="38">
        <v>0.5</v>
      </c>
      <c r="T18" s="38">
        <f t="shared" si="1"/>
        <v>-1</v>
      </c>
      <c r="U18" s="40">
        <f>Q18*R18*S18*$I$17*$I$15</f>
        <v>18.75</v>
      </c>
      <c r="V18" s="40">
        <f t="shared" si="2"/>
        <v>2.5</v>
      </c>
      <c r="W18" s="40">
        <f t="shared" si="3"/>
        <v>-46.875</v>
      </c>
      <c r="Z18" s="44">
        <f>2/3*Q18+'Input (1)'!$F$42+'Input (1)'!$F$44</f>
        <v>6</v>
      </c>
      <c r="AA18" s="46">
        <f t="shared" si="0"/>
        <v>-2.5</v>
      </c>
    </row>
    <row r="19" spans="1:27" ht="19.5" customHeight="1" x14ac:dyDescent="0.25">
      <c r="P19" s="41" t="s">
        <v>85</v>
      </c>
      <c r="Q19" s="36">
        <f>'Input (1)'!$F$43</f>
        <v>3</v>
      </c>
      <c r="R19" s="36">
        <f>'Input (1)'!$C$42</f>
        <v>0.5</v>
      </c>
      <c r="S19" s="41">
        <v>0.5</v>
      </c>
      <c r="T19" s="41">
        <f t="shared" si="1"/>
        <v>-1</v>
      </c>
      <c r="U19" s="42">
        <f>Q19*R19*S19*$I$18</f>
        <v>12.975000000000001</v>
      </c>
      <c r="V19" s="42">
        <f t="shared" si="2"/>
        <v>1.5</v>
      </c>
      <c r="W19" s="42">
        <f t="shared" si="3"/>
        <v>-19.462500000000002</v>
      </c>
      <c r="Z19" s="44">
        <f>1/3*Q19+'Input (1)'!$F$42+'Input (1)'!$F$44</f>
        <v>5</v>
      </c>
      <c r="AA19" s="46">
        <f t="shared" si="0"/>
        <v>-1.5</v>
      </c>
    </row>
    <row r="20" spans="1:27" ht="19.5" customHeight="1" x14ac:dyDescent="0.25">
      <c r="P20" s="41" t="s">
        <v>86</v>
      </c>
      <c r="Q20" s="36">
        <f>'Input (1)'!$F$44</f>
        <v>3</v>
      </c>
      <c r="R20" s="36">
        <f>'Input (1)'!$C$42</f>
        <v>0.5</v>
      </c>
      <c r="S20" s="41">
        <v>0.5</v>
      </c>
      <c r="T20" s="41">
        <f t="shared" si="1"/>
        <v>1</v>
      </c>
      <c r="U20" s="42">
        <f>Q20*R20*S20*$I$18</f>
        <v>12.975000000000001</v>
      </c>
      <c r="V20" s="42">
        <f t="shared" si="2"/>
        <v>1.5</v>
      </c>
      <c r="W20" s="42">
        <f t="shared" si="3"/>
        <v>19.462500000000002</v>
      </c>
      <c r="Z20" s="44">
        <f>2/3*Q20</f>
        <v>2</v>
      </c>
      <c r="AA20" s="46">
        <f t="shared" si="0"/>
        <v>1.5</v>
      </c>
    </row>
    <row r="21" spans="1:27" ht="19.5" customHeight="1" x14ac:dyDescent="0.25">
      <c r="P21" s="41" t="s">
        <v>87</v>
      </c>
      <c r="Q21" s="36">
        <f>'Input (1)'!$F$43</f>
        <v>3</v>
      </c>
      <c r="R21" s="36">
        <f>'Input (1)'!$C$43</f>
        <v>0.75</v>
      </c>
      <c r="S21" s="41">
        <v>1</v>
      </c>
      <c r="T21" s="41">
        <f t="shared" si="1"/>
        <v>-1</v>
      </c>
      <c r="U21" s="42">
        <f>Q21*R21*S21*$I$18</f>
        <v>38.925000000000004</v>
      </c>
      <c r="V21" s="42">
        <f t="shared" si="2"/>
        <v>2</v>
      </c>
      <c r="W21" s="42">
        <f t="shared" si="3"/>
        <v>-77.850000000000009</v>
      </c>
      <c r="Z21" s="44">
        <f>0.5*Q21+'Input (1)'!$F$42+'Input (1)'!$F$44</f>
        <v>5.5</v>
      </c>
      <c r="AA21" s="46">
        <f t="shared" si="0"/>
        <v>-2</v>
      </c>
    </row>
    <row r="22" spans="1:27" ht="19.5" customHeight="1" x14ac:dyDescent="0.25">
      <c r="P22" s="41" t="s">
        <v>88</v>
      </c>
      <c r="Q22" s="36">
        <f>'Input (1)'!$F$44</f>
        <v>3</v>
      </c>
      <c r="R22" s="36">
        <f>R21</f>
        <v>0.75</v>
      </c>
      <c r="S22" s="41">
        <v>1</v>
      </c>
      <c r="T22" s="41">
        <f t="shared" si="1"/>
        <v>1</v>
      </c>
      <c r="U22" s="42">
        <f>Q22*R22*S22*$I$18</f>
        <v>38.925000000000004</v>
      </c>
      <c r="V22" s="42">
        <f t="shared" si="2"/>
        <v>2</v>
      </c>
      <c r="W22" s="42">
        <f t="shared" si="3"/>
        <v>77.850000000000009</v>
      </c>
      <c r="Z22" s="44">
        <f>0.5*Q22</f>
        <v>1.5</v>
      </c>
      <c r="AA22" s="46">
        <f t="shared" si="0"/>
        <v>2</v>
      </c>
    </row>
    <row r="23" spans="1:27" ht="19.5" customHeight="1" x14ac:dyDescent="0.25">
      <c r="P23" s="581" t="s">
        <v>90</v>
      </c>
      <c r="Q23" s="581"/>
      <c r="R23" s="581"/>
      <c r="S23" s="581"/>
      <c r="T23" s="581"/>
      <c r="U23" s="581"/>
      <c r="V23" s="581"/>
      <c r="W23" s="581"/>
      <c r="Z23" s="45"/>
      <c r="AA23" s="46"/>
    </row>
    <row r="24" spans="1:27" ht="19.5" customHeight="1" x14ac:dyDescent="0.25">
      <c r="P24" s="41">
        <v>1</v>
      </c>
      <c r="Q24" s="36">
        <f>Q5-Q17</f>
        <v>2.6000000000000005</v>
      </c>
      <c r="R24" s="36">
        <f>R5</f>
        <v>0.9</v>
      </c>
      <c r="S24" s="41">
        <v>1</v>
      </c>
      <c r="T24" s="41">
        <f t="shared" si="1"/>
        <v>-1</v>
      </c>
      <c r="U24" s="42">
        <f t="shared" ref="U24:U29" si="4">Q24*R24*S24*$I$16*($I$18-$I$17)</f>
        <v>656.04240000000027</v>
      </c>
      <c r="V24" s="42">
        <f t="shared" si="2"/>
        <v>2.2000000000000002</v>
      </c>
      <c r="W24" s="42">
        <f t="shared" si="3"/>
        <v>-1443.2932800000008</v>
      </c>
      <c r="Z24" s="47">
        <f>0.5*Q24+'Input (1)'!$F$42+'Input (1)'!$F$44+'Input (1)'!$F$40-('Input (1)'!$F$39-'Input (1)'!$F$38)</f>
        <v>5.7</v>
      </c>
      <c r="AA24" s="46">
        <f t="shared" ref="AA24:AA29" si="5">$Z$4-Z24</f>
        <v>-2.2000000000000002</v>
      </c>
    </row>
    <row r="25" spans="1:27" ht="19.5" customHeight="1" x14ac:dyDescent="0.25">
      <c r="A25" s="14" t="s">
        <v>96</v>
      </c>
      <c r="B25" s="9" t="s">
        <v>143</v>
      </c>
      <c r="P25" s="41">
        <v>2</v>
      </c>
      <c r="Q25" s="36">
        <f>Q8-Q17</f>
        <v>2.4000000000000004</v>
      </c>
      <c r="R25" s="36">
        <f>R8</f>
        <v>2.63</v>
      </c>
      <c r="S25" s="41">
        <v>1</v>
      </c>
      <c r="T25" s="41">
        <f t="shared" si="1"/>
        <v>-1</v>
      </c>
      <c r="U25" s="42">
        <f t="shared" si="4"/>
        <v>1769.6323200000002</v>
      </c>
      <c r="V25" s="42">
        <f t="shared" si="2"/>
        <v>2.3000000000000007</v>
      </c>
      <c r="W25" s="42">
        <f t="shared" si="3"/>
        <v>-4070.1543360000014</v>
      </c>
      <c r="Z25" s="47">
        <f>0.5*Q25+'Input (1)'!$F$40+'Input (1)'!$F$42+'Input (1)'!$F$44</f>
        <v>5.8000000000000007</v>
      </c>
      <c r="AA25" s="46">
        <f t="shared" si="5"/>
        <v>-2.3000000000000007</v>
      </c>
    </row>
    <row r="26" spans="1:27" ht="19.5" customHeight="1" x14ac:dyDescent="0.25">
      <c r="P26" s="41">
        <v>3</v>
      </c>
      <c r="Q26" s="36">
        <f>Q11-Q17</f>
        <v>2.4000000000000004</v>
      </c>
      <c r="R26" s="36">
        <f>R11</f>
        <v>0.6</v>
      </c>
      <c r="S26" s="41">
        <v>1</v>
      </c>
      <c r="T26" s="41">
        <f t="shared" si="1"/>
        <v>-1</v>
      </c>
      <c r="U26" s="42">
        <f t="shared" si="4"/>
        <v>403.71840000000003</v>
      </c>
      <c r="V26" s="42">
        <f t="shared" si="2"/>
        <v>2.3000000000000007</v>
      </c>
      <c r="W26" s="42">
        <f t="shared" si="3"/>
        <v>-928.55232000000035</v>
      </c>
      <c r="Z26" s="47">
        <f>0.5*Q26+'Input (1)'!$F$40+'Input (1)'!$F$42+'Input (1)'!$F$44</f>
        <v>5.8000000000000007</v>
      </c>
      <c r="AA26" s="46">
        <f t="shared" si="5"/>
        <v>-2.3000000000000007</v>
      </c>
    </row>
    <row r="27" spans="1:27" ht="19.5" customHeight="1" x14ac:dyDescent="0.25">
      <c r="P27" s="41">
        <v>4</v>
      </c>
      <c r="Q27" s="36">
        <f>Q12</f>
        <v>0.6</v>
      </c>
      <c r="R27" s="36">
        <f t="shared" ref="R27:S27" si="6">R12</f>
        <v>0.6</v>
      </c>
      <c r="S27" s="36">
        <f t="shared" si="6"/>
        <v>0.5</v>
      </c>
      <c r="T27" s="41">
        <f t="shared" si="1"/>
        <v>-1</v>
      </c>
      <c r="U27" s="42">
        <f t="shared" si="4"/>
        <v>50.464799999999997</v>
      </c>
      <c r="V27" s="42">
        <f t="shared" si="2"/>
        <v>0.90000000000000036</v>
      </c>
      <c r="W27" s="42">
        <f t="shared" si="3"/>
        <v>-45.418320000000016</v>
      </c>
      <c r="Z27" s="44">
        <f>Z12</f>
        <v>4.4000000000000004</v>
      </c>
      <c r="AA27" s="46">
        <f t="shared" si="5"/>
        <v>-0.90000000000000036</v>
      </c>
    </row>
    <row r="28" spans="1:27" ht="19.5" customHeight="1" x14ac:dyDescent="0.25">
      <c r="P28" s="41">
        <v>5</v>
      </c>
      <c r="Q28" s="36">
        <f>Q16-Q17</f>
        <v>3</v>
      </c>
      <c r="R28" s="36">
        <f>R16</f>
        <v>2.1</v>
      </c>
      <c r="S28" s="41">
        <v>1</v>
      </c>
      <c r="T28" s="41">
        <f t="shared" si="1"/>
        <v>-1</v>
      </c>
      <c r="U28" s="42">
        <f t="shared" si="4"/>
        <v>1766.2680000000003</v>
      </c>
      <c r="V28" s="42">
        <f t="shared" si="2"/>
        <v>2</v>
      </c>
      <c r="W28" s="42">
        <f t="shared" si="3"/>
        <v>-3532.5360000000005</v>
      </c>
      <c r="Z28" s="47">
        <f>0.5*Q28+'Input (1)'!$F$44+'Input (1)'!$F$42</f>
        <v>5.5</v>
      </c>
      <c r="AA28" s="46">
        <f t="shared" si="5"/>
        <v>-2</v>
      </c>
    </row>
    <row r="29" spans="1:27" ht="19.5" customHeight="1" x14ac:dyDescent="0.25">
      <c r="P29" s="41">
        <v>6</v>
      </c>
      <c r="Q29" s="36">
        <f>Q18</f>
        <v>3</v>
      </c>
      <c r="R29" s="36">
        <f t="shared" ref="R29:S29" si="7">R18</f>
        <v>0.5</v>
      </c>
      <c r="S29" s="36">
        <f t="shared" si="7"/>
        <v>0.5</v>
      </c>
      <c r="T29" s="41">
        <f t="shared" si="1"/>
        <v>-1</v>
      </c>
      <c r="U29" s="42">
        <f t="shared" si="4"/>
        <v>210.26999999999998</v>
      </c>
      <c r="V29" s="42">
        <f t="shared" si="2"/>
        <v>2.5</v>
      </c>
      <c r="W29" s="42">
        <f t="shared" si="3"/>
        <v>-525.67499999999995</v>
      </c>
      <c r="Z29" s="44">
        <f>Z18</f>
        <v>6</v>
      </c>
      <c r="AA29" s="46">
        <f t="shared" si="5"/>
        <v>-2.5</v>
      </c>
    </row>
    <row r="30" spans="1:27" ht="19.5" customHeight="1" x14ac:dyDescent="0.25">
      <c r="P30" s="582" t="s">
        <v>91</v>
      </c>
      <c r="Q30" s="582"/>
      <c r="R30" s="582"/>
      <c r="S30" s="582"/>
      <c r="T30" s="43" t="s">
        <v>179</v>
      </c>
      <c r="U30" s="53">
        <f>SUM(U24:U29,U5:U22)</f>
        <v>5752.0968200000016</v>
      </c>
      <c r="V30" s="43" t="s">
        <v>180</v>
      </c>
      <c r="W30" s="53">
        <f>SUM(W24:W29,W5:W22)</f>
        <v>-12480.571796833334</v>
      </c>
    </row>
    <row r="40" spans="2:11" ht="19.5" customHeight="1" x14ac:dyDescent="0.25">
      <c r="B40" s="9" t="s">
        <v>116</v>
      </c>
      <c r="H40" s="7"/>
      <c r="I40" s="7"/>
      <c r="J40" s="35"/>
      <c r="K40" s="5"/>
    </row>
    <row r="41" spans="2:11" ht="19.5" customHeight="1" x14ac:dyDescent="0.25">
      <c r="B41" s="8" t="s">
        <v>97</v>
      </c>
      <c r="H41" s="7" t="s">
        <v>109</v>
      </c>
      <c r="I41" s="36">
        <f>I16</f>
        <v>17.2</v>
      </c>
      <c r="J41" s="5" t="s">
        <v>54</v>
      </c>
    </row>
    <row r="42" spans="2:11" ht="19.5" customHeight="1" x14ac:dyDescent="0.25">
      <c r="B42" s="8" t="s">
        <v>98</v>
      </c>
      <c r="H42" s="49" t="s">
        <v>99</v>
      </c>
      <c r="I42" s="36">
        <f>'Input (1)'!I124</f>
        <v>36.020000000000003</v>
      </c>
      <c r="J42" s="15" t="s">
        <v>100</v>
      </c>
    </row>
    <row r="43" spans="2:11" ht="19.5" customHeight="1" x14ac:dyDescent="0.25">
      <c r="B43" s="8" t="s">
        <v>101</v>
      </c>
      <c r="H43" s="7" t="s">
        <v>102</v>
      </c>
      <c r="I43" s="36">
        <f>'Input (1)'!I125</f>
        <v>2.4220000000000002</v>
      </c>
      <c r="J43" s="5" t="s">
        <v>103</v>
      </c>
    </row>
    <row r="44" spans="2:11" ht="19.5" customHeight="1" x14ac:dyDescent="0.25">
      <c r="B44" s="8" t="s">
        <v>104</v>
      </c>
      <c r="H44" s="7" t="s">
        <v>105</v>
      </c>
      <c r="I44" s="41">
        <v>0.7</v>
      </c>
      <c r="J44" s="5"/>
    </row>
    <row r="45" spans="2:11" ht="19.5" customHeight="1" x14ac:dyDescent="0.25">
      <c r="B45" s="8" t="s">
        <v>106</v>
      </c>
      <c r="H45" s="49" t="s">
        <v>107</v>
      </c>
      <c r="I45" s="42">
        <f>DEGREES(ATAN(I44*TAN(RADIANS(I42))))</f>
        <v>26.973963868803303</v>
      </c>
      <c r="J45" s="15" t="s">
        <v>100</v>
      </c>
    </row>
    <row r="46" spans="2:11" ht="19.5" customHeight="1" x14ac:dyDescent="0.25">
      <c r="B46" s="8" t="s">
        <v>108</v>
      </c>
      <c r="H46" s="51" t="s">
        <v>131</v>
      </c>
      <c r="I46" s="42">
        <f>(TAN(RADIANS(45-I45/2)))^2</f>
        <v>0.37590799472818659</v>
      </c>
      <c r="J46" s="15"/>
    </row>
    <row r="48" spans="2:11" ht="19.5" customHeight="1" x14ac:dyDescent="0.25">
      <c r="B48" s="9" t="s">
        <v>125</v>
      </c>
      <c r="H48" s="7"/>
      <c r="I48" s="35"/>
      <c r="J48" s="5"/>
    </row>
    <row r="49" spans="2:10" ht="19.5" customHeight="1" x14ac:dyDescent="0.25">
      <c r="B49" s="8" t="s">
        <v>129</v>
      </c>
      <c r="H49" s="7" t="s">
        <v>11</v>
      </c>
      <c r="I49" s="36">
        <f>'Input (1)'!F48</f>
        <v>7.48</v>
      </c>
      <c r="J49" s="5" t="s">
        <v>0</v>
      </c>
    </row>
    <row r="50" spans="2:10" ht="19.5" customHeight="1" x14ac:dyDescent="0.25">
      <c r="B50" s="8" t="s">
        <v>126</v>
      </c>
      <c r="H50" s="7" t="s">
        <v>127</v>
      </c>
      <c r="I50" s="36">
        <f>0.6*I41</f>
        <v>10.319999999999999</v>
      </c>
      <c r="J50" s="5" t="s">
        <v>128</v>
      </c>
    </row>
    <row r="51" spans="2:10" ht="19.5" customHeight="1" x14ac:dyDescent="0.25">
      <c r="B51" s="8" t="s">
        <v>117</v>
      </c>
      <c r="H51" s="51" t="s">
        <v>130</v>
      </c>
      <c r="I51" s="42">
        <f>I50*I46</f>
        <v>3.8793705055948848</v>
      </c>
      <c r="J51" s="5" t="s">
        <v>118</v>
      </c>
    </row>
    <row r="52" spans="2:10" ht="19.5" customHeight="1" x14ac:dyDescent="0.25">
      <c r="B52" s="8" t="s">
        <v>119</v>
      </c>
      <c r="H52" s="51" t="s">
        <v>132</v>
      </c>
      <c r="I52" s="42">
        <f>I51*I49</f>
        <v>29.01769138184974</v>
      </c>
      <c r="J52" s="5" t="s">
        <v>120</v>
      </c>
    </row>
    <row r="53" spans="2:10" ht="19.5" customHeight="1" x14ac:dyDescent="0.25">
      <c r="B53" s="8" t="s">
        <v>121</v>
      </c>
      <c r="H53" s="51" t="s">
        <v>133</v>
      </c>
      <c r="I53" s="42">
        <f>I49/2</f>
        <v>3.74</v>
      </c>
      <c r="J53" s="5" t="s">
        <v>0</v>
      </c>
    </row>
    <row r="54" spans="2:10" ht="19.5" customHeight="1" x14ac:dyDescent="0.25">
      <c r="B54" s="8" t="s">
        <v>122</v>
      </c>
      <c r="H54" s="49" t="s">
        <v>123</v>
      </c>
      <c r="I54" s="42">
        <f>I52*I53</f>
        <v>108.52616576811803</v>
      </c>
      <c r="J54" s="5" t="s">
        <v>124</v>
      </c>
    </row>
    <row r="56" spans="2:10" ht="19.5" customHeight="1" x14ac:dyDescent="0.25">
      <c r="B56" s="9" t="s">
        <v>134</v>
      </c>
      <c r="H56" s="7"/>
      <c r="I56" s="35"/>
      <c r="J56" s="5"/>
    </row>
    <row r="57" spans="2:10" ht="19.5" customHeight="1" x14ac:dyDescent="0.25">
      <c r="B57" s="8" t="s">
        <v>129</v>
      </c>
      <c r="H57" s="7" t="s">
        <v>11</v>
      </c>
      <c r="I57" s="36">
        <f>I49</f>
        <v>7.48</v>
      </c>
      <c r="J57" s="5" t="s">
        <v>0</v>
      </c>
    </row>
    <row r="58" spans="2:10" ht="19.5" customHeight="1" x14ac:dyDescent="0.25">
      <c r="B58" s="8" t="s">
        <v>135</v>
      </c>
      <c r="H58" s="51" t="s">
        <v>139</v>
      </c>
      <c r="I58" s="42">
        <f>I57*I41*I46</f>
        <v>48.362818969749576</v>
      </c>
      <c r="J58" s="5" t="s">
        <v>118</v>
      </c>
    </row>
    <row r="59" spans="2:10" ht="19.5" customHeight="1" x14ac:dyDescent="0.25">
      <c r="B59" s="8" t="s">
        <v>136</v>
      </c>
      <c r="H59" s="51" t="s">
        <v>140</v>
      </c>
      <c r="I59" s="42">
        <f>0.5*I57*I58</f>
        <v>180.87694294686344</v>
      </c>
      <c r="J59" s="5" t="s">
        <v>120</v>
      </c>
    </row>
    <row r="60" spans="2:10" ht="19.5" customHeight="1" x14ac:dyDescent="0.25">
      <c r="B60" s="8" t="s">
        <v>137</v>
      </c>
      <c r="H60" s="51" t="s">
        <v>141</v>
      </c>
      <c r="I60" s="42">
        <f>1/3*I57</f>
        <v>2.4933333333333332</v>
      </c>
      <c r="J60" s="5" t="s">
        <v>0</v>
      </c>
    </row>
    <row r="61" spans="2:10" ht="19.5" customHeight="1" x14ac:dyDescent="0.25">
      <c r="B61" s="8" t="s">
        <v>138</v>
      </c>
      <c r="H61" s="51" t="s">
        <v>142</v>
      </c>
      <c r="I61" s="42">
        <f>I59*I60</f>
        <v>450.98651108084613</v>
      </c>
      <c r="J61" s="5" t="s">
        <v>124</v>
      </c>
    </row>
    <row r="63" spans="2:10" ht="19.5" customHeight="1" x14ac:dyDescent="0.25">
      <c r="B63" s="9" t="s">
        <v>144</v>
      </c>
    </row>
    <row r="64" spans="2:10" ht="19.5" customHeight="1" x14ac:dyDescent="0.25">
      <c r="B64" s="1" t="s">
        <v>169</v>
      </c>
      <c r="H64" s="7" t="s">
        <v>146</v>
      </c>
      <c r="I64" s="42">
        <f>(I52+I59)*(I18-I17)</f>
        <v>3421.2825395580248</v>
      </c>
      <c r="J64" s="5" t="s">
        <v>115</v>
      </c>
    </row>
    <row r="65" spans="1:10" ht="19.5" customHeight="1" x14ac:dyDescent="0.25">
      <c r="B65" s="1" t="s">
        <v>170</v>
      </c>
      <c r="H65" s="7" t="s">
        <v>147</v>
      </c>
      <c r="I65" s="42">
        <f>(I54+I61)*(I18-I17)</f>
        <v>9120.0566326381158</v>
      </c>
      <c r="J65" s="5" t="s">
        <v>145</v>
      </c>
    </row>
    <row r="68" spans="1:10" ht="19.5" customHeight="1" x14ac:dyDescent="0.25">
      <c r="A68" s="14" t="s">
        <v>148</v>
      </c>
      <c r="B68" s="9" t="s">
        <v>149</v>
      </c>
    </row>
    <row r="83" spans="1:10" ht="19.5" customHeight="1" x14ac:dyDescent="0.25">
      <c r="B83" s="8" t="s">
        <v>150</v>
      </c>
      <c r="H83" s="7" t="s">
        <v>151</v>
      </c>
      <c r="I83" s="52">
        <f>'Input (1)'!I66</f>
        <v>0.3</v>
      </c>
      <c r="J83" s="5" t="s">
        <v>152</v>
      </c>
    </row>
    <row r="84" spans="1:10" ht="19.5" customHeight="1" x14ac:dyDescent="0.25">
      <c r="B84" s="8" t="s">
        <v>153</v>
      </c>
      <c r="H84" s="7" t="s">
        <v>154</v>
      </c>
      <c r="I84" s="52">
        <f>'Input (1)'!I67</f>
        <v>1.2</v>
      </c>
      <c r="J84" s="5"/>
    </row>
    <row r="85" spans="1:10" ht="19.5" customHeight="1" x14ac:dyDescent="0.25">
      <c r="B85" s="8" t="s">
        <v>155</v>
      </c>
      <c r="H85" s="7" t="s">
        <v>156</v>
      </c>
      <c r="I85" s="52">
        <f>I83*I84</f>
        <v>0.36</v>
      </c>
      <c r="J85" s="5" t="s">
        <v>152</v>
      </c>
    </row>
    <row r="86" spans="1:10" ht="19.5" customHeight="1" x14ac:dyDescent="0.25">
      <c r="B86" s="8" t="s">
        <v>157</v>
      </c>
      <c r="H86" s="7" t="s">
        <v>158</v>
      </c>
      <c r="I86" s="52">
        <f>0.5*I85</f>
        <v>0.18</v>
      </c>
      <c r="J86" s="5" t="s">
        <v>152</v>
      </c>
    </row>
    <row r="87" spans="1:10" ht="19.5" customHeight="1" x14ac:dyDescent="0.25">
      <c r="B87" s="8"/>
      <c r="H87" s="49" t="s">
        <v>159</v>
      </c>
      <c r="I87" s="4">
        <f>DEGREES(ATAN((I86)))</f>
        <v>10.203973721731684</v>
      </c>
      <c r="J87" s="15" t="s">
        <v>100</v>
      </c>
    </row>
    <row r="88" spans="1:10" ht="19.5" customHeight="1" x14ac:dyDescent="0.25">
      <c r="B88" s="8" t="s">
        <v>160</v>
      </c>
      <c r="H88" s="7"/>
      <c r="I88" s="35"/>
      <c r="J88" s="5"/>
    </row>
    <row r="89" spans="1:10" ht="19.5" customHeight="1" x14ac:dyDescent="0.25">
      <c r="B89" s="8"/>
      <c r="H89" s="7" t="s">
        <v>161</v>
      </c>
      <c r="I89" s="4">
        <f>(COS(RADIANS(I45-I87)))^2/(COS(RADIANS(I87)))^2*(1+(SIN(RADIANS(I45))*SIN(RADIANS(I45-I87))/COS(RADIANS(I87)))^0.5)^(-2)</f>
        <v>0.50821855546797046</v>
      </c>
      <c r="J89" s="5"/>
    </row>
    <row r="90" spans="1:10" ht="19.5" customHeight="1" x14ac:dyDescent="0.25">
      <c r="B90" s="8" t="s">
        <v>162</v>
      </c>
      <c r="H90" s="50" t="s">
        <v>163</v>
      </c>
      <c r="I90" s="4">
        <f>I89-I46</f>
        <v>0.13231056073978387</v>
      </c>
      <c r="J90" s="5"/>
    </row>
    <row r="91" spans="1:10" ht="19.5" customHeight="1" x14ac:dyDescent="0.25">
      <c r="B91" s="8" t="s">
        <v>164</v>
      </c>
      <c r="H91" s="7" t="s">
        <v>165</v>
      </c>
      <c r="I91" s="4">
        <f>I41*I49*I90</f>
        <v>17.022547502537634</v>
      </c>
      <c r="J91" s="5" t="s">
        <v>168</v>
      </c>
    </row>
    <row r="92" spans="1:10" ht="19.5" customHeight="1" x14ac:dyDescent="0.25">
      <c r="B92" s="1" t="s">
        <v>169</v>
      </c>
      <c r="H92" s="7" t="s">
        <v>171</v>
      </c>
      <c r="I92" s="42">
        <f>0.5*I57*I91*(I18-I17)</f>
        <v>1037.7285408496994</v>
      </c>
      <c r="J92" s="5" t="s">
        <v>115</v>
      </c>
    </row>
    <row r="93" spans="1:10" ht="19.5" customHeight="1" x14ac:dyDescent="0.25">
      <c r="B93" s="1" t="s">
        <v>170</v>
      </c>
      <c r="H93" s="7" t="s">
        <v>174</v>
      </c>
      <c r="I93" s="42">
        <f>I92*2/3*I57</f>
        <v>5174.806323703835</v>
      </c>
      <c r="J93" s="5" t="s">
        <v>145</v>
      </c>
    </row>
    <row r="95" spans="1:10" ht="19.5" customHeight="1" x14ac:dyDescent="0.25">
      <c r="A95" s="14" t="s">
        <v>175</v>
      </c>
      <c r="B95" s="9" t="s">
        <v>1023</v>
      </c>
    </row>
    <row r="115" spans="1:23" ht="19.5" customHeight="1" x14ac:dyDescent="0.25">
      <c r="A115" s="514"/>
      <c r="B115" s="9" t="s">
        <v>1098</v>
      </c>
    </row>
    <row r="116" spans="1:23" ht="19.5" customHeight="1" x14ac:dyDescent="0.25">
      <c r="A116" s="514"/>
      <c r="B116" s="8" t="s">
        <v>1024</v>
      </c>
      <c r="H116" s="7" t="s">
        <v>1026</v>
      </c>
      <c r="I116" s="6">
        <f>'Input (1)'!$I$3</f>
        <v>30</v>
      </c>
      <c r="J116" s="5" t="s">
        <v>7</v>
      </c>
    </row>
    <row r="117" spans="1:23" ht="19.5" customHeight="1" x14ac:dyDescent="0.25">
      <c r="A117" s="514"/>
      <c r="B117" s="1" t="s">
        <v>1025</v>
      </c>
      <c r="H117" s="7" t="s">
        <v>1027</v>
      </c>
      <c r="I117" s="6">
        <f>4700*SQRT(I116)</f>
        <v>25742.960202742808</v>
      </c>
      <c r="J117" s="5" t="s">
        <v>7</v>
      </c>
    </row>
    <row r="118" spans="1:23" ht="19.5" customHeight="1" x14ac:dyDescent="0.25">
      <c r="A118" s="514"/>
      <c r="B118" s="1" t="s">
        <v>1036</v>
      </c>
      <c r="H118" s="7" t="s">
        <v>1037</v>
      </c>
      <c r="I118" s="112">
        <f>('Input (1)'!$C$47+'Input (1)'!$C$48+'Input (1)'!$C$49+'Input (1)'!$C$50)*1000</f>
        <v>3730.0000000000009</v>
      </c>
      <c r="J118" s="5" t="s">
        <v>49</v>
      </c>
    </row>
    <row r="119" spans="1:23" ht="19.5" customHeight="1" x14ac:dyDescent="0.25">
      <c r="A119" s="514"/>
      <c r="B119" s="1" t="s">
        <v>58</v>
      </c>
      <c r="H119" s="7" t="s">
        <v>2</v>
      </c>
      <c r="I119" s="6">
        <f>'Input (1)'!$I$58</f>
        <v>17.3</v>
      </c>
      <c r="J119" s="5" t="s">
        <v>0</v>
      </c>
      <c r="P119" s="445"/>
      <c r="Q119" s="445"/>
      <c r="R119" s="445"/>
      <c r="S119" s="445"/>
      <c r="T119" s="473"/>
      <c r="U119" s="474"/>
      <c r="V119" s="473"/>
      <c r="W119" s="474"/>
    </row>
    <row r="120" spans="1:23" ht="19.5" customHeight="1" x14ac:dyDescent="0.25">
      <c r="A120" s="514"/>
      <c r="B120" s="1" t="s">
        <v>1029</v>
      </c>
      <c r="H120" s="7" t="s">
        <v>1038</v>
      </c>
      <c r="I120" s="517">
        <f>1/12*'Input (1)'!$I$58*'Input (1)'!$F$42^3*(10^3)^4</f>
        <v>1441666666666.6667</v>
      </c>
      <c r="J120" s="5" t="s">
        <v>1030</v>
      </c>
      <c r="P120" s="272"/>
      <c r="Q120" s="404"/>
      <c r="R120" s="404"/>
      <c r="S120" s="272"/>
      <c r="T120" s="272"/>
      <c r="U120" s="283"/>
      <c r="V120" s="283"/>
      <c r="W120" s="283"/>
    </row>
    <row r="121" spans="1:23" ht="19.5" customHeight="1" x14ac:dyDescent="0.25">
      <c r="A121" s="514"/>
      <c r="B121" s="1" t="s">
        <v>1032</v>
      </c>
      <c r="H121" s="7" t="s">
        <v>1039</v>
      </c>
      <c r="I121" s="538">
        <f>0.7*I120</f>
        <v>1009166666666.6666</v>
      </c>
      <c r="J121" s="5" t="s">
        <v>1031</v>
      </c>
      <c r="P121" s="272"/>
      <c r="Q121" s="404"/>
      <c r="R121" s="404"/>
      <c r="S121" s="272"/>
      <c r="T121" s="272"/>
      <c r="U121" s="283"/>
      <c r="V121" s="283"/>
      <c r="W121" s="283"/>
    </row>
    <row r="122" spans="1:23" ht="19.5" customHeight="1" x14ac:dyDescent="0.25">
      <c r="A122" s="514"/>
      <c r="B122" s="1" t="s">
        <v>1033</v>
      </c>
      <c r="H122" s="7" t="s">
        <v>368</v>
      </c>
      <c r="I122" s="541">
        <v>1</v>
      </c>
      <c r="J122" s="5"/>
      <c r="P122" s="272"/>
      <c r="Q122" s="404"/>
      <c r="R122" s="404"/>
      <c r="S122" s="272"/>
      <c r="T122" s="272"/>
      <c r="U122" s="283"/>
      <c r="V122" s="283"/>
      <c r="W122" s="283"/>
    </row>
    <row r="123" spans="1:23" ht="19.5" customHeight="1" x14ac:dyDescent="0.25">
      <c r="A123" s="514"/>
      <c r="B123" s="1" t="s">
        <v>1034</v>
      </c>
      <c r="P123" s="272"/>
      <c r="Q123" s="404"/>
      <c r="R123" s="404"/>
      <c r="S123" s="272"/>
      <c r="T123" s="272"/>
      <c r="U123" s="283"/>
      <c r="V123" s="283"/>
      <c r="W123" s="283"/>
    </row>
    <row r="124" spans="1:23" ht="19.5" customHeight="1" x14ac:dyDescent="0.25">
      <c r="A124" s="514"/>
      <c r="H124" s="7" t="s">
        <v>1035</v>
      </c>
      <c r="I124" s="538">
        <f>1/3*I122*$I$118^3/($I$117*I121)+3*I122*$I$118/($I$117*'Input (1)'!$F$42*1000*'Input (1)'!$I$58*1000)</f>
        <v>6.9098755271721592E-7</v>
      </c>
      <c r="J124" s="5" t="s">
        <v>1040</v>
      </c>
      <c r="P124" s="272"/>
      <c r="Q124" s="404"/>
      <c r="R124" s="404"/>
      <c r="S124" s="272"/>
      <c r="T124" s="272"/>
      <c r="U124" s="283"/>
      <c r="V124" s="283"/>
      <c r="W124" s="283"/>
    </row>
    <row r="125" spans="1:23" ht="19.5" customHeight="1" x14ac:dyDescent="0.25">
      <c r="A125" s="514"/>
      <c r="B125" s="1" t="s">
        <v>1041</v>
      </c>
      <c r="H125" s="7" t="s">
        <v>1042</v>
      </c>
      <c r="I125" s="539">
        <f>1/I124</f>
        <v>1447204.0720091613</v>
      </c>
      <c r="J125" s="5" t="s">
        <v>120</v>
      </c>
      <c r="P125" s="272"/>
      <c r="Q125" s="404"/>
      <c r="R125" s="404"/>
      <c r="S125" s="272"/>
      <c r="T125" s="272"/>
      <c r="U125" s="283"/>
      <c r="V125" s="283"/>
      <c r="W125" s="283"/>
    </row>
    <row r="126" spans="1:23" ht="19.5" customHeight="1" x14ac:dyDescent="0.25">
      <c r="A126" s="514"/>
      <c r="B126" s="1" t="s">
        <v>1028</v>
      </c>
      <c r="H126" s="7" t="s">
        <v>1099</v>
      </c>
      <c r="I126" s="6">
        <v>1</v>
      </c>
      <c r="J126" s="5" t="s">
        <v>120</v>
      </c>
      <c r="P126" s="272"/>
      <c r="Q126" s="404"/>
      <c r="R126" s="404"/>
      <c r="S126" s="272"/>
      <c r="T126" s="272"/>
      <c r="U126" s="283"/>
      <c r="V126" s="283"/>
      <c r="W126" s="283"/>
    </row>
    <row r="127" spans="1:23" ht="19.5" customHeight="1" x14ac:dyDescent="0.25">
      <c r="A127" s="514"/>
      <c r="B127" s="1" t="s">
        <v>1043</v>
      </c>
      <c r="H127" s="7" t="s">
        <v>1100</v>
      </c>
      <c r="I127" s="4">
        <f>I126*'Input (1)'!$I$58/'Process (1)'!I125*1000</f>
        <v>1.1954084662007838E-2</v>
      </c>
      <c r="J127" s="5" t="s">
        <v>49</v>
      </c>
      <c r="P127" s="272"/>
      <c r="Q127" s="404"/>
      <c r="R127" s="404"/>
      <c r="S127" s="272"/>
      <c r="T127" s="272"/>
      <c r="U127" s="283"/>
      <c r="V127" s="283"/>
      <c r="W127" s="283"/>
    </row>
    <row r="128" spans="1:23" ht="19.5" customHeight="1" x14ac:dyDescent="0.25">
      <c r="A128" s="514"/>
      <c r="B128" s="1" t="s">
        <v>1044</v>
      </c>
      <c r="H128" s="7" t="s">
        <v>1101</v>
      </c>
      <c r="I128" s="4">
        <f>('Input (2)'!D23+'Input (2)'!D24)/I119</f>
        <v>271.72450867052021</v>
      </c>
      <c r="J128" s="5" t="s">
        <v>120</v>
      </c>
      <c r="P128" s="272"/>
      <c r="Q128" s="404"/>
      <c r="R128" s="404"/>
      <c r="S128" s="272"/>
      <c r="T128" s="272"/>
      <c r="U128" s="283"/>
      <c r="V128" s="283"/>
      <c r="W128" s="283"/>
    </row>
    <row r="129" spans="1:23" ht="19.5" customHeight="1" x14ac:dyDescent="0.25">
      <c r="A129" s="514"/>
      <c r="J129" s="5"/>
      <c r="P129" s="272"/>
      <c r="Q129" s="404"/>
      <c r="R129" s="404"/>
      <c r="S129" s="272"/>
      <c r="T129" s="272"/>
      <c r="U129" s="283"/>
      <c r="V129" s="283"/>
      <c r="W129" s="283"/>
    </row>
    <row r="130" spans="1:23" ht="19.5" customHeight="1" x14ac:dyDescent="0.25">
      <c r="A130" s="514"/>
      <c r="B130" s="1" t="s">
        <v>1045</v>
      </c>
      <c r="H130" s="520" t="s">
        <v>1102</v>
      </c>
      <c r="I130" s="540">
        <f>I127/1000*I119</f>
        <v>2.0680566465273558E-4</v>
      </c>
      <c r="J130" s="5" t="s">
        <v>1046</v>
      </c>
      <c r="P130" s="272"/>
      <c r="Q130" s="404"/>
      <c r="R130" s="404"/>
      <c r="S130" s="272"/>
      <c r="T130" s="272"/>
      <c r="U130" s="283"/>
      <c r="V130" s="283"/>
      <c r="W130" s="283"/>
    </row>
    <row r="131" spans="1:23" ht="19.5" customHeight="1" x14ac:dyDescent="0.25">
      <c r="A131" s="514"/>
      <c r="B131" s="1" t="s">
        <v>1047</v>
      </c>
      <c r="H131" s="520" t="s">
        <v>1103</v>
      </c>
      <c r="I131" s="540">
        <f>I130*I128</f>
        <v>5.6194167618044945E-2</v>
      </c>
      <c r="J131" s="5" t="s">
        <v>145</v>
      </c>
      <c r="P131" s="272"/>
      <c r="Q131" s="404"/>
      <c r="R131" s="404"/>
      <c r="S131" s="272"/>
      <c r="T131" s="272"/>
      <c r="U131" s="283"/>
      <c r="V131" s="283"/>
      <c r="W131" s="283"/>
    </row>
    <row r="132" spans="1:23" ht="19.5" customHeight="1" x14ac:dyDescent="0.25">
      <c r="A132" s="514"/>
      <c r="B132" s="1" t="s">
        <v>1048</v>
      </c>
      <c r="H132" s="520" t="s">
        <v>1104</v>
      </c>
      <c r="I132" s="542">
        <f>I131*I127/1000</f>
        <v>6.7174983721716856E-7</v>
      </c>
      <c r="J132" s="5" t="s">
        <v>1049</v>
      </c>
      <c r="P132" s="272"/>
      <c r="Q132" s="404"/>
      <c r="R132" s="404"/>
      <c r="S132" s="272"/>
      <c r="T132" s="272"/>
      <c r="U132" s="283"/>
      <c r="V132" s="283"/>
      <c r="W132" s="283"/>
    </row>
    <row r="133" spans="1:23" ht="19.5" customHeight="1" x14ac:dyDescent="0.25">
      <c r="A133" s="514"/>
      <c r="P133" s="272"/>
      <c r="Q133" s="404"/>
      <c r="R133" s="404"/>
      <c r="S133" s="272"/>
      <c r="T133" s="272"/>
      <c r="U133" s="283"/>
      <c r="V133" s="283"/>
      <c r="W133" s="283"/>
    </row>
    <row r="134" spans="1:23" ht="19.5" customHeight="1" x14ac:dyDescent="0.25">
      <c r="A134" s="514"/>
      <c r="B134" s="1" t="s">
        <v>1050</v>
      </c>
      <c r="P134" s="272"/>
      <c r="Q134" s="404"/>
      <c r="R134" s="404"/>
      <c r="S134" s="272"/>
      <c r="T134" s="272"/>
      <c r="U134" s="283"/>
      <c r="V134" s="283"/>
      <c r="W134" s="283"/>
    </row>
    <row r="135" spans="1:23" ht="19.5" customHeight="1" x14ac:dyDescent="0.25">
      <c r="A135" s="514"/>
      <c r="H135" s="7" t="s">
        <v>1051</v>
      </c>
      <c r="I135" s="4">
        <f>2*PI()*SQRT(I132/(I126*9.81*I130))</f>
        <v>0.11433203521147195</v>
      </c>
      <c r="J135" s="1" t="s">
        <v>1052</v>
      </c>
      <c r="P135" s="272"/>
      <c r="Q135" s="404"/>
      <c r="R135" s="404"/>
      <c r="S135" s="272"/>
      <c r="T135" s="272"/>
      <c r="U135" s="283"/>
      <c r="V135" s="283"/>
      <c r="W135" s="283"/>
    </row>
    <row r="136" spans="1:23" ht="19.5" customHeight="1" x14ac:dyDescent="0.25">
      <c r="A136" s="514"/>
      <c r="B136" s="1" t="s">
        <v>1106</v>
      </c>
      <c r="H136" s="7" t="s">
        <v>1122</v>
      </c>
      <c r="I136" s="4">
        <f>'Respon Spektrum'!$I$89</f>
        <v>0.79199999999999993</v>
      </c>
      <c r="J136" s="1" t="s">
        <v>152</v>
      </c>
      <c r="P136" s="272"/>
      <c r="Q136" s="404"/>
      <c r="R136" s="404"/>
      <c r="S136" s="272"/>
      <c r="T136" s="272"/>
      <c r="U136" s="283"/>
      <c r="V136" s="283"/>
      <c r="W136" s="283"/>
    </row>
    <row r="137" spans="1:23" ht="19.5" customHeight="1" x14ac:dyDescent="0.25">
      <c r="A137" s="514"/>
      <c r="B137" s="1" t="s">
        <v>1107</v>
      </c>
      <c r="H137" s="7" t="s">
        <v>1123</v>
      </c>
      <c r="I137" s="4">
        <f>(I131*I136/I132)*I128*I127/1000</f>
        <v>215.20581086705198</v>
      </c>
      <c r="J137" s="1" t="s">
        <v>120</v>
      </c>
      <c r="P137" s="272"/>
      <c r="Q137" s="404"/>
      <c r="R137" s="404"/>
      <c r="S137" s="272"/>
      <c r="T137" s="272"/>
      <c r="U137" s="283"/>
      <c r="V137" s="283"/>
      <c r="W137" s="283"/>
    </row>
    <row r="138" spans="1:23" ht="19.5" customHeight="1" x14ac:dyDescent="0.25">
      <c r="A138" s="514"/>
      <c r="B138" s="1" t="s">
        <v>1108</v>
      </c>
      <c r="H138" s="7" t="s">
        <v>181</v>
      </c>
      <c r="I138" s="4">
        <v>1.5</v>
      </c>
      <c r="P138" s="272"/>
      <c r="Q138" s="404"/>
      <c r="R138" s="404"/>
      <c r="S138" s="272"/>
      <c r="T138" s="272"/>
      <c r="U138" s="283"/>
      <c r="V138" s="283"/>
      <c r="W138" s="283"/>
    </row>
    <row r="139" spans="1:23" ht="19.5" customHeight="1" x14ac:dyDescent="0.25">
      <c r="A139" s="514"/>
      <c r="B139" s="1" t="s">
        <v>1109</v>
      </c>
      <c r="H139" s="7" t="s">
        <v>1124</v>
      </c>
      <c r="I139" s="4">
        <f>I137*I119/I138</f>
        <v>2482.0403519999995</v>
      </c>
      <c r="J139" s="1" t="s">
        <v>115</v>
      </c>
      <c r="P139" s="272"/>
      <c r="Q139" s="404"/>
      <c r="R139" s="404"/>
      <c r="S139" s="272"/>
      <c r="T139" s="272"/>
      <c r="U139" s="283"/>
      <c r="V139" s="283"/>
      <c r="W139" s="283"/>
    </row>
    <row r="140" spans="1:23" ht="19.5" customHeight="1" x14ac:dyDescent="0.25">
      <c r="A140" s="514"/>
      <c r="H140" s="7"/>
      <c r="I140" s="519"/>
      <c r="P140" s="272"/>
      <c r="Q140" s="404"/>
      <c r="R140" s="404"/>
      <c r="S140" s="272"/>
      <c r="T140" s="272"/>
      <c r="U140" s="283"/>
      <c r="V140" s="283"/>
      <c r="W140" s="283"/>
    </row>
    <row r="141" spans="1:23" ht="19.5" customHeight="1" x14ac:dyDescent="0.25">
      <c r="A141" s="514"/>
      <c r="B141" s="9" t="s">
        <v>1110</v>
      </c>
      <c r="H141" s="7"/>
      <c r="I141" s="519"/>
      <c r="P141" s="272"/>
      <c r="Q141" s="404"/>
      <c r="R141" s="404"/>
      <c r="S141" s="272"/>
      <c r="T141" s="272"/>
      <c r="U141" s="283"/>
      <c r="V141" s="283"/>
      <c r="W141" s="283"/>
    </row>
    <row r="142" spans="1:23" ht="19.5" customHeight="1" x14ac:dyDescent="0.25">
      <c r="A142" s="514"/>
      <c r="B142" s="1" t="s">
        <v>1029</v>
      </c>
      <c r="H142" s="7" t="s">
        <v>1111</v>
      </c>
      <c r="I142" s="517">
        <f>1/12*'Input (1)'!F42*'Input (1)'!I58^3*(10^3)^4</f>
        <v>431476416666666.69</v>
      </c>
      <c r="J142" s="5" t="s">
        <v>1030</v>
      </c>
      <c r="P142" s="272"/>
      <c r="Q142" s="404"/>
      <c r="R142" s="404"/>
      <c r="S142" s="272"/>
      <c r="T142" s="272"/>
      <c r="U142" s="283"/>
      <c r="V142" s="283"/>
      <c r="W142" s="283"/>
    </row>
    <row r="143" spans="1:23" ht="19.5" customHeight="1" x14ac:dyDescent="0.25">
      <c r="A143" s="514"/>
      <c r="B143" s="1" t="s">
        <v>1032</v>
      </c>
      <c r="H143" s="7" t="s">
        <v>1039</v>
      </c>
      <c r="I143" s="538">
        <f>0.7*I142</f>
        <v>302033491666666.69</v>
      </c>
      <c r="J143" s="5" t="s">
        <v>1031</v>
      </c>
      <c r="P143" s="272"/>
      <c r="Q143" s="404"/>
      <c r="R143" s="404"/>
      <c r="S143" s="272"/>
      <c r="T143" s="272"/>
      <c r="U143" s="283"/>
      <c r="V143" s="283"/>
      <c r="W143" s="283"/>
    </row>
    <row r="144" spans="1:23" ht="19.5" customHeight="1" x14ac:dyDescent="0.25">
      <c r="A144" s="514"/>
      <c r="B144" s="1" t="s">
        <v>1033</v>
      </c>
      <c r="H144" s="7" t="s">
        <v>368</v>
      </c>
      <c r="I144" s="541">
        <v>1</v>
      </c>
      <c r="J144" s="5"/>
      <c r="P144" s="272"/>
      <c r="Q144" s="404"/>
      <c r="R144" s="404"/>
      <c r="S144" s="272"/>
      <c r="T144" s="272"/>
      <c r="U144" s="283"/>
      <c r="V144" s="283"/>
      <c r="W144" s="283"/>
    </row>
    <row r="145" spans="1:23" ht="19.5" customHeight="1" x14ac:dyDescent="0.25">
      <c r="A145" s="514"/>
      <c r="B145" s="1" t="s">
        <v>1112</v>
      </c>
      <c r="P145" s="272"/>
      <c r="Q145" s="404"/>
      <c r="R145" s="404"/>
      <c r="S145" s="272"/>
      <c r="T145" s="272"/>
      <c r="U145" s="283"/>
      <c r="V145" s="283"/>
      <c r="W145" s="283"/>
    </row>
    <row r="146" spans="1:23" ht="19.5" customHeight="1" x14ac:dyDescent="0.25">
      <c r="A146" s="514"/>
      <c r="H146" s="7" t="s">
        <v>1113</v>
      </c>
      <c r="I146" s="538">
        <f>1/3*I144*$I$118^3/($I$117*I143)+3*I144*$I$118/($I$117*'Input (1)'!$F$42*1000*'Input (1)'!$I$58*1000)</f>
        <v>2.7350927427814667E-8</v>
      </c>
      <c r="J146" s="5" t="s">
        <v>1040</v>
      </c>
      <c r="P146" s="272"/>
      <c r="Q146" s="404"/>
      <c r="R146" s="404"/>
      <c r="S146" s="272"/>
      <c r="T146" s="272"/>
      <c r="U146" s="283"/>
      <c r="V146" s="283"/>
      <c r="W146" s="283"/>
    </row>
    <row r="147" spans="1:23" ht="19.5" customHeight="1" x14ac:dyDescent="0.25">
      <c r="A147" s="514"/>
      <c r="B147" s="1" t="s">
        <v>1115</v>
      </c>
      <c r="H147" s="7" t="s">
        <v>1114</v>
      </c>
      <c r="I147" s="539">
        <f>1/I146</f>
        <v>36561831.500567138</v>
      </c>
      <c r="J147" s="5" t="s">
        <v>120</v>
      </c>
      <c r="P147" s="272"/>
      <c r="Q147" s="404"/>
      <c r="R147" s="404"/>
      <c r="S147" s="272"/>
      <c r="T147" s="272"/>
      <c r="U147" s="283"/>
      <c r="V147" s="283"/>
      <c r="W147" s="283"/>
    </row>
    <row r="148" spans="1:23" ht="19.5" customHeight="1" x14ac:dyDescent="0.25">
      <c r="A148" s="514"/>
      <c r="B148" s="1" t="s">
        <v>1028</v>
      </c>
      <c r="H148" s="7" t="s">
        <v>1099</v>
      </c>
      <c r="I148" s="6">
        <v>1</v>
      </c>
      <c r="J148" s="5" t="s">
        <v>120</v>
      </c>
      <c r="P148" s="272"/>
      <c r="Q148" s="404"/>
      <c r="R148" s="404"/>
      <c r="S148" s="272"/>
      <c r="T148" s="272"/>
      <c r="U148" s="283"/>
      <c r="V148" s="283"/>
      <c r="W148" s="283"/>
    </row>
    <row r="149" spans="1:23" ht="19.5" customHeight="1" x14ac:dyDescent="0.25">
      <c r="A149" s="514"/>
      <c r="B149" s="1" t="s">
        <v>1116</v>
      </c>
      <c r="H149" s="7" t="s">
        <v>1117</v>
      </c>
      <c r="I149" s="517">
        <f>I148*'Input (1)'!$F$42/'Process (1)'!I147*1000</f>
        <v>2.7350927427814668E-5</v>
      </c>
      <c r="J149" s="5" t="s">
        <v>49</v>
      </c>
      <c r="P149" s="272"/>
      <c r="Q149" s="404"/>
      <c r="R149" s="404"/>
      <c r="S149" s="272"/>
      <c r="T149" s="272"/>
      <c r="U149" s="283"/>
      <c r="V149" s="283"/>
      <c r="W149" s="283"/>
    </row>
    <row r="150" spans="1:23" ht="19.5" customHeight="1" x14ac:dyDescent="0.25">
      <c r="A150" s="514"/>
      <c r="B150" s="1" t="s">
        <v>1118</v>
      </c>
      <c r="H150" s="7" t="s">
        <v>1119</v>
      </c>
      <c r="I150" s="4">
        <f>('Input (2)'!D23+'Input (2)'!D24)/'Input (1)'!$F$42</f>
        <v>4700.8339999999998</v>
      </c>
      <c r="J150" s="5" t="s">
        <v>120</v>
      </c>
      <c r="P150" s="272"/>
      <c r="Q150" s="404"/>
      <c r="R150" s="404"/>
      <c r="S150" s="272"/>
      <c r="T150" s="272"/>
      <c r="U150" s="283"/>
      <c r="V150" s="283"/>
      <c r="W150" s="283"/>
    </row>
    <row r="151" spans="1:23" ht="19.5" customHeight="1" x14ac:dyDescent="0.25">
      <c r="A151" s="514"/>
      <c r="J151" s="5"/>
      <c r="P151" s="272"/>
      <c r="Q151" s="404"/>
      <c r="R151" s="404"/>
      <c r="S151" s="272"/>
      <c r="T151" s="272"/>
      <c r="U151" s="283"/>
      <c r="V151" s="283"/>
      <c r="W151" s="283"/>
    </row>
    <row r="152" spans="1:23" ht="19.5" customHeight="1" x14ac:dyDescent="0.25">
      <c r="A152" s="514"/>
      <c r="B152" s="1" t="s">
        <v>1045</v>
      </c>
      <c r="H152" s="520" t="s">
        <v>1120</v>
      </c>
      <c r="I152" s="517">
        <f>I149/1000*'Input (1)'!F42</f>
        <v>2.7350927427814667E-8</v>
      </c>
      <c r="J152" s="5" t="s">
        <v>1046</v>
      </c>
      <c r="P152" s="272"/>
      <c r="Q152" s="404"/>
      <c r="R152" s="404"/>
      <c r="S152" s="272"/>
      <c r="T152" s="272"/>
      <c r="U152" s="283"/>
      <c r="V152" s="283"/>
      <c r="W152" s="283"/>
    </row>
    <row r="153" spans="1:23" ht="19.5" customHeight="1" x14ac:dyDescent="0.25">
      <c r="A153" s="514"/>
      <c r="B153" s="1" t="s">
        <v>1047</v>
      </c>
      <c r="H153" s="520" t="s">
        <v>1103</v>
      </c>
      <c r="I153" s="517">
        <f>I152*I150</f>
        <v>1.2857216958420372E-4</v>
      </c>
      <c r="J153" s="5" t="s">
        <v>145</v>
      </c>
      <c r="P153" s="272"/>
      <c r="Q153" s="404"/>
      <c r="R153" s="404"/>
      <c r="S153" s="272"/>
      <c r="T153" s="272"/>
      <c r="U153" s="283"/>
      <c r="V153" s="283"/>
      <c r="W153" s="283"/>
    </row>
    <row r="154" spans="1:23" ht="19.5" customHeight="1" x14ac:dyDescent="0.25">
      <c r="A154" s="514"/>
      <c r="B154" s="1" t="s">
        <v>1048</v>
      </c>
      <c r="H154" s="520" t="s">
        <v>1104</v>
      </c>
      <c r="I154" s="517">
        <f>I153*I149/1000</f>
        <v>3.5165680795342361E-12</v>
      </c>
      <c r="J154" s="5" t="s">
        <v>1049</v>
      </c>
      <c r="P154" s="272"/>
      <c r="Q154" s="404"/>
      <c r="R154" s="404"/>
      <c r="S154" s="272"/>
      <c r="T154" s="272"/>
      <c r="U154" s="283"/>
      <c r="V154" s="283"/>
      <c r="W154" s="283"/>
    </row>
    <row r="155" spans="1:23" ht="19.5" customHeight="1" x14ac:dyDescent="0.25">
      <c r="A155" s="514"/>
      <c r="P155" s="272"/>
      <c r="Q155" s="404"/>
      <c r="R155" s="404"/>
      <c r="S155" s="272"/>
      <c r="T155" s="272"/>
      <c r="U155" s="283"/>
      <c r="V155" s="283"/>
      <c r="W155" s="283"/>
    </row>
    <row r="156" spans="1:23" ht="19.5" customHeight="1" x14ac:dyDescent="0.25">
      <c r="A156" s="514"/>
      <c r="B156" s="1" t="s">
        <v>1050</v>
      </c>
      <c r="P156" s="272"/>
      <c r="Q156" s="404"/>
      <c r="R156" s="404"/>
      <c r="S156" s="272"/>
      <c r="T156" s="272"/>
      <c r="U156" s="283"/>
      <c r="V156" s="283"/>
      <c r="W156" s="283"/>
    </row>
    <row r="157" spans="1:23" ht="19.5" customHeight="1" x14ac:dyDescent="0.25">
      <c r="A157" s="514"/>
      <c r="H157" s="7" t="s">
        <v>1051</v>
      </c>
      <c r="I157" s="4">
        <f>2*PI()*SQRT(I154/(I148*9.81*I152))</f>
        <v>2.2746723623207066E-2</v>
      </c>
      <c r="J157" s="1" t="s">
        <v>1052</v>
      </c>
      <c r="P157" s="272"/>
      <c r="Q157" s="404"/>
      <c r="R157" s="404"/>
      <c r="S157" s="272"/>
      <c r="T157" s="272"/>
      <c r="U157" s="283"/>
      <c r="V157" s="283"/>
      <c r="W157" s="283"/>
    </row>
    <row r="158" spans="1:23" ht="19.5" customHeight="1" x14ac:dyDescent="0.25">
      <c r="A158" s="514"/>
      <c r="B158" s="1" t="s">
        <v>1106</v>
      </c>
      <c r="H158" s="7" t="s">
        <v>1122</v>
      </c>
      <c r="I158" s="4">
        <f>'Respon Spektrum'!$M$93</f>
        <v>0.47973315395905469</v>
      </c>
      <c r="J158" s="1" t="s">
        <v>152</v>
      </c>
      <c r="P158" s="272"/>
      <c r="Q158" s="404"/>
      <c r="R158" s="404"/>
      <c r="S158" s="272"/>
      <c r="T158" s="272"/>
      <c r="U158" s="283"/>
      <c r="V158" s="283"/>
      <c r="W158" s="283"/>
    </row>
    <row r="159" spans="1:23" ht="19.5" customHeight="1" x14ac:dyDescent="0.25">
      <c r="A159" s="514"/>
      <c r="B159" s="1" t="s">
        <v>1107</v>
      </c>
      <c r="H159" s="7" t="s">
        <v>1125</v>
      </c>
      <c r="I159" s="4">
        <f>(I153*I158/I154)*I150*I149/1000</f>
        <v>2255.1459210579587</v>
      </c>
      <c r="J159" s="1" t="s">
        <v>120</v>
      </c>
      <c r="P159" s="580" t="s">
        <v>59</v>
      </c>
      <c r="Q159" s="580" t="s">
        <v>64</v>
      </c>
      <c r="R159" s="580"/>
      <c r="S159" s="580"/>
      <c r="T159" s="580"/>
      <c r="U159" s="48" t="s">
        <v>178</v>
      </c>
      <c r="V159" s="48" t="s">
        <v>67</v>
      </c>
      <c r="W159" s="48" t="s">
        <v>69</v>
      </c>
    </row>
    <row r="160" spans="1:23" ht="19.5" customHeight="1" x14ac:dyDescent="0.25">
      <c r="A160" s="514"/>
      <c r="B160" s="1" t="s">
        <v>1108</v>
      </c>
      <c r="H160" s="7" t="s">
        <v>181</v>
      </c>
      <c r="I160" s="4">
        <v>1.5</v>
      </c>
      <c r="P160" s="580"/>
      <c r="Q160" s="48" t="s">
        <v>60</v>
      </c>
      <c r="R160" s="48" t="s">
        <v>61</v>
      </c>
      <c r="S160" s="48" t="s">
        <v>62</v>
      </c>
      <c r="T160" s="48" t="s">
        <v>63</v>
      </c>
      <c r="U160" s="48" t="s">
        <v>66</v>
      </c>
      <c r="V160" s="48" t="s">
        <v>68</v>
      </c>
      <c r="W160" s="48" t="s">
        <v>70</v>
      </c>
    </row>
    <row r="161" spans="1:23" ht="19.5" customHeight="1" x14ac:dyDescent="0.25">
      <c r="A161" s="514"/>
      <c r="B161" s="1" t="s">
        <v>1109</v>
      </c>
      <c r="H161" s="7" t="s">
        <v>1126</v>
      </c>
      <c r="I161" s="4">
        <f>I159*'Input (1)'!F42/I160</f>
        <v>1503.4306140386391</v>
      </c>
      <c r="J161" s="1" t="s">
        <v>115</v>
      </c>
      <c r="P161" s="581" t="s">
        <v>89</v>
      </c>
      <c r="Q161" s="581"/>
      <c r="R161" s="581"/>
      <c r="S161" s="581"/>
      <c r="T161" s="581"/>
      <c r="U161" s="581"/>
      <c r="V161" s="581"/>
      <c r="W161" s="581"/>
    </row>
    <row r="162" spans="1:23" ht="19.5" customHeight="1" x14ac:dyDescent="0.25">
      <c r="A162" s="514"/>
      <c r="B162" s="9"/>
      <c r="H162" s="7"/>
      <c r="I162" s="519"/>
      <c r="P162" s="38" t="s">
        <v>72</v>
      </c>
      <c r="Q162" s="39">
        <f t="shared" ref="Q162:R179" si="8">Q5</f>
        <v>4</v>
      </c>
      <c r="R162" s="39">
        <f t="shared" si="8"/>
        <v>0.9</v>
      </c>
      <c r="S162" s="38">
        <v>1</v>
      </c>
      <c r="T162" s="38">
        <v>1</v>
      </c>
      <c r="U162" s="40">
        <f>0.5*$I$180*Q162*R162*S162*$I$17*$I$15</f>
        <v>16.2</v>
      </c>
      <c r="V162" s="40">
        <f>V163</f>
        <v>5.98</v>
      </c>
      <c r="W162" s="40">
        <f>T162*U162*V162</f>
        <v>96.876000000000005</v>
      </c>
    </row>
    <row r="163" spans="1:23" ht="19.5" customHeight="1" x14ac:dyDescent="0.25">
      <c r="A163" s="514"/>
      <c r="H163" s="7"/>
      <c r="I163" s="519"/>
      <c r="P163" s="41" t="s">
        <v>71</v>
      </c>
      <c r="Q163" s="36">
        <f t="shared" si="8"/>
        <v>0.35</v>
      </c>
      <c r="R163" s="36">
        <f t="shared" si="8"/>
        <v>0.9</v>
      </c>
      <c r="S163" s="41">
        <v>1</v>
      </c>
      <c r="T163" s="41">
        <v>1</v>
      </c>
      <c r="U163" s="42">
        <f t="shared" ref="U163:U177" si="9">0.5*$I$180*Q163*R163*S163*$I$17*$I$15</f>
        <v>1.4175</v>
      </c>
      <c r="V163" s="42">
        <f>0.5*R163+R172+R164</f>
        <v>5.98</v>
      </c>
      <c r="W163" s="42">
        <f t="shared" ref="W163:W177" si="10">T163*U163*V163</f>
        <v>8.4766500000000011</v>
      </c>
    </row>
    <row r="164" spans="1:23" ht="19.5" customHeight="1" x14ac:dyDescent="0.25">
      <c r="A164" s="514"/>
      <c r="B164" s="9"/>
      <c r="H164" s="7"/>
      <c r="I164" s="519"/>
      <c r="P164" s="41" t="s">
        <v>73</v>
      </c>
      <c r="Q164" s="36">
        <f t="shared" si="8"/>
        <v>1.6</v>
      </c>
      <c r="R164" s="36">
        <f t="shared" si="8"/>
        <v>0.55000000000000004</v>
      </c>
      <c r="S164" s="41">
        <v>1</v>
      </c>
      <c r="T164" s="41">
        <v>1</v>
      </c>
      <c r="U164" s="42">
        <f t="shared" si="9"/>
        <v>3.9600000000000004</v>
      </c>
      <c r="V164" s="42">
        <f>0.5*R164+R172</f>
        <v>5.2550000000000008</v>
      </c>
      <c r="W164" s="42">
        <f t="shared" si="10"/>
        <v>20.809800000000006</v>
      </c>
    </row>
    <row r="165" spans="1:23" ht="19.5" customHeight="1" x14ac:dyDescent="0.25">
      <c r="A165" s="514"/>
      <c r="B165" s="9"/>
      <c r="H165" s="7"/>
      <c r="I165" s="519"/>
      <c r="P165" s="38" t="s">
        <v>74</v>
      </c>
      <c r="Q165" s="39">
        <f t="shared" si="8"/>
        <v>3.8</v>
      </c>
      <c r="R165" s="39">
        <f t="shared" si="8"/>
        <v>2.63</v>
      </c>
      <c r="S165" s="38">
        <v>1</v>
      </c>
      <c r="T165" s="38">
        <v>1</v>
      </c>
      <c r="U165" s="40">
        <f t="shared" si="9"/>
        <v>44.972999999999999</v>
      </c>
      <c r="V165" s="40">
        <f>0.5*R165+R167+R173+R176+R178</f>
        <v>5.2650000000000006</v>
      </c>
      <c r="W165" s="40">
        <f t="shared" si="10"/>
        <v>236.78284500000001</v>
      </c>
    </row>
    <row r="166" spans="1:23" ht="19.5" customHeight="1" x14ac:dyDescent="0.25">
      <c r="A166" s="514"/>
      <c r="B166" s="9"/>
      <c r="H166" s="7"/>
      <c r="I166" s="519"/>
      <c r="P166" s="41" t="s">
        <v>75</v>
      </c>
      <c r="Q166" s="36">
        <f t="shared" si="8"/>
        <v>0.6</v>
      </c>
      <c r="R166" s="36">
        <f t="shared" si="8"/>
        <v>1.0299999999999998</v>
      </c>
      <c r="S166" s="41">
        <v>1</v>
      </c>
      <c r="T166" s="41">
        <v>1</v>
      </c>
      <c r="U166" s="42">
        <f t="shared" si="9"/>
        <v>2.7809999999999993</v>
      </c>
      <c r="V166" s="42">
        <f>0.5*R166+R172-R166</f>
        <v>4.4649999999999999</v>
      </c>
      <c r="W166" s="42">
        <f t="shared" si="10"/>
        <v>12.417164999999997</v>
      </c>
    </row>
    <row r="167" spans="1:23" ht="19.5" customHeight="1" x14ac:dyDescent="0.25">
      <c r="A167" s="514"/>
      <c r="H167" s="7"/>
      <c r="I167" s="519"/>
      <c r="P167" s="41" t="s">
        <v>76</v>
      </c>
      <c r="Q167" s="36">
        <f t="shared" si="8"/>
        <v>0.6</v>
      </c>
      <c r="R167" s="36">
        <f t="shared" si="8"/>
        <v>0.6</v>
      </c>
      <c r="S167" s="41">
        <v>0.5</v>
      </c>
      <c r="T167" s="41">
        <v>1</v>
      </c>
      <c r="U167" s="42">
        <f t="shared" si="9"/>
        <v>0.80999999999999994</v>
      </c>
      <c r="V167" s="42">
        <f>2/3*R168+'Input (1)'!C41+'Input (1)'!C42+'Input (1)'!C43</f>
        <v>3.75</v>
      </c>
      <c r="W167" s="42">
        <f t="shared" si="10"/>
        <v>3.0374999999999996</v>
      </c>
    </row>
    <row r="168" spans="1:23" ht="19.5" customHeight="1" x14ac:dyDescent="0.25">
      <c r="A168" s="514"/>
      <c r="H168" s="7"/>
      <c r="I168" s="519"/>
      <c r="P168" s="38" t="s">
        <v>77</v>
      </c>
      <c r="Q168" s="39">
        <f t="shared" si="8"/>
        <v>3.8</v>
      </c>
      <c r="R168" s="39">
        <f t="shared" si="8"/>
        <v>0.6</v>
      </c>
      <c r="S168" s="38">
        <v>1</v>
      </c>
      <c r="T168" s="38">
        <v>1</v>
      </c>
      <c r="U168" s="40">
        <f t="shared" si="9"/>
        <v>10.259999999999998</v>
      </c>
      <c r="V168" s="40">
        <f>0.5*R168+'Input (1)'!C41+'Input (1)'!C42+'Input (1)'!C43</f>
        <v>3.65</v>
      </c>
      <c r="W168" s="40">
        <f t="shared" si="10"/>
        <v>37.448999999999991</v>
      </c>
    </row>
    <row r="169" spans="1:23" ht="19.5" customHeight="1" x14ac:dyDescent="0.25">
      <c r="A169" s="514"/>
      <c r="H169" s="7"/>
      <c r="I169" s="519"/>
      <c r="P169" s="38" t="s">
        <v>78</v>
      </c>
      <c r="Q169" s="39">
        <f t="shared" si="8"/>
        <v>0.6</v>
      </c>
      <c r="R169" s="39">
        <f t="shared" si="8"/>
        <v>0.6</v>
      </c>
      <c r="S169" s="38">
        <v>0.5</v>
      </c>
      <c r="T169" s="38">
        <v>1</v>
      </c>
      <c r="U169" s="40">
        <f t="shared" si="9"/>
        <v>0.80999999999999994</v>
      </c>
      <c r="V169" s="40">
        <f>1/3*R169+'Input (1)'!C41+'Input (1)'!C42+'Input (1)'!C43</f>
        <v>3.5500000000000003</v>
      </c>
      <c r="W169" s="40">
        <f t="shared" si="10"/>
        <v>2.8755000000000002</v>
      </c>
    </row>
    <row r="170" spans="1:23" ht="19.5" customHeight="1" x14ac:dyDescent="0.25">
      <c r="A170" s="514"/>
      <c r="H170" s="7"/>
      <c r="I170" s="519"/>
      <c r="P170" s="41" t="s">
        <v>79</v>
      </c>
      <c r="Q170" s="36">
        <f t="shared" si="8"/>
        <v>0.6</v>
      </c>
      <c r="R170" s="36">
        <f t="shared" si="8"/>
        <v>0.8</v>
      </c>
      <c r="S170" s="41">
        <v>1</v>
      </c>
      <c r="T170" s="41">
        <v>1</v>
      </c>
      <c r="U170" s="42">
        <f t="shared" si="9"/>
        <v>2.16</v>
      </c>
      <c r="V170" s="42">
        <f>0.5*R170+'Process (1)'!V171+'Process (1)'!R171</f>
        <v>4.4300000000000006</v>
      </c>
      <c r="W170" s="42">
        <f t="shared" si="10"/>
        <v>9.5688000000000013</v>
      </c>
    </row>
    <row r="171" spans="1:23" ht="19.5" customHeight="1" x14ac:dyDescent="0.25">
      <c r="A171" s="514"/>
      <c r="H171" s="7"/>
      <c r="I171" s="519"/>
      <c r="P171" s="41" t="s">
        <v>80</v>
      </c>
      <c r="Q171" s="36">
        <f t="shared" si="8"/>
        <v>0.6</v>
      </c>
      <c r="R171" s="36">
        <f t="shared" si="8"/>
        <v>0.6</v>
      </c>
      <c r="S171" s="41">
        <v>0.5</v>
      </c>
      <c r="T171" s="41">
        <v>1</v>
      </c>
      <c r="U171" s="42">
        <f t="shared" si="9"/>
        <v>0.80999999999999994</v>
      </c>
      <c r="V171" s="42">
        <f>2/3*R171+('Input (1)'!F50+'Input (1)'!F51-'Input (1)'!C47-'Input (1)'!C48-'Input (1)'!C49)</f>
        <v>3.4300000000000006</v>
      </c>
      <c r="W171" s="42">
        <f t="shared" si="10"/>
        <v>2.7783000000000002</v>
      </c>
    </row>
    <row r="172" spans="1:23" ht="19.5" customHeight="1" x14ac:dyDescent="0.25">
      <c r="A172" s="514"/>
      <c r="H172" s="7"/>
      <c r="I172" s="519"/>
      <c r="P172" s="41" t="s">
        <v>81</v>
      </c>
      <c r="Q172" s="36">
        <f t="shared" si="8"/>
        <v>1</v>
      </c>
      <c r="R172" s="36">
        <f t="shared" si="8"/>
        <v>4.9800000000000004</v>
      </c>
      <c r="S172" s="41">
        <v>1</v>
      </c>
      <c r="T172" s="41">
        <v>1</v>
      </c>
      <c r="U172" s="42">
        <f t="shared" si="9"/>
        <v>22.410000000000004</v>
      </c>
      <c r="V172" s="42">
        <f>0.5*R172</f>
        <v>2.4900000000000002</v>
      </c>
      <c r="W172" s="42">
        <f t="shared" si="10"/>
        <v>55.800900000000013</v>
      </c>
    </row>
    <row r="173" spans="1:23" ht="19.5" customHeight="1" x14ac:dyDescent="0.25">
      <c r="A173" s="514"/>
      <c r="P173" s="38" t="s">
        <v>82</v>
      </c>
      <c r="Q173" s="39">
        <f t="shared" si="8"/>
        <v>4.3999999999999995</v>
      </c>
      <c r="R173" s="39">
        <f t="shared" si="8"/>
        <v>2.1</v>
      </c>
      <c r="S173" s="38">
        <v>1</v>
      </c>
      <c r="T173" s="38">
        <v>1</v>
      </c>
      <c r="U173" s="40">
        <f t="shared" si="9"/>
        <v>41.58</v>
      </c>
      <c r="V173" s="40">
        <f>0.5*R173+'Input (1)'!C42+'Input (1)'!C43</f>
        <v>2.2999999999999998</v>
      </c>
      <c r="W173" s="40">
        <f t="shared" si="10"/>
        <v>95.633999999999986</v>
      </c>
    </row>
    <row r="174" spans="1:23" ht="19.5" customHeight="1" x14ac:dyDescent="0.25">
      <c r="A174" s="514"/>
      <c r="P174" s="38" t="s">
        <v>83</v>
      </c>
      <c r="Q174" s="39">
        <f t="shared" si="8"/>
        <v>1.3999999999999995</v>
      </c>
      <c r="R174" s="39">
        <f t="shared" si="8"/>
        <v>0.5</v>
      </c>
      <c r="S174" s="38">
        <v>0.5</v>
      </c>
      <c r="T174" s="38">
        <v>1</v>
      </c>
      <c r="U174" s="40">
        <f t="shared" si="9"/>
        <v>1.5749999999999993</v>
      </c>
      <c r="V174" s="40">
        <f>V175</f>
        <v>1.0833333333333333</v>
      </c>
      <c r="W174" s="40">
        <f t="shared" si="10"/>
        <v>1.7062499999999992</v>
      </c>
    </row>
    <row r="175" spans="1:23" ht="19.5" customHeight="1" x14ac:dyDescent="0.25">
      <c r="A175" s="514"/>
      <c r="P175" s="38" t="s">
        <v>84</v>
      </c>
      <c r="Q175" s="39">
        <f t="shared" si="8"/>
        <v>3</v>
      </c>
      <c r="R175" s="39">
        <f t="shared" si="8"/>
        <v>0.5</v>
      </c>
      <c r="S175" s="38">
        <v>0.5</v>
      </c>
      <c r="T175" s="38">
        <v>1</v>
      </c>
      <c r="U175" s="40">
        <f t="shared" si="9"/>
        <v>3.375</v>
      </c>
      <c r="V175" s="40">
        <f>2/3*'Input (1)'!C42+'Input (1)'!C43</f>
        <v>1.0833333333333333</v>
      </c>
      <c r="W175" s="40">
        <f t="shared" si="10"/>
        <v>3.6562499999999996</v>
      </c>
    </row>
    <row r="176" spans="1:23" ht="19.5" customHeight="1" x14ac:dyDescent="0.25">
      <c r="A176" s="514"/>
      <c r="P176" s="41" t="s">
        <v>85</v>
      </c>
      <c r="Q176" s="36">
        <f t="shared" si="8"/>
        <v>3</v>
      </c>
      <c r="R176" s="36">
        <f t="shared" si="8"/>
        <v>0.5</v>
      </c>
      <c r="S176" s="41">
        <v>0.5</v>
      </c>
      <c r="T176" s="41">
        <v>1</v>
      </c>
      <c r="U176" s="42">
        <f t="shared" si="9"/>
        <v>3.375</v>
      </c>
      <c r="V176" s="42">
        <f>V177</f>
        <v>0.91666666666666663</v>
      </c>
      <c r="W176" s="42">
        <f t="shared" si="10"/>
        <v>3.09375</v>
      </c>
    </row>
    <row r="177" spans="1:23" ht="19.5" customHeight="1" x14ac:dyDescent="0.25">
      <c r="A177" s="514"/>
      <c r="P177" s="41" t="s">
        <v>86</v>
      </c>
      <c r="Q177" s="36">
        <f t="shared" si="8"/>
        <v>3</v>
      </c>
      <c r="R177" s="36">
        <f t="shared" si="8"/>
        <v>0.5</v>
      </c>
      <c r="S177" s="41">
        <v>0.5</v>
      </c>
      <c r="T177" s="41">
        <v>1</v>
      </c>
      <c r="U177" s="42">
        <f t="shared" si="9"/>
        <v>3.375</v>
      </c>
      <c r="V177" s="42">
        <f>1/3*'Input (1)'!C42+'Input (1)'!C43</f>
        <v>0.91666666666666663</v>
      </c>
      <c r="W177" s="42">
        <f t="shared" si="10"/>
        <v>3.09375</v>
      </c>
    </row>
    <row r="178" spans="1:23" ht="19.5" customHeight="1" x14ac:dyDescent="0.25">
      <c r="A178" s="514"/>
      <c r="P178" s="41" t="s">
        <v>87</v>
      </c>
      <c r="Q178" s="36">
        <f t="shared" si="8"/>
        <v>3</v>
      </c>
      <c r="R178" s="36">
        <f t="shared" si="8"/>
        <v>0.75</v>
      </c>
      <c r="S178" s="41">
        <v>1</v>
      </c>
      <c r="T178" s="41">
        <v>1</v>
      </c>
      <c r="U178" s="42">
        <f>0.5*$I$180*Q178*R178*S178*$I$17*$I$15</f>
        <v>10.125</v>
      </c>
      <c r="V178" s="42">
        <f>V179</f>
        <v>0.375</v>
      </c>
      <c r="W178" s="42">
        <f>T178*U178*V178</f>
        <v>3.796875</v>
      </c>
    </row>
    <row r="179" spans="1:23" ht="19.5" customHeight="1" x14ac:dyDescent="0.25">
      <c r="A179" s="514"/>
      <c r="B179" s="9" t="s">
        <v>1127</v>
      </c>
      <c r="P179" s="41" t="s">
        <v>88</v>
      </c>
      <c r="Q179" s="36">
        <f t="shared" si="8"/>
        <v>3</v>
      </c>
      <c r="R179" s="36">
        <f t="shared" si="8"/>
        <v>0.75</v>
      </c>
      <c r="S179" s="41">
        <v>1</v>
      </c>
      <c r="T179" s="41">
        <v>1</v>
      </c>
      <c r="U179" s="42">
        <f>0.5*$I$180*Q179*R179*S179*$I$17*$I$15</f>
        <v>10.125</v>
      </c>
      <c r="V179" s="42">
        <f>0.5*'Input (1)'!C43</f>
        <v>0.375</v>
      </c>
      <c r="W179" s="42">
        <f>T179*U179*V179</f>
        <v>3.796875</v>
      </c>
    </row>
    <row r="180" spans="1:23" ht="19.5" customHeight="1" x14ac:dyDescent="0.25">
      <c r="B180" s="304" t="s">
        <v>177</v>
      </c>
      <c r="C180" s="304"/>
      <c r="D180" s="304"/>
      <c r="E180" s="304"/>
      <c r="F180" s="304"/>
      <c r="G180" s="304"/>
      <c r="H180" s="543" t="s">
        <v>156</v>
      </c>
      <c r="I180" s="275">
        <f>I83*I84</f>
        <v>0.36</v>
      </c>
      <c r="J180" s="544" t="s">
        <v>152</v>
      </c>
      <c r="P180" s="582" t="s">
        <v>91</v>
      </c>
      <c r="Q180" s="582"/>
      <c r="R180" s="582"/>
      <c r="S180" s="582"/>
      <c r="T180" s="43" t="s">
        <v>92</v>
      </c>
      <c r="U180" s="53">
        <f>SUM(U162:U179)</f>
        <v>180.12149999999997</v>
      </c>
      <c r="V180" s="43" t="s">
        <v>93</v>
      </c>
      <c r="W180" s="53">
        <f>SUM(W162:W179)</f>
        <v>601.65021000000002</v>
      </c>
    </row>
    <row r="181" spans="1:23" ht="19.5" customHeight="1" x14ac:dyDescent="0.25">
      <c r="B181" s="304" t="s">
        <v>182</v>
      </c>
      <c r="C181" s="304"/>
      <c r="D181" s="304"/>
      <c r="E181" s="304"/>
      <c r="F181" s="304"/>
      <c r="G181" s="304"/>
      <c r="H181" s="543" t="s">
        <v>181</v>
      </c>
      <c r="I181" s="275">
        <v>1.5</v>
      </c>
      <c r="J181" s="544"/>
    </row>
    <row r="183" spans="1:23" ht="19.5" customHeight="1" x14ac:dyDescent="0.25">
      <c r="A183" s="14" t="s">
        <v>198</v>
      </c>
      <c r="B183" s="9" t="s">
        <v>199</v>
      </c>
    </row>
    <row r="184" spans="1:23" ht="19.5" customHeight="1" x14ac:dyDescent="0.25">
      <c r="L184" s="578" t="s">
        <v>59</v>
      </c>
      <c r="M184" s="578" t="s">
        <v>184</v>
      </c>
      <c r="N184" s="578"/>
      <c r="O184" s="578"/>
      <c r="P184" s="578"/>
      <c r="Q184" s="578"/>
      <c r="R184" s="578"/>
      <c r="T184" t="s">
        <v>183</v>
      </c>
    </row>
    <row r="185" spans="1:23" ht="19.5" customHeight="1" x14ac:dyDescent="0.25">
      <c r="L185" s="578"/>
      <c r="M185" s="578"/>
      <c r="N185" s="55" t="s">
        <v>223</v>
      </c>
      <c r="O185" s="55" t="s">
        <v>186</v>
      </c>
      <c r="P185" s="55" t="s">
        <v>187</v>
      </c>
      <c r="Q185" s="55" t="s">
        <v>209</v>
      </c>
      <c r="R185" s="55" t="s">
        <v>210</v>
      </c>
      <c r="T185" s="54" t="s">
        <v>669</v>
      </c>
    </row>
    <row r="186" spans="1:23" ht="19.5" customHeight="1" x14ac:dyDescent="0.25">
      <c r="L186" s="56"/>
      <c r="M186" s="579" t="s">
        <v>203</v>
      </c>
      <c r="N186" s="579"/>
      <c r="O186" s="579"/>
      <c r="P186" s="579"/>
      <c r="Q186" s="579"/>
      <c r="R186" s="579"/>
      <c r="T186" s="54" t="s">
        <v>670</v>
      </c>
    </row>
    <row r="187" spans="1:23" ht="19.5" customHeight="1" x14ac:dyDescent="0.25">
      <c r="L187" s="56">
        <v>1</v>
      </c>
      <c r="M187" s="57" t="s">
        <v>188</v>
      </c>
      <c r="N187" s="59">
        <f>'Input (2)'!D23</f>
        <v>3479.0340000000001</v>
      </c>
      <c r="O187" s="124"/>
      <c r="P187" s="124"/>
      <c r="Q187" s="125"/>
      <c r="R187" s="41">
        <f>N187*I197</f>
        <v>0</v>
      </c>
    </row>
    <row r="188" spans="1:23" ht="19.5" customHeight="1" x14ac:dyDescent="0.25">
      <c r="L188" s="56">
        <v>2</v>
      </c>
      <c r="M188" s="57" t="s">
        <v>189</v>
      </c>
      <c r="N188" s="59">
        <f>'Input (2)'!D24</f>
        <v>1221.8</v>
      </c>
      <c r="O188" s="124"/>
      <c r="P188" s="124"/>
      <c r="Q188" s="125"/>
      <c r="R188" s="41">
        <f>N188*I197</f>
        <v>0</v>
      </c>
    </row>
    <row r="189" spans="1:23" ht="19.5" customHeight="1" x14ac:dyDescent="0.25">
      <c r="L189" s="56">
        <v>3</v>
      </c>
      <c r="M189" s="57" t="s">
        <v>190</v>
      </c>
      <c r="N189" s="59">
        <f>'Input (2)'!D25</f>
        <v>1534.4</v>
      </c>
      <c r="O189" s="124"/>
      <c r="P189" s="124"/>
      <c r="Q189" s="125"/>
      <c r="R189" s="41">
        <f>N189*I197</f>
        <v>0</v>
      </c>
    </row>
    <row r="190" spans="1:23" ht="19.5" customHeight="1" x14ac:dyDescent="0.25">
      <c r="L190" s="56">
        <v>4</v>
      </c>
      <c r="M190" s="57" t="s">
        <v>191</v>
      </c>
      <c r="N190" s="59">
        <f>'Input (2)'!D26</f>
        <v>650</v>
      </c>
      <c r="O190" s="124"/>
      <c r="P190" s="124"/>
      <c r="Q190" s="125"/>
      <c r="R190" s="41">
        <f>N190*I197</f>
        <v>0</v>
      </c>
    </row>
    <row r="191" spans="1:23" ht="19.5" customHeight="1" x14ac:dyDescent="0.25">
      <c r="L191" s="56">
        <v>5</v>
      </c>
      <c r="M191" s="57" t="s">
        <v>192</v>
      </c>
      <c r="N191" s="124"/>
      <c r="O191" s="59">
        <f>'Input (2)'!E27</f>
        <v>144.01499999999999</v>
      </c>
      <c r="P191" s="124"/>
      <c r="Q191" s="125"/>
      <c r="R191" s="42">
        <f>O191*I196</f>
        <v>717.19470000000001</v>
      </c>
    </row>
    <row r="192" spans="1:23" ht="19.5" customHeight="1" x14ac:dyDescent="0.25">
      <c r="L192" s="56">
        <v>6</v>
      </c>
      <c r="M192" s="57" t="s">
        <v>193</v>
      </c>
      <c r="N192" s="59">
        <f>'Input (2)'!D28</f>
        <v>320</v>
      </c>
      <c r="O192" s="124"/>
      <c r="P192" s="124"/>
      <c r="Q192" s="125"/>
      <c r="R192" s="41">
        <f>I197*N192</f>
        <v>0</v>
      </c>
    </row>
    <row r="193" spans="2:18" ht="19.5" customHeight="1" x14ac:dyDescent="0.25">
      <c r="L193" s="56">
        <v>7</v>
      </c>
      <c r="M193" s="57" t="s">
        <v>194</v>
      </c>
      <c r="N193" s="124"/>
      <c r="O193" s="124"/>
      <c r="P193" s="59">
        <f>'Input (2)'!F29</f>
        <v>29.2</v>
      </c>
      <c r="Q193" s="42">
        <f>P193*I196</f>
        <v>145.416</v>
      </c>
      <c r="R193" s="126"/>
    </row>
    <row r="194" spans="2:18" ht="19.5" customHeight="1" x14ac:dyDescent="0.25">
      <c r="L194" s="56">
        <v>8</v>
      </c>
      <c r="M194" s="57" t="s">
        <v>195</v>
      </c>
      <c r="N194" s="124"/>
      <c r="O194" s="124"/>
      <c r="P194" s="59">
        <f>'Input (2)'!F30</f>
        <v>382.46</v>
      </c>
      <c r="Q194" s="42">
        <f>P194*I196</f>
        <v>1904.6508000000001</v>
      </c>
      <c r="R194" s="126"/>
    </row>
    <row r="195" spans="2:18" ht="19.5" customHeight="1" x14ac:dyDescent="0.25">
      <c r="L195" s="56">
        <v>9</v>
      </c>
      <c r="M195" s="57" t="s">
        <v>204</v>
      </c>
      <c r="N195" s="124"/>
      <c r="O195" s="59">
        <f>I139</f>
        <v>2482.0403519999995</v>
      </c>
      <c r="P195" s="59">
        <f>0.3*O195</f>
        <v>744.61210559999984</v>
      </c>
      <c r="Q195" s="42">
        <f>P195*I196</f>
        <v>3708.1682858879994</v>
      </c>
      <c r="R195" s="42">
        <f>O195*I196</f>
        <v>12360.560952959999</v>
      </c>
    </row>
    <row r="196" spans="2:18" ht="19.5" customHeight="1" x14ac:dyDescent="0.25">
      <c r="B196" s="1" t="s">
        <v>200</v>
      </c>
      <c r="H196" s="7" t="s">
        <v>351</v>
      </c>
      <c r="I196" s="36">
        <f>'Input (1)'!F50+'Input (1)'!F51</f>
        <v>4.9800000000000004</v>
      </c>
      <c r="J196" s="5" t="s">
        <v>0</v>
      </c>
      <c r="L196" s="56">
        <v>10</v>
      </c>
      <c r="M196" s="57" t="s">
        <v>205</v>
      </c>
      <c r="N196" s="124"/>
      <c r="O196" s="59">
        <f>0.3*P196</f>
        <v>451.02918421159171</v>
      </c>
      <c r="P196" s="59">
        <f>I161</f>
        <v>1503.4306140386391</v>
      </c>
      <c r="Q196" s="42">
        <f>P196*I196</f>
        <v>7487.0844579124232</v>
      </c>
      <c r="R196" s="42">
        <f>O196*I196</f>
        <v>2246.1253373737268</v>
      </c>
    </row>
    <row r="197" spans="2:18" ht="19.5" customHeight="1" x14ac:dyDescent="0.25">
      <c r="B197" s="1" t="s">
        <v>201</v>
      </c>
      <c r="H197" s="7" t="s">
        <v>202</v>
      </c>
      <c r="I197" s="36">
        <f>V15</f>
        <v>0</v>
      </c>
      <c r="J197" s="5" t="s">
        <v>0</v>
      </c>
      <c r="L197" s="56"/>
      <c r="M197" s="579" t="s">
        <v>208</v>
      </c>
      <c r="N197" s="579"/>
      <c r="O197" s="579"/>
      <c r="P197" s="579"/>
      <c r="Q197" s="579"/>
      <c r="R197" s="579"/>
    </row>
    <row r="198" spans="2:18" ht="19.5" customHeight="1" x14ac:dyDescent="0.25">
      <c r="B198" s="2" t="s">
        <v>206</v>
      </c>
      <c r="C198" s="2"/>
      <c r="D198" s="2"/>
      <c r="E198" s="2"/>
      <c r="F198" s="2"/>
      <c r="G198" s="2"/>
      <c r="H198" s="3"/>
      <c r="I198" s="60"/>
      <c r="J198" s="10"/>
      <c r="L198" s="56">
        <v>11</v>
      </c>
      <c r="M198" s="57" t="s">
        <v>188</v>
      </c>
      <c r="N198" s="59">
        <f>U30</f>
        <v>5752.0968200000016</v>
      </c>
      <c r="O198" s="124"/>
      <c r="P198" s="124"/>
      <c r="Q198" s="125"/>
      <c r="R198" s="42">
        <f>W30</f>
        <v>-12480.571796833334</v>
      </c>
    </row>
    <row r="199" spans="2:18" ht="19.5" customHeight="1" x14ac:dyDescent="0.25">
      <c r="B199" s="2"/>
      <c r="C199" s="2"/>
      <c r="D199" s="2"/>
      <c r="E199" s="2"/>
      <c r="F199" s="2"/>
      <c r="G199" s="2"/>
      <c r="H199" s="3" t="s">
        <v>207</v>
      </c>
      <c r="I199" s="58">
        <f>(N187+N188)+0.3*(MAX(N189:N190)+N192)</f>
        <v>5257.1539999999995</v>
      </c>
      <c r="J199" s="10" t="s">
        <v>115</v>
      </c>
      <c r="L199" s="56">
        <v>12</v>
      </c>
      <c r="M199" s="57" t="s">
        <v>211</v>
      </c>
      <c r="N199" s="124"/>
      <c r="O199" s="59">
        <f>I64</f>
        <v>3421.2825395580248</v>
      </c>
      <c r="P199" s="124"/>
      <c r="Q199" s="125"/>
      <c r="R199" s="42">
        <f>I65</f>
        <v>9120.0566326381158</v>
      </c>
    </row>
    <row r="200" spans="2:18" ht="19.5" customHeight="1" x14ac:dyDescent="0.25">
      <c r="L200" s="56">
        <v>13</v>
      </c>
      <c r="M200" s="57" t="s">
        <v>212</v>
      </c>
      <c r="N200" s="124"/>
      <c r="O200" s="59">
        <f>I92</f>
        <v>1037.7285408496994</v>
      </c>
      <c r="P200" s="124"/>
      <c r="Q200" s="125"/>
      <c r="R200" s="42">
        <f>I93</f>
        <v>5174.806323703835</v>
      </c>
    </row>
    <row r="201" spans="2:18" ht="19.5" customHeight="1" x14ac:dyDescent="0.25">
      <c r="L201" s="56">
        <v>14</v>
      </c>
      <c r="M201" s="57" t="s">
        <v>204</v>
      </c>
      <c r="N201" s="124"/>
      <c r="O201" s="59">
        <f>U180</f>
        <v>180.12149999999997</v>
      </c>
      <c r="P201" s="59">
        <f>0.3*O201</f>
        <v>54.036449999999988</v>
      </c>
      <c r="Q201" s="42">
        <f>0.3*R201</f>
        <v>180.49506299999999</v>
      </c>
      <c r="R201" s="42">
        <f>W180</f>
        <v>601.65021000000002</v>
      </c>
    </row>
    <row r="202" spans="2:18" ht="19.5" customHeight="1" x14ac:dyDescent="0.25">
      <c r="L202" s="56">
        <v>15</v>
      </c>
      <c r="M202" s="57" t="s">
        <v>205</v>
      </c>
      <c r="N202" s="124"/>
      <c r="O202" s="59">
        <f>0.3*P202</f>
        <v>54.036449999999988</v>
      </c>
      <c r="P202" s="59">
        <f>O201</f>
        <v>180.12149999999997</v>
      </c>
      <c r="Q202" s="42">
        <f>R201</f>
        <v>601.65021000000002</v>
      </c>
      <c r="R202" s="42">
        <f>Q201</f>
        <v>180.49506299999999</v>
      </c>
    </row>
    <row r="205" spans="2:18" ht="19.5" customHeight="1" x14ac:dyDescent="0.25">
      <c r="K205" s="14" t="s">
        <v>222</v>
      </c>
      <c r="L205" s="9" t="s">
        <v>213</v>
      </c>
    </row>
    <row r="206" spans="2:18" ht="19.5" customHeight="1" x14ac:dyDescent="0.25">
      <c r="L206" s="578" t="s">
        <v>59</v>
      </c>
      <c r="M206" s="578" t="s">
        <v>184</v>
      </c>
      <c r="N206" s="578"/>
      <c r="O206" s="578"/>
      <c r="P206" s="578"/>
      <c r="Q206" s="578"/>
      <c r="R206" s="578"/>
    </row>
    <row r="207" spans="2:18" ht="19.5" customHeight="1" x14ac:dyDescent="0.25">
      <c r="L207" s="578"/>
      <c r="M207" s="578"/>
      <c r="N207" s="55" t="s">
        <v>223</v>
      </c>
      <c r="O207" s="55" t="s">
        <v>186</v>
      </c>
      <c r="P207" s="55" t="s">
        <v>187</v>
      </c>
      <c r="Q207" s="55" t="s">
        <v>209</v>
      </c>
      <c r="R207" s="55" t="s">
        <v>210</v>
      </c>
    </row>
    <row r="208" spans="2:18" ht="19.5" customHeight="1" x14ac:dyDescent="0.25">
      <c r="L208" s="56">
        <v>1</v>
      </c>
      <c r="M208" s="110" t="s">
        <v>214</v>
      </c>
      <c r="N208" s="59">
        <f>N187+N188+MAX(N189:N190)+N191+N192+N193+0.3*N194+N198+N199</f>
        <v>12307.330820000003</v>
      </c>
      <c r="O208" s="59">
        <f>O187+O188+MAX(O189:O190)+O191+O192+O193+0.3*O194+O198+O199</f>
        <v>3565.2975395580247</v>
      </c>
      <c r="P208" s="59">
        <f t="shared" ref="P208:R208" si="11">P187+P188+MAX(P189:P190)+P191+P192+P193+0.3*P194+P198+P199</f>
        <v>143.93799999999999</v>
      </c>
      <c r="Q208" s="59">
        <f>Q187+Q188+MAX(Q189:Q190)+Q191+Q192+Q193+0.3*Q194+Q198+Q199</f>
        <v>716.81124</v>
      </c>
      <c r="R208" s="59">
        <f t="shared" si="11"/>
        <v>-2643.3204641952179</v>
      </c>
    </row>
    <row r="209" spans="12:18" ht="19.5" customHeight="1" x14ac:dyDescent="0.25">
      <c r="L209" s="56">
        <v>2</v>
      </c>
      <c r="M209" s="110" t="s">
        <v>215</v>
      </c>
      <c r="N209" s="59">
        <f>N187+N188+0.3*MAX(N189:N190)+0.3*N191+0.3*N192+N195+N198+N199+N200+N201</f>
        <v>11009.250820000001</v>
      </c>
      <c r="O209" s="59">
        <f t="shared" ref="O209:R209" si="12">O187+O188+0.3*MAX(O189:O190)+0.3*O191+0.3*O192+O195+O198+O199+O200+O201</f>
        <v>7164.3774324077231</v>
      </c>
      <c r="P209" s="59">
        <f t="shared" si="12"/>
        <v>798.64855559999978</v>
      </c>
      <c r="Q209" s="59">
        <f t="shared" si="12"/>
        <v>3888.6633488879993</v>
      </c>
      <c r="R209" s="59">
        <f t="shared" si="12"/>
        <v>14991.660732468616</v>
      </c>
    </row>
    <row r="210" spans="12:18" ht="19.5" customHeight="1" x14ac:dyDescent="0.25">
      <c r="L210" s="56">
        <v>3</v>
      </c>
      <c r="M210" s="110" t="s">
        <v>216</v>
      </c>
      <c r="N210" s="59">
        <f>N187+N188+0.3*MAX(N189:N190)+0.3*N191+0.3*N192+N196+N198+N199+N200+N202</f>
        <v>11009.250820000001</v>
      </c>
      <c r="O210" s="59">
        <f t="shared" ref="O210:R210" si="13">O187+O188+0.3*MAX(O189:O190)+0.3*O191+0.3*O192+O196+O198+O199+O200+O202</f>
        <v>5007.2812146193155</v>
      </c>
      <c r="P210" s="59">
        <f t="shared" si="13"/>
        <v>1683.552114038639</v>
      </c>
      <c r="Q210" s="59">
        <f t="shared" si="13"/>
        <v>8088.734667912423</v>
      </c>
      <c r="R210" s="59">
        <f t="shared" si="13"/>
        <v>4456.0699698823446</v>
      </c>
    </row>
    <row r="211" spans="12:18" ht="19.5" customHeight="1" x14ac:dyDescent="0.25">
      <c r="L211" s="56">
        <v>4</v>
      </c>
      <c r="M211" s="110" t="s">
        <v>217</v>
      </c>
      <c r="N211" s="59">
        <f>1.3*(N187)+2*N188+1.25*N199+1.3*N198+1.8*(MAX(N189:N190)+N191+N192)</f>
        <v>17781.990066000002</v>
      </c>
      <c r="O211" s="59">
        <f t="shared" ref="O211:R211" si="14">1.3*(O187)+2*O188+1.25*O199+1.3*O198+1.8*(MAX(O189:O190)+O191+O192)</f>
        <v>4535.8301744475311</v>
      </c>
      <c r="P211" s="59">
        <f t="shared" si="14"/>
        <v>0</v>
      </c>
      <c r="Q211" s="59">
        <f t="shared" si="14"/>
        <v>0</v>
      </c>
      <c r="R211" s="59">
        <f t="shared" si="14"/>
        <v>-3533.7220850856902</v>
      </c>
    </row>
    <row r="212" spans="12:18" ht="19.5" customHeight="1" x14ac:dyDescent="0.25">
      <c r="L212" s="56">
        <v>5</v>
      </c>
      <c r="M212" s="110" t="s">
        <v>218</v>
      </c>
      <c r="N212" s="59">
        <f>1.3*(N187)+2*N188+1.25*N199+1.3*N198+1.4*(MAX(N189:N190)+N191+N192)</f>
        <v>17040.230066000004</v>
      </c>
      <c r="O212" s="59">
        <f t="shared" ref="O212:R212" si="15">1.3*(O187)+2*O188+1.25*O199+1.3*O198+1.4*(MAX(O189:O190)+O191+O192)</f>
        <v>4478.2241744475314</v>
      </c>
      <c r="P212" s="59">
        <f t="shared" si="15"/>
        <v>0</v>
      </c>
      <c r="Q212" s="59">
        <f t="shared" si="15"/>
        <v>0</v>
      </c>
      <c r="R212" s="59">
        <f t="shared" si="15"/>
        <v>-3820.5999650856902</v>
      </c>
    </row>
    <row r="213" spans="12:18" ht="19.5" customHeight="1" x14ac:dyDescent="0.25">
      <c r="L213" s="56">
        <v>6</v>
      </c>
      <c r="M213" s="110" t="s">
        <v>219</v>
      </c>
      <c r="N213" s="59">
        <f>1.3*(N187)+2*N188+1.25*N199+1.3*N198+1.4*N194</f>
        <v>14444.070066000002</v>
      </c>
      <c r="O213" s="59">
        <f t="shared" ref="O213:R213" si="16">1.3*(O187)+2*O188+1.25*O199+1.3*O198+1.4*O194</f>
        <v>4276.6031744475313</v>
      </c>
      <c r="P213" s="59">
        <f t="shared" si="16"/>
        <v>535.44399999999996</v>
      </c>
      <c r="Q213" s="59">
        <f t="shared" si="16"/>
        <v>2666.5111200000001</v>
      </c>
      <c r="R213" s="59">
        <f t="shared" si="16"/>
        <v>-4824.6725450856902</v>
      </c>
    </row>
    <row r="214" spans="12:18" ht="19.5" customHeight="1" x14ac:dyDescent="0.25">
      <c r="L214" s="56">
        <v>7</v>
      </c>
      <c r="M214" s="110" t="s">
        <v>220</v>
      </c>
      <c r="N214" s="59">
        <f>1.3*(N187)+2*N188+1.25*N199+1.3*N198</f>
        <v>14444.070066000002</v>
      </c>
      <c r="O214" s="59">
        <f t="shared" ref="O214:R214" si="17">1.3*(O187)+2*O188+1.25*O199+1.3*O198</f>
        <v>4276.6031744475313</v>
      </c>
      <c r="P214" s="59">
        <f t="shared" si="17"/>
        <v>0</v>
      </c>
      <c r="Q214" s="59">
        <f t="shared" si="17"/>
        <v>0</v>
      </c>
      <c r="R214" s="59">
        <f t="shared" si="17"/>
        <v>-4824.6725450856902</v>
      </c>
    </row>
    <row r="215" spans="12:18" ht="19.5" customHeight="1" x14ac:dyDescent="0.25">
      <c r="L215" s="56">
        <v>8</v>
      </c>
      <c r="M215" s="110" t="s">
        <v>221</v>
      </c>
      <c r="N215" s="59">
        <f>1.3*(N187)+2*N188+1.25*N199+1.3*N198+0.4*N194+N193</f>
        <v>14444.070066000002</v>
      </c>
      <c r="O215" s="59">
        <f t="shared" ref="O215:R215" si="18">1.3*(O187)+2*O188+1.25*O199+1.3*O198+0.4*O194+O193</f>
        <v>4276.6031744475313</v>
      </c>
      <c r="P215" s="59">
        <f t="shared" si="18"/>
        <v>182.184</v>
      </c>
      <c r="Q215" s="59">
        <f t="shared" si="18"/>
        <v>907.27632000000017</v>
      </c>
      <c r="R215" s="59">
        <f t="shared" si="18"/>
        <v>-4824.6725450856902</v>
      </c>
    </row>
  </sheetData>
  <mergeCells count="17">
    <mergeCell ref="Q2:T2"/>
    <mergeCell ref="P2:P3"/>
    <mergeCell ref="P4:W4"/>
    <mergeCell ref="P23:W23"/>
    <mergeCell ref="P30:S30"/>
    <mergeCell ref="P159:P160"/>
    <mergeCell ref="Q159:T159"/>
    <mergeCell ref="P161:W161"/>
    <mergeCell ref="P180:S180"/>
    <mergeCell ref="L184:L185"/>
    <mergeCell ref="M184:M185"/>
    <mergeCell ref="L206:L207"/>
    <mergeCell ref="M206:M207"/>
    <mergeCell ref="N206:R206"/>
    <mergeCell ref="N184:R184"/>
    <mergeCell ref="M186:R186"/>
    <mergeCell ref="M197:R197"/>
  </mergeCells>
  <conditionalFormatting sqref="N208:N215">
    <cfRule type="colorScale" priority="5">
      <colorScale>
        <cfvo type="min"/>
        <cfvo type="max"/>
        <color theme="0"/>
        <color rgb="FFFFCCCC"/>
      </colorScale>
    </cfRule>
  </conditionalFormatting>
  <conditionalFormatting sqref="O208:O215">
    <cfRule type="colorScale" priority="4">
      <colorScale>
        <cfvo type="min"/>
        <cfvo type="max"/>
        <color theme="0"/>
        <color rgb="FFFFCCCC"/>
      </colorScale>
    </cfRule>
  </conditionalFormatting>
  <conditionalFormatting sqref="P208:P215">
    <cfRule type="colorScale" priority="3">
      <colorScale>
        <cfvo type="min"/>
        <cfvo type="max"/>
        <color theme="0"/>
        <color rgb="FFFFCCCC"/>
      </colorScale>
    </cfRule>
  </conditionalFormatting>
  <conditionalFormatting sqref="Q208:Q215">
    <cfRule type="colorScale" priority="2">
      <colorScale>
        <cfvo type="min"/>
        <cfvo type="max"/>
        <color theme="0"/>
        <color rgb="FFFFCCCC"/>
      </colorScale>
    </cfRule>
  </conditionalFormatting>
  <conditionalFormatting sqref="R208:R215">
    <cfRule type="colorScale" priority="1">
      <colorScale>
        <cfvo type="min"/>
        <cfvo type="max"/>
        <color theme="0"/>
        <color rgb="FFFFCCCC"/>
      </colorScale>
    </cfRule>
  </conditionalFormatting>
  <pageMargins left="0.7" right="0.7" top="0.75" bottom="0.75" header="0.3" footer="0.3"/>
  <pageSetup orientation="portrait" horizontalDpi="300" r:id="rId1"/>
  <ignoredErrors>
    <ignoredError sqref="U8 Q20 Q11:Q19 Q21 Q202 V175:V177" formula="1"/>
    <ignoredError sqref="O210:R210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A922-4C3E-4AD8-BD76-FF9D8DC4E0AD}">
  <sheetPr>
    <tabColor theme="7" tint="0.79998168889431442"/>
  </sheetPr>
  <dimension ref="A1:Q398"/>
  <sheetViews>
    <sheetView showGridLines="0" workbookViewId="0"/>
  </sheetViews>
  <sheetFormatPr defaultColWidth="8.85546875" defaultRowHeight="15" x14ac:dyDescent="0.25"/>
  <cols>
    <col min="1" max="1" width="7" style="25" customWidth="1"/>
    <col min="2" max="7" width="10" style="2" customWidth="1"/>
    <col min="8" max="8" width="11.140625" style="2" customWidth="1"/>
    <col min="9" max="9" width="12.140625" style="2" customWidth="1"/>
    <col min="10" max="10" width="12.140625" style="10" customWidth="1"/>
    <col min="11" max="17" width="11.42578125" style="2" customWidth="1"/>
    <col min="18" max="18" width="8.85546875" style="2"/>
    <col min="19" max="25" width="11.42578125" style="2" customWidth="1"/>
    <col min="26" max="16384" width="8.85546875" style="2"/>
  </cols>
  <sheetData>
    <row r="1" spans="1:10" ht="18" customHeight="1" x14ac:dyDescent="0.25">
      <c r="A1" s="25" t="s">
        <v>509</v>
      </c>
      <c r="B1" s="61" t="s">
        <v>252</v>
      </c>
    </row>
    <row r="2" spans="1:10" ht="18" customHeight="1" x14ac:dyDescent="0.25">
      <c r="B2" s="2" t="s">
        <v>238</v>
      </c>
      <c r="H2" s="3" t="s">
        <v>239</v>
      </c>
      <c r="I2" s="66">
        <f>'Input (1)'!I101</f>
        <v>1.6</v>
      </c>
      <c r="J2" s="10" t="s">
        <v>0</v>
      </c>
    </row>
    <row r="3" spans="1:10" ht="18" customHeight="1" x14ac:dyDescent="0.25">
      <c r="B3" s="2" t="s">
        <v>253</v>
      </c>
      <c r="H3" s="3" t="s">
        <v>254</v>
      </c>
      <c r="I3" s="66">
        <f>'Input (1)'!C42+'Input (1)'!C43</f>
        <v>1.25</v>
      </c>
      <c r="J3" s="10" t="s">
        <v>0</v>
      </c>
    </row>
    <row r="4" spans="1:10" ht="18" customHeight="1" x14ac:dyDescent="0.25">
      <c r="B4" s="2" t="s">
        <v>255</v>
      </c>
      <c r="H4" s="3" t="s">
        <v>226</v>
      </c>
      <c r="I4" s="66">
        <f>'Input (1)'!I73</f>
        <v>0</v>
      </c>
      <c r="J4" s="10" t="s">
        <v>0</v>
      </c>
    </row>
    <row r="5" spans="1:10" ht="18" customHeight="1" x14ac:dyDescent="0.25">
      <c r="B5" s="2" t="s">
        <v>172</v>
      </c>
      <c r="H5" s="3" t="s">
        <v>256</v>
      </c>
      <c r="I5" s="66">
        <f>'Input (1)'!I63</f>
        <v>25</v>
      </c>
      <c r="J5" s="10" t="s">
        <v>43</v>
      </c>
    </row>
    <row r="6" spans="1:10" ht="18" customHeight="1" x14ac:dyDescent="0.25">
      <c r="B6" s="2" t="s">
        <v>257</v>
      </c>
      <c r="H6" s="3" t="s">
        <v>42</v>
      </c>
      <c r="I6" s="66">
        <f>'Input (1)'!I61</f>
        <v>17.2</v>
      </c>
      <c r="J6" s="10" t="s">
        <v>43</v>
      </c>
    </row>
    <row r="7" spans="1:10" ht="18" customHeight="1" x14ac:dyDescent="0.25">
      <c r="B7" s="2" t="s">
        <v>258</v>
      </c>
      <c r="H7" s="3" t="s">
        <v>45</v>
      </c>
      <c r="I7" s="66">
        <f>'Input (1)'!I62</f>
        <v>9.81</v>
      </c>
      <c r="J7" s="10" t="s">
        <v>43</v>
      </c>
    </row>
    <row r="8" spans="1:10" ht="18" customHeight="1" x14ac:dyDescent="0.25">
      <c r="H8" s="3"/>
      <c r="I8" s="62"/>
    </row>
    <row r="9" spans="1:10" ht="18" customHeight="1" x14ac:dyDescent="0.25">
      <c r="A9" s="25" t="s">
        <v>841</v>
      </c>
      <c r="B9" s="61" t="s">
        <v>229</v>
      </c>
      <c r="H9" s="3"/>
      <c r="I9" s="63"/>
    </row>
    <row r="10" spans="1:10" ht="18" customHeight="1" x14ac:dyDescent="0.25">
      <c r="B10" s="2" t="s">
        <v>230</v>
      </c>
      <c r="H10" s="3" t="s">
        <v>48</v>
      </c>
      <c r="I10" s="66">
        <f>'Input (1)'!I96</f>
        <v>0.8</v>
      </c>
      <c r="J10" s="10" t="s">
        <v>0</v>
      </c>
    </row>
    <row r="11" spans="1:10" ht="31.9" customHeight="1" x14ac:dyDescent="0.25">
      <c r="B11" s="2" t="s">
        <v>234</v>
      </c>
      <c r="H11" s="3" t="s">
        <v>232</v>
      </c>
      <c r="I11" s="67">
        <f>'Input (1)'!I98</f>
        <v>11</v>
      </c>
      <c r="J11" s="64" t="s">
        <v>233</v>
      </c>
    </row>
    <row r="12" spans="1:10" ht="18" customHeight="1" x14ac:dyDescent="0.25">
      <c r="H12" s="3"/>
      <c r="I12" s="68"/>
    </row>
    <row r="13" spans="1:10" ht="18" customHeight="1" x14ac:dyDescent="0.25">
      <c r="A13" s="25" t="s">
        <v>842</v>
      </c>
      <c r="B13" s="61" t="s">
        <v>259</v>
      </c>
    </row>
    <row r="14" spans="1:10" ht="18" customHeight="1" x14ac:dyDescent="0.25">
      <c r="B14" s="61"/>
    </row>
    <row r="15" spans="1:10" ht="18" customHeight="1" x14ac:dyDescent="0.25">
      <c r="B15" s="61"/>
    </row>
    <row r="16" spans="1:10" ht="18" customHeight="1" x14ac:dyDescent="0.25">
      <c r="B16" s="61"/>
    </row>
    <row r="17" spans="2:2" ht="18" customHeight="1" x14ac:dyDescent="0.25">
      <c r="B17" s="61"/>
    </row>
    <row r="18" spans="2:2" ht="18" customHeight="1" x14ac:dyDescent="0.25">
      <c r="B18" s="61"/>
    </row>
    <row r="19" spans="2:2" ht="18" customHeight="1" x14ac:dyDescent="0.25">
      <c r="B19" s="61"/>
    </row>
    <row r="20" spans="2:2" ht="18" customHeight="1" x14ac:dyDescent="0.25">
      <c r="B20" s="61"/>
    </row>
    <row r="21" spans="2:2" ht="18" customHeight="1" x14ac:dyDescent="0.25">
      <c r="B21" s="61"/>
    </row>
    <row r="22" spans="2:2" ht="18" customHeight="1" x14ac:dyDescent="0.25">
      <c r="B22" s="61"/>
    </row>
    <row r="23" spans="2:2" ht="18" customHeight="1" x14ac:dyDescent="0.25">
      <c r="B23" s="61"/>
    </row>
    <row r="24" spans="2:2" ht="18" customHeight="1" x14ac:dyDescent="0.25">
      <c r="B24" s="61"/>
    </row>
    <row r="25" spans="2:2" ht="18" customHeight="1" x14ac:dyDescent="0.25">
      <c r="B25" s="61"/>
    </row>
    <row r="26" spans="2:2" ht="18" customHeight="1" x14ac:dyDescent="0.25">
      <c r="B26" s="61"/>
    </row>
    <row r="27" spans="2:2" ht="18" customHeight="1" x14ac:dyDescent="0.25">
      <c r="B27" s="61"/>
    </row>
    <row r="28" spans="2:2" ht="18" customHeight="1" x14ac:dyDescent="0.25">
      <c r="B28" s="61"/>
    </row>
    <row r="29" spans="2:2" ht="18" customHeight="1" x14ac:dyDescent="0.25">
      <c r="B29" s="61"/>
    </row>
    <row r="30" spans="2:2" ht="18" customHeight="1" x14ac:dyDescent="0.25">
      <c r="B30" s="61"/>
    </row>
    <row r="31" spans="2:2" ht="18" customHeight="1" x14ac:dyDescent="0.25">
      <c r="B31" s="61"/>
    </row>
    <row r="32" spans="2:2" ht="18" customHeight="1" x14ac:dyDescent="0.25">
      <c r="B32" s="61"/>
    </row>
    <row r="33" spans="2:15" ht="18" customHeight="1" x14ac:dyDescent="0.25">
      <c r="B33" s="602" t="s">
        <v>260</v>
      </c>
      <c r="C33" s="603"/>
      <c r="D33" s="603"/>
      <c r="E33" s="603"/>
      <c r="F33" s="603"/>
      <c r="G33" s="603"/>
      <c r="H33" s="604"/>
      <c r="I33" s="69" t="s">
        <v>261</v>
      </c>
      <c r="J33" s="65"/>
    </row>
    <row r="34" spans="2:15" ht="18" x14ac:dyDescent="0.25">
      <c r="B34" s="2" t="s">
        <v>262</v>
      </c>
      <c r="H34" s="3" t="s">
        <v>263</v>
      </c>
      <c r="I34" s="66">
        <f>'Process (1)'!N208</f>
        <v>12307.330820000003</v>
      </c>
      <c r="J34" s="10" t="s">
        <v>115</v>
      </c>
    </row>
    <row r="35" spans="2:15" ht="18" customHeight="1" x14ac:dyDescent="0.25">
      <c r="B35" s="2" t="s">
        <v>264</v>
      </c>
      <c r="H35" s="3" t="s">
        <v>265</v>
      </c>
      <c r="I35" s="66">
        <f>ABS('Process (1)'!Q208)</f>
        <v>716.81124</v>
      </c>
      <c r="J35" s="10" t="s">
        <v>145</v>
      </c>
      <c r="K35" s="65"/>
      <c r="L35" s="65"/>
      <c r="M35" s="65"/>
      <c r="N35" s="65"/>
    </row>
    <row r="36" spans="2:15" ht="18" customHeight="1" x14ac:dyDescent="0.25">
      <c r="B36" s="2" t="s">
        <v>266</v>
      </c>
      <c r="H36" s="3" t="s">
        <v>267</v>
      </c>
      <c r="I36" s="66">
        <f>ABS('Process (1)'!R208)</f>
        <v>2643.3204641952179</v>
      </c>
      <c r="J36" s="10" t="s">
        <v>145</v>
      </c>
      <c r="K36" s="65"/>
      <c r="L36" s="65"/>
      <c r="M36" s="65"/>
      <c r="N36" s="65"/>
    </row>
    <row r="37" spans="2:15" ht="18" customHeight="1" x14ac:dyDescent="0.25">
      <c r="H37" s="3"/>
      <c r="I37" s="62"/>
      <c r="J37" s="2"/>
    </row>
    <row r="38" spans="2:15" ht="18" customHeight="1" x14ac:dyDescent="0.25">
      <c r="B38" s="583" t="s">
        <v>51</v>
      </c>
      <c r="C38" s="584"/>
      <c r="D38" s="584"/>
      <c r="E38" s="584"/>
      <c r="F38" s="584"/>
      <c r="G38" s="584"/>
      <c r="H38" s="585"/>
      <c r="I38" s="70" t="s">
        <v>261</v>
      </c>
      <c r="J38" s="65"/>
    </row>
    <row r="39" spans="2:15" ht="18" x14ac:dyDescent="0.25">
      <c r="B39" s="2" t="s">
        <v>268</v>
      </c>
      <c r="H39" s="3" t="s">
        <v>269</v>
      </c>
      <c r="I39" s="66">
        <f>'Process (1)'!N209</f>
        <v>11009.250820000001</v>
      </c>
      <c r="J39" s="10" t="s">
        <v>115</v>
      </c>
    </row>
    <row r="40" spans="2:15" ht="18" customHeight="1" x14ac:dyDescent="0.25">
      <c r="B40" s="2" t="s">
        <v>270</v>
      </c>
      <c r="H40" s="3" t="s">
        <v>271</v>
      </c>
      <c r="I40" s="66">
        <f>ABS('Process (1)'!Q209)</f>
        <v>3888.6633488879993</v>
      </c>
      <c r="J40" s="10" t="s">
        <v>145</v>
      </c>
      <c r="K40" s="65"/>
      <c r="L40" s="65"/>
      <c r="M40" s="65"/>
      <c r="N40" s="65"/>
    </row>
    <row r="41" spans="2:15" ht="18" customHeight="1" x14ac:dyDescent="0.25">
      <c r="B41" s="2" t="s">
        <v>272</v>
      </c>
      <c r="H41" s="3" t="s">
        <v>273</v>
      </c>
      <c r="I41" s="66">
        <f>ABS('Process (1)'!R209)</f>
        <v>14991.660732468616</v>
      </c>
      <c r="J41" s="10" t="s">
        <v>145</v>
      </c>
      <c r="K41" s="65"/>
      <c r="L41" s="65"/>
      <c r="M41" s="65"/>
      <c r="N41" s="65"/>
    </row>
    <row r="42" spans="2:15" ht="18" customHeight="1" x14ac:dyDescent="0.25">
      <c r="H42" s="3"/>
      <c r="I42" s="62"/>
      <c r="J42" s="65"/>
      <c r="K42" s="65"/>
      <c r="L42" s="65"/>
      <c r="M42" s="65"/>
      <c r="N42" s="65"/>
    </row>
    <row r="43" spans="2:15" ht="18" customHeight="1" x14ac:dyDescent="0.25">
      <c r="B43" s="586" t="s">
        <v>52</v>
      </c>
      <c r="C43" s="587"/>
      <c r="D43" s="587"/>
      <c r="E43" s="587"/>
      <c r="F43" s="587"/>
      <c r="G43" s="587"/>
      <c r="H43" s="588"/>
      <c r="I43" s="24" t="s">
        <v>261</v>
      </c>
      <c r="J43" s="65"/>
      <c r="K43" s="65"/>
      <c r="L43" s="65"/>
      <c r="M43" s="65"/>
      <c r="N43" s="65"/>
    </row>
    <row r="44" spans="2:15" ht="18" x14ac:dyDescent="0.25">
      <c r="B44" s="2" t="s">
        <v>274</v>
      </c>
      <c r="H44" s="3" t="s">
        <v>275</v>
      </c>
      <c r="I44" s="66">
        <f>'Process (1)'!N210</f>
        <v>11009.250820000001</v>
      </c>
      <c r="J44" s="10" t="s">
        <v>115</v>
      </c>
    </row>
    <row r="45" spans="2:15" ht="18" customHeight="1" x14ac:dyDescent="0.25">
      <c r="B45" s="2" t="s">
        <v>276</v>
      </c>
      <c r="H45" s="3" t="s">
        <v>277</v>
      </c>
      <c r="I45" s="66">
        <f>ABS('Process (1)'!Q210)</f>
        <v>8088.734667912423</v>
      </c>
      <c r="J45" s="10" t="s">
        <v>145</v>
      </c>
      <c r="K45" s="65"/>
      <c r="L45" s="65"/>
      <c r="M45" s="65"/>
      <c r="N45" s="65"/>
    </row>
    <row r="46" spans="2:15" ht="18" customHeight="1" x14ac:dyDescent="0.25">
      <c r="B46" s="2" t="s">
        <v>278</v>
      </c>
      <c r="H46" s="3" t="s">
        <v>279</v>
      </c>
      <c r="I46" s="66">
        <f>ABS('Process (1)'!R210)</f>
        <v>4456.0699698823446</v>
      </c>
      <c r="J46" s="10" t="s">
        <v>145</v>
      </c>
      <c r="K46" s="65"/>
      <c r="L46" s="65"/>
      <c r="M46" s="65"/>
      <c r="N46" s="65"/>
    </row>
    <row r="47" spans="2:15" ht="18" customHeight="1" x14ac:dyDescent="0.25">
      <c r="H47" s="3"/>
      <c r="I47" s="71"/>
      <c r="K47" s="10"/>
      <c r="N47" s="65"/>
      <c r="O47" s="65"/>
    </row>
    <row r="48" spans="2:15" ht="18" customHeight="1" x14ac:dyDescent="0.25">
      <c r="B48" s="2" t="s">
        <v>865</v>
      </c>
      <c r="H48" s="3" t="s">
        <v>114</v>
      </c>
      <c r="I48" s="67">
        <f>'Input (1)'!I126/'Input (1)'!I128+'Input (1)'!I127/'Input (1)'!I129</f>
        <v>2343.6331640781891</v>
      </c>
      <c r="J48" s="10" t="s">
        <v>115</v>
      </c>
      <c r="N48" s="65"/>
      <c r="O48" s="65"/>
    </row>
    <row r="49" spans="1:17" ht="18" customHeight="1" x14ac:dyDescent="0.25">
      <c r="B49" s="2" t="s">
        <v>280</v>
      </c>
      <c r="H49" s="3" t="s">
        <v>2</v>
      </c>
      <c r="I49" s="67">
        <f>'Input (1)'!I98-'Input (1)'!I97</f>
        <v>8</v>
      </c>
      <c r="J49" s="10" t="s">
        <v>0</v>
      </c>
      <c r="L49" s="65"/>
      <c r="M49" s="45"/>
      <c r="N49" s="65"/>
      <c r="O49" s="65"/>
    </row>
    <row r="50" spans="1:17" ht="18" customHeight="1" x14ac:dyDescent="0.25">
      <c r="H50" s="3"/>
      <c r="I50" s="62"/>
    </row>
    <row r="51" spans="1:17" ht="18" customHeight="1" x14ac:dyDescent="0.25">
      <c r="A51" s="25" t="s">
        <v>530</v>
      </c>
      <c r="B51" s="61" t="s">
        <v>281</v>
      </c>
    </row>
    <row r="52" spans="1:17" ht="18" customHeight="1" x14ac:dyDescent="0.25">
      <c r="B52" s="61" t="s">
        <v>282</v>
      </c>
      <c r="F52" s="61" t="s">
        <v>283</v>
      </c>
    </row>
    <row r="53" spans="1:17" ht="36.6" customHeight="1" x14ac:dyDescent="0.25">
      <c r="B53" s="605" t="s">
        <v>284</v>
      </c>
      <c r="C53" s="606"/>
      <c r="D53" s="606"/>
      <c r="E53" s="607"/>
      <c r="F53" s="605" t="s">
        <v>285</v>
      </c>
      <c r="G53" s="606"/>
      <c r="H53" s="606"/>
      <c r="I53" s="607"/>
      <c r="K53" s="72"/>
      <c r="L53" s="592" t="s">
        <v>260</v>
      </c>
      <c r="M53" s="592"/>
      <c r="N53" s="592" t="s">
        <v>51</v>
      </c>
      <c r="O53" s="592"/>
      <c r="P53" s="592" t="s">
        <v>52</v>
      </c>
      <c r="Q53" s="592"/>
    </row>
    <row r="54" spans="1:17" ht="18" customHeight="1" x14ac:dyDescent="0.25">
      <c r="B54" s="73" t="s">
        <v>59</v>
      </c>
      <c r="C54" s="73" t="s">
        <v>286</v>
      </c>
      <c r="D54" s="73" t="s">
        <v>287</v>
      </c>
      <c r="E54" s="74" t="s">
        <v>288</v>
      </c>
      <c r="F54" s="73" t="s">
        <v>59</v>
      </c>
      <c r="G54" s="73" t="s">
        <v>286</v>
      </c>
      <c r="H54" s="73" t="s">
        <v>289</v>
      </c>
      <c r="I54" s="74" t="s">
        <v>290</v>
      </c>
      <c r="K54" s="72"/>
      <c r="L54" s="69" t="s">
        <v>291</v>
      </c>
      <c r="M54" s="69"/>
      <c r="N54" s="69" t="s">
        <v>291</v>
      </c>
      <c r="O54" s="69"/>
      <c r="P54" s="69" t="s">
        <v>291</v>
      </c>
      <c r="Q54" s="69"/>
    </row>
    <row r="55" spans="1:17" ht="18" customHeight="1" x14ac:dyDescent="0.25">
      <c r="B55" s="75"/>
      <c r="C55" s="75" t="s">
        <v>292</v>
      </c>
      <c r="D55" s="75" t="s">
        <v>68</v>
      </c>
      <c r="E55" s="76" t="s">
        <v>293</v>
      </c>
      <c r="F55" s="75"/>
      <c r="G55" s="75" t="s">
        <v>292</v>
      </c>
      <c r="H55" s="75" t="s">
        <v>68</v>
      </c>
      <c r="I55" s="76" t="s">
        <v>293</v>
      </c>
      <c r="K55" s="77" t="s">
        <v>294</v>
      </c>
      <c r="L55" s="78">
        <f>MAX(H56:H63)</f>
        <v>1.5</v>
      </c>
      <c r="M55" s="78"/>
      <c r="N55" s="78">
        <f>L55</f>
        <v>1.5</v>
      </c>
      <c r="O55" s="78"/>
      <c r="P55" s="78">
        <f>N55</f>
        <v>1.5</v>
      </c>
      <c r="Q55" s="78"/>
    </row>
    <row r="56" spans="1:17" ht="18" customHeight="1" x14ac:dyDescent="0.25">
      <c r="B56" s="79">
        <v>1</v>
      </c>
      <c r="C56" s="80">
        <f>'Input (1)'!$I$103</f>
        <v>2</v>
      </c>
      <c r="D56" s="81">
        <f>IF('Input (1)'!$I$102=2,-0.5*'Input (1)'!$I$105,IF('Input (1)'!$I$102=3,-1*'Input (1)'!$I$105,IF('Input (1)'!$I$102=4,-1.5*'Input (1)'!$I$105,IF('Input (1)'!$I$102=5,-2*'Input (1)'!$I$105,IF('Input (1)'!$I$102=6,-2.5*'Input (1)'!$I$105,IF('Input (1)'!$I$102=7,-3*'Input (1)'!$I$105,IF('Input (1)'!$I$102=8,-3.5*'Input (1)'!$I$105,0)))))))</f>
        <v>-7</v>
      </c>
      <c r="E56" s="82">
        <f>C56*D56^2</f>
        <v>98</v>
      </c>
      <c r="F56" s="79">
        <v>1</v>
      </c>
      <c r="G56" s="80">
        <f>'Input (1)'!$I$102</f>
        <v>6</v>
      </c>
      <c r="H56" s="81">
        <f>IF('Input (1)'!$I$103=2,-0.5*'Input (1)'!$I$104,IF('Input (1)'!$I$103=3,-1*'Input (1)'!$I$104,IF('Input (1)'!$I$103=4,-1.5*'Input (1)'!$I$104,IF('Input (1)'!$I$103=5,-2*'Input (1)'!$I$104,IF('Input (1)'!$I$103=6,-2.5*'Input (1)'!$I$104,IF('Input (1)'!$I$103=7,-3*'Input (1)'!$I$104,IF('Input (1)'!$I$103=8,-3.5*'Input (1)'!$I$104,0)))))))</f>
        <v>-1.5</v>
      </c>
      <c r="I56" s="82">
        <f>G56*H56^2</f>
        <v>13.5</v>
      </c>
      <c r="K56" s="83"/>
      <c r="L56" s="67">
        <f t="shared" ref="L56:L63" si="0">IF(D56="","",$I$104/$C$64+$I$36*$L$55/$I$64+$I$35*D56/$E$64)</f>
        <v>1254.7070024608665</v>
      </c>
      <c r="M56" s="67"/>
      <c r="N56" s="67">
        <f t="shared" ref="N56:N63" si="1">IF(D56="","",$I$105/$C$64+$I$41*$N$55/$I$64+$I$40*D56/$E$64)</f>
        <v>1751.6379783060097</v>
      </c>
      <c r="O56" s="67"/>
      <c r="P56" s="67">
        <f t="shared" ref="P56:P63" si="2">IF(D56="","",$I$106/$C$64+$I$46*$P$55/$I$64+$I$45*D56/$E$64)</f>
        <v>1059.1827038788249</v>
      </c>
      <c r="Q56" s="67"/>
    </row>
    <row r="57" spans="1:17" ht="18" customHeight="1" x14ac:dyDescent="0.25">
      <c r="B57" s="79">
        <v>2</v>
      </c>
      <c r="C57" s="80">
        <f>'Input (1)'!$I$103</f>
        <v>2</v>
      </c>
      <c r="D57" s="81">
        <f>IF('Input (1)'!$I$102=2,-D56,IF('Input (1)'!$I$102=3,0,IF('Input (1)'!$I$102=4,-0.5*'Input (1)'!$I$105,IF('Input (1)'!$I$102=5,0.5*$D$56,IF('Input (1)'!$I$102=6,-1.5*'Input (1)'!$I$105,IF('Input (1)'!$I$102=7,-2*'Input (1)'!$I$105,IF('Input (1)'!$I$102=8,-2.5*'Input (1)'!$I$105,0)))))))</f>
        <v>-4.1999999999999993</v>
      </c>
      <c r="E57" s="82">
        <f>C57*D57^2</f>
        <v>35.279999999999987</v>
      </c>
      <c r="F57" s="79">
        <v>2</v>
      </c>
      <c r="G57" s="80">
        <f>'Input (1)'!$I$102</f>
        <v>6</v>
      </c>
      <c r="H57" s="81">
        <f>IF('Input (1)'!$I$103=2,-H56,IF('Input (1)'!$I$103=3,0,IF('Input (1)'!$I$103=4,-0.5*'Input (1)'!$I$104,IF('Input (1)'!$I$103=5,0.5*$H$56,IF('Input (1)'!$I$103=6,-1.5*'Input (1)'!$I$104,IF('Input (1)'!$I$103=7,-2*'Input (1)'!$I$104,IF('Input (1)'!$I$103=8,-2.5*'Input (1)'!$I$104,0)))))))</f>
        <v>1.5</v>
      </c>
      <c r="I57" s="82">
        <f>G57*H57^2</f>
        <v>13.5</v>
      </c>
      <c r="K57" s="83"/>
      <c r="L57" s="67">
        <f t="shared" si="0"/>
        <v>1262.0214028690298</v>
      </c>
      <c r="M57" s="67"/>
      <c r="N57" s="67">
        <f t="shared" si="1"/>
        <v>1791.318216559969</v>
      </c>
      <c r="O57" s="67"/>
      <c r="P57" s="67">
        <f t="shared" si="2"/>
        <v>1141.7208127350741</v>
      </c>
      <c r="Q57" s="67"/>
    </row>
    <row r="58" spans="1:17" ht="18" customHeight="1" x14ac:dyDescent="0.25">
      <c r="B58" s="79">
        <f>IF('Input (1)'!$I$102&lt;=2,"",3)</f>
        <v>3</v>
      </c>
      <c r="C58" s="79">
        <f>IF('Input (1)'!$I$102=2,"",'Input (1)'!$I$103)</f>
        <v>2</v>
      </c>
      <c r="D58" s="81">
        <f>IF('Input (1)'!$I$102=2,"",IF('Input (1)'!$I$102=3,-1*$D$56,IF('Input (1)'!$I$102=4,0.5*'Input (1)'!$I$105,IF('Input (1)'!$I$102=5,0,IF('Input (1)'!$I$102=6,-0.5*'Input (1)'!$I$105,IF('Input (1)'!$I$102=7,-1*'Input (1)'!$I$105,IF('Input (1)'!$I$102=8,-1.5*'Input (1)'!$I$105,0)))))))</f>
        <v>-1.4</v>
      </c>
      <c r="E58" s="82">
        <f>IF(C58="","",C58*D58^2)</f>
        <v>3.9199999999999995</v>
      </c>
      <c r="F58" s="79" t="str">
        <f>IF('Input (1)'!$I$103&lt;=2,"",3)</f>
        <v/>
      </c>
      <c r="G58" s="79" t="str">
        <f>IF('Input (1)'!$I$103=2,"",'Input (1)'!$I$102)</f>
        <v/>
      </c>
      <c r="H58" s="81" t="str">
        <f>IF('Input (1)'!$I$103=2,"",IF('Input (1)'!$I$103=3,-1*$H$56,IF('Input (1)'!$I$103=4,0.5*'Input (1)'!$I$104,IF('Input (1)'!$I$103=5,0,IF('Input (1)'!$I$103=6,-0.5*'Input (1)'!$I$104,IF('Input (1)'!$I$103=7,-1*'Input (1)'!$I$104,IF('Input (1)'!$I$103=8,-1.5*'Input (1)'!$I$104,0)))))))</f>
        <v/>
      </c>
      <c r="I58" s="82" t="str">
        <f>IF(G58="","",G58*H58^2)</f>
        <v/>
      </c>
      <c r="K58" s="83"/>
      <c r="L58" s="67">
        <f t="shared" si="0"/>
        <v>1269.335803277193</v>
      </c>
      <c r="M58" s="67"/>
      <c r="N58" s="67">
        <f t="shared" si="1"/>
        <v>1830.9984548139282</v>
      </c>
      <c r="O58" s="67"/>
      <c r="P58" s="67">
        <f t="shared" si="2"/>
        <v>1224.2589215913233</v>
      </c>
      <c r="Q58" s="67"/>
    </row>
    <row r="59" spans="1:17" ht="18" customHeight="1" x14ac:dyDescent="0.25">
      <c r="B59" s="79">
        <f>IF('Input (1)'!$I$102&lt;=3,"",4)</f>
        <v>4</v>
      </c>
      <c r="C59" s="79">
        <f>IF('Input (1)'!$I$102&lt;=3,"",'Input (1)'!$I$103)</f>
        <v>2</v>
      </c>
      <c r="D59" s="81">
        <f>IF('Input (1)'!$I$102&lt;=3,"",IF('Input (1)'!$I$102=4,1.5*'Input (1)'!$I$105,IF('Input (1)'!$I$102=5,-$D$57,IF('Input (1)'!$I$102=6,-1*$D$58,IF('Input (1)'!$I$102=8,-0.5*'Input (1)'!$I$105,0)))))</f>
        <v>1.4</v>
      </c>
      <c r="E59" s="82">
        <f t="shared" ref="E59:E63" si="3">IF(C59="","",C59*D59^2)</f>
        <v>3.9199999999999995</v>
      </c>
      <c r="F59" s="79" t="str">
        <f>IF('Input (1)'!$I$103&lt;=3,"",4)</f>
        <v/>
      </c>
      <c r="G59" s="79" t="str">
        <f>IF('Input (1)'!$I$103&lt;=3,"",'Input (1)'!$I$102)</f>
        <v/>
      </c>
      <c r="H59" s="81" t="str">
        <f>IF('Input (1)'!$I$103&lt;=3,"",IF('Input (1)'!$I$103=4,1.5*'Input (1)'!$I$104,IF('Input (1)'!$I$103=5,-$H$57,IF('Input (1)'!$I$103=6,-1*$H$58,IF('Input (1)'!$I$103=8,-0.5*'Input (1)'!$I$104,0)))))</f>
        <v/>
      </c>
      <c r="I59" s="82" t="str">
        <f t="shared" ref="I59:I63" si="4">IF(G59="","",G59*H59^2)</f>
        <v/>
      </c>
      <c r="K59" s="83"/>
      <c r="L59" s="67">
        <f t="shared" si="0"/>
        <v>1276.6502036853562</v>
      </c>
      <c r="M59" s="67"/>
      <c r="N59" s="67">
        <f t="shared" si="1"/>
        <v>1870.6786930678873</v>
      </c>
      <c r="O59" s="67"/>
      <c r="P59" s="67">
        <f t="shared" si="2"/>
        <v>1306.7970304475728</v>
      </c>
      <c r="Q59" s="67"/>
    </row>
    <row r="60" spans="1:17" ht="18" customHeight="1" x14ac:dyDescent="0.25">
      <c r="B60" s="79">
        <f>IF('Input (1)'!$I$102&lt;=4,"",5)</f>
        <v>5</v>
      </c>
      <c r="C60" s="79">
        <f>IF('Input (1)'!$I$102&lt;=4,"",'Input (1)'!$I$103)</f>
        <v>2</v>
      </c>
      <c r="D60" s="81">
        <f>IF('Input (1)'!$I$102&lt;=4,"",IF('Input (1)'!$I$102=5,-$D$56,IF('Input (1)'!$I$102=6,-1*$D$57,IF('Input (1)'!$I$102=7,-1*$D$58,IF('Input (1)'!$I$102=8,-1*$D$59,0)))))</f>
        <v>4.1999999999999993</v>
      </c>
      <c r="E60" s="82">
        <f t="shared" si="3"/>
        <v>35.279999999999987</v>
      </c>
      <c r="F60" s="79" t="str">
        <f>IF('Input (1)'!$I$103&lt;=4,"",5)</f>
        <v/>
      </c>
      <c r="G60" s="79" t="str">
        <f>IF('Input (1)'!$I$103&lt;=4,"",'Input (1)'!$I$102)</f>
        <v/>
      </c>
      <c r="H60" s="81" t="str">
        <f>IF('Input (1)'!$I$103&lt;=4,"",IF('Input (1)'!$I$103=5,-$H$56,IF('Input (1)'!$I$103=6,-1*$H$57,IF('Input (1)'!$I$103=7,-1*$H$58,IF('Input (1)'!$I$103=8,-1*$H$59,0)))))</f>
        <v/>
      </c>
      <c r="I60" s="82" t="str">
        <f t="shared" si="4"/>
        <v/>
      </c>
      <c r="K60" s="83"/>
      <c r="L60" s="67">
        <f t="shared" si="0"/>
        <v>1283.9646040935195</v>
      </c>
      <c r="M60" s="67"/>
      <c r="N60" s="67">
        <f t="shared" si="1"/>
        <v>1910.3589313218465</v>
      </c>
      <c r="O60" s="67"/>
      <c r="P60" s="67">
        <f t="shared" si="2"/>
        <v>1389.335139303822</v>
      </c>
      <c r="Q60" s="67"/>
    </row>
    <row r="61" spans="1:17" ht="18" customHeight="1" x14ac:dyDescent="0.25">
      <c r="B61" s="79">
        <f>IF('Input (1)'!$I$102&lt;=5,"",6)</f>
        <v>6</v>
      </c>
      <c r="C61" s="79">
        <f>IF('Input (1)'!$I$102&lt;=5,"",'Input (1)'!$I$103)</f>
        <v>2</v>
      </c>
      <c r="D61" s="81">
        <f>IF('Input (1)'!$I$102&lt;=5,"",IF('Input (1)'!$I$102=6,-$D$56,IF('Input (1)'!$I$102=7,-1*$D$57,IF('Input (1)'!$I$102=8,-1*$D$58,0))))</f>
        <v>7</v>
      </c>
      <c r="E61" s="82">
        <f t="shared" si="3"/>
        <v>98</v>
      </c>
      <c r="F61" s="79" t="str">
        <f>IF('Input (1)'!$I$103&lt;=5,"",6)</f>
        <v/>
      </c>
      <c r="G61" s="79" t="str">
        <f>IF('Input (1)'!$I$103&lt;=5,"",'Input (1)'!$I$102)</f>
        <v/>
      </c>
      <c r="H61" s="81" t="str">
        <f>IF('Input (1)'!$I$103&lt;=5,"",IF('Input (1)'!$I$103=6,-$H$56,IF('Input (1)'!$I$103=7,-1*$H$57,IF('Input (1)'!$I$103=8,-1*$H$58,0))))</f>
        <v/>
      </c>
      <c r="I61" s="82" t="str">
        <f t="shared" si="4"/>
        <v/>
      </c>
      <c r="K61" s="83"/>
      <c r="L61" s="67">
        <f t="shared" si="0"/>
        <v>1291.2790045016827</v>
      </c>
      <c r="M61" s="67"/>
      <c r="N61" s="67">
        <f t="shared" si="1"/>
        <v>1950.0391695758058</v>
      </c>
      <c r="O61" s="67"/>
      <c r="P61" s="67">
        <f t="shared" si="2"/>
        <v>1471.8732481600712</v>
      </c>
      <c r="Q61" s="67"/>
    </row>
    <row r="62" spans="1:17" ht="18" customHeight="1" x14ac:dyDescent="0.25">
      <c r="B62" s="79" t="str">
        <f>IF('Input (1)'!$I$102&lt;=6,"",7)</f>
        <v/>
      </c>
      <c r="C62" s="79" t="str">
        <f>IF('Input (1)'!$I$102&lt;=6,"",'Input (1)'!$I$103)</f>
        <v/>
      </c>
      <c r="D62" s="81" t="str">
        <f>IF('Input (1)'!$I$102&lt;=6,"",IF('Input (1)'!$I$102=7,-$D$56,IF('Input (1)'!$I$102=8,-1*$D$57,0)))</f>
        <v/>
      </c>
      <c r="E62" s="82" t="str">
        <f t="shared" si="3"/>
        <v/>
      </c>
      <c r="F62" s="79" t="str">
        <f>IF('Input (1)'!$I$103&lt;=6,"",7)</f>
        <v/>
      </c>
      <c r="G62" s="79" t="str">
        <f>IF('Input (1)'!$I$103&lt;=6,"",'Input (1)'!$I$102)</f>
        <v/>
      </c>
      <c r="H62" s="81" t="str">
        <f>IF('Input (1)'!$I$103&lt;=6,"",IF('Input (1)'!$I$103=7,-$H$56,IF('Input (1)'!$I$103=8,-1*$H$57,0)))</f>
        <v/>
      </c>
      <c r="I62" s="82" t="str">
        <f t="shared" si="4"/>
        <v/>
      </c>
      <c r="K62" s="83"/>
      <c r="L62" s="67" t="str">
        <f t="shared" si="0"/>
        <v/>
      </c>
      <c r="M62" s="67"/>
      <c r="N62" s="67" t="str">
        <f t="shared" si="1"/>
        <v/>
      </c>
      <c r="O62" s="67"/>
      <c r="P62" s="67" t="str">
        <f t="shared" si="2"/>
        <v/>
      </c>
      <c r="Q62" s="67"/>
    </row>
    <row r="63" spans="1:17" ht="18" customHeight="1" x14ac:dyDescent="0.25">
      <c r="B63" s="79" t="str">
        <f>IF('Input (1)'!$I$102&lt;=7,"",8)</f>
        <v/>
      </c>
      <c r="C63" s="79" t="str">
        <f>IF('Input (1)'!$I$102&lt;=7,"",'Input (1)'!$I$103)</f>
        <v/>
      </c>
      <c r="D63" s="82" t="str">
        <f>IF('Input (1)'!$I$102&lt;=7,"",IF('Input (1)'!$I$102=8,-$D$56,"{ EROR ]"))</f>
        <v/>
      </c>
      <c r="E63" s="82" t="str">
        <f t="shared" si="3"/>
        <v/>
      </c>
      <c r="F63" s="79" t="str">
        <f>IF('Input (1)'!$I$103&lt;=7,"",8)</f>
        <v/>
      </c>
      <c r="G63" s="79" t="str">
        <f>IF('Input (1)'!$I$103&lt;=7,"",'Input (1)'!$I$102)</f>
        <v/>
      </c>
      <c r="H63" s="82" t="str">
        <f>IF('Input (1)'!$I$103&lt;=7,"",IF('Input (1)'!$I$103=8,-$H$56,"{ EROR ]"))</f>
        <v/>
      </c>
      <c r="I63" s="82" t="str">
        <f t="shared" si="4"/>
        <v/>
      </c>
      <c r="K63" s="83"/>
      <c r="L63" s="67" t="str">
        <f t="shared" si="0"/>
        <v/>
      </c>
      <c r="M63" s="67"/>
      <c r="N63" s="67" t="str">
        <f t="shared" si="1"/>
        <v/>
      </c>
      <c r="O63" s="67"/>
      <c r="P63" s="67" t="str">
        <f t="shared" si="2"/>
        <v/>
      </c>
      <c r="Q63" s="67"/>
    </row>
    <row r="64" spans="1:17" ht="18" customHeight="1" x14ac:dyDescent="0.25">
      <c r="B64" s="117" t="s">
        <v>295</v>
      </c>
      <c r="C64" s="79">
        <f>SUM(C56:C63)</f>
        <v>12</v>
      </c>
      <c r="D64" s="84" t="s">
        <v>296</v>
      </c>
      <c r="E64" s="82">
        <f>SUM(E56:E63)</f>
        <v>274.39999999999992</v>
      </c>
      <c r="F64" s="118" t="s">
        <v>295</v>
      </c>
      <c r="G64" s="79">
        <f>SUM(G56:G63)</f>
        <v>12</v>
      </c>
      <c r="H64" s="84" t="s">
        <v>297</v>
      </c>
      <c r="I64" s="82">
        <f>SUM(I56:I63)</f>
        <v>27</v>
      </c>
      <c r="K64" s="77" t="s">
        <v>91</v>
      </c>
      <c r="L64" s="85">
        <f>SUM(L56:L63)</f>
        <v>7637.9580208876478</v>
      </c>
      <c r="M64" s="85"/>
      <c r="N64" s="85">
        <f t="shared" ref="N64:P64" si="5">SUM(N56:N63)</f>
        <v>11105.031443645446</v>
      </c>
      <c r="O64" s="85"/>
      <c r="P64" s="85">
        <f t="shared" si="5"/>
        <v>7593.1678561166882</v>
      </c>
      <c r="Q64" s="85"/>
    </row>
    <row r="65" spans="2:10" ht="18" customHeight="1" x14ac:dyDescent="0.25">
      <c r="B65" s="86" t="s">
        <v>1016</v>
      </c>
      <c r="C65" s="87"/>
      <c r="D65" s="87"/>
      <c r="E65" s="87"/>
      <c r="F65" s="87"/>
      <c r="G65" s="87"/>
      <c r="H65" s="88" t="s">
        <v>299</v>
      </c>
      <c r="I65" s="82">
        <f>2*MAX(H56:H63)+2*I2</f>
        <v>6.2</v>
      </c>
      <c r="J65" s="10" t="s">
        <v>0</v>
      </c>
    </row>
    <row r="66" spans="2:10" ht="18" customHeight="1" x14ac:dyDescent="0.25">
      <c r="B66" s="86" t="s">
        <v>1017</v>
      </c>
      <c r="C66" s="87"/>
      <c r="D66" s="87"/>
      <c r="E66" s="87"/>
      <c r="F66" s="87"/>
      <c r="G66" s="87"/>
      <c r="H66" s="88" t="s">
        <v>301</v>
      </c>
      <c r="I66" s="82">
        <f>2*MAX(D56:D63)+2*I2</f>
        <v>17.2</v>
      </c>
      <c r="J66" s="10" t="s">
        <v>0</v>
      </c>
    </row>
    <row r="67" spans="2:10" ht="18" customHeight="1" x14ac:dyDescent="0.25"/>
    <row r="68" spans="2:10" ht="18" customHeight="1" x14ac:dyDescent="0.25"/>
    <row r="69" spans="2:10" ht="18" customHeight="1" x14ac:dyDescent="0.25"/>
    <row r="70" spans="2:10" ht="18" customHeight="1" x14ac:dyDescent="0.25"/>
    <row r="71" spans="2:10" ht="18" customHeight="1" x14ac:dyDescent="0.25"/>
    <row r="72" spans="2:10" ht="18" customHeight="1" x14ac:dyDescent="0.25"/>
    <row r="73" spans="2:10" ht="18" customHeight="1" x14ac:dyDescent="0.25"/>
    <row r="74" spans="2:10" ht="18" customHeight="1" x14ac:dyDescent="0.25"/>
    <row r="75" spans="2:10" ht="18" customHeight="1" x14ac:dyDescent="0.25"/>
    <row r="76" spans="2:10" ht="18" customHeight="1" x14ac:dyDescent="0.25"/>
    <row r="77" spans="2:10" ht="18" customHeight="1" x14ac:dyDescent="0.25"/>
    <row r="78" spans="2:10" ht="18" customHeight="1" x14ac:dyDescent="0.25"/>
    <row r="79" spans="2:10" ht="18" customHeight="1" x14ac:dyDescent="0.25"/>
    <row r="80" spans="2:10" ht="18" customHeight="1" x14ac:dyDescent="0.25"/>
    <row r="81" spans="2:10" ht="18" customHeight="1" x14ac:dyDescent="0.25"/>
    <row r="82" spans="2:10" ht="18" customHeight="1" x14ac:dyDescent="0.25"/>
    <row r="83" spans="2:10" ht="18" customHeight="1" x14ac:dyDescent="0.25"/>
    <row r="84" spans="2:10" ht="18" customHeight="1" x14ac:dyDescent="0.25">
      <c r="B84" s="2" t="s">
        <v>358</v>
      </c>
      <c r="G84" s="89"/>
      <c r="H84" s="3" t="s">
        <v>245</v>
      </c>
      <c r="I84" s="549">
        <f>'Input (1)'!I104*1000</f>
        <v>3000</v>
      </c>
      <c r="J84" s="10" t="s">
        <v>49</v>
      </c>
    </row>
    <row r="85" spans="2:10" ht="18" customHeight="1" x14ac:dyDescent="0.25">
      <c r="B85" s="2" t="s">
        <v>302</v>
      </c>
      <c r="G85" s="551" t="s">
        <v>303</v>
      </c>
      <c r="H85" s="97" t="s">
        <v>304</v>
      </c>
      <c r="I85" s="552" t="s">
        <v>305</v>
      </c>
    </row>
    <row r="86" spans="2:10" ht="18" customHeight="1" x14ac:dyDescent="0.25">
      <c r="B86" s="61"/>
      <c r="G86" s="553">
        <f>2.5*I10*1000</f>
        <v>2000</v>
      </c>
      <c r="H86" s="212" t="s">
        <v>304</v>
      </c>
      <c r="I86" s="554">
        <f>4*I10*1000</f>
        <v>3200</v>
      </c>
    </row>
    <row r="87" spans="2:10" ht="18" customHeight="1" x14ac:dyDescent="0.25">
      <c r="B87" s="61"/>
      <c r="G87" s="89"/>
      <c r="H87" s="89" t="s">
        <v>306</v>
      </c>
      <c r="I87" s="25" t="str">
        <f>IF(I84&gt;G86,IF(I84&lt;I86,"[ OK ]","[ NOT OK ]"),"[ NOT OK ]")</f>
        <v>[ OK ]</v>
      </c>
    </row>
    <row r="88" spans="2:10" ht="18" customHeight="1" x14ac:dyDescent="0.25">
      <c r="B88" s="61"/>
      <c r="G88" s="89"/>
      <c r="H88" s="89"/>
      <c r="I88" s="89"/>
    </row>
    <row r="89" spans="2:10" ht="18" customHeight="1" x14ac:dyDescent="0.25">
      <c r="B89" s="2" t="s">
        <v>1011</v>
      </c>
      <c r="G89" s="89"/>
      <c r="H89" s="3" t="s">
        <v>245</v>
      </c>
      <c r="I89" s="549">
        <f>'Input (1)'!I105*1000</f>
        <v>2800</v>
      </c>
      <c r="J89" s="10" t="s">
        <v>49</v>
      </c>
    </row>
    <row r="90" spans="2:10" ht="18" customHeight="1" x14ac:dyDescent="0.25">
      <c r="B90" s="2" t="s">
        <v>302</v>
      </c>
      <c r="G90" s="551" t="s">
        <v>303</v>
      </c>
      <c r="H90" s="97" t="s">
        <v>304</v>
      </c>
      <c r="I90" s="552" t="s">
        <v>305</v>
      </c>
    </row>
    <row r="91" spans="2:10" ht="18" customHeight="1" x14ac:dyDescent="0.25">
      <c r="B91" s="61"/>
      <c r="G91" s="553">
        <f>G86</f>
        <v>2000</v>
      </c>
      <c r="H91" s="212" t="s">
        <v>304</v>
      </c>
      <c r="I91" s="554">
        <f>I86</f>
        <v>3200</v>
      </c>
    </row>
    <row r="92" spans="2:10" ht="18" customHeight="1" x14ac:dyDescent="0.25">
      <c r="B92" s="61"/>
      <c r="G92" s="89"/>
      <c r="H92" s="89" t="s">
        <v>306</v>
      </c>
      <c r="I92" s="25" t="str">
        <f>IF(I89&gt;G91,IF(I89&lt;I91,"[ OK ]","[ NOT OK ]"),"[ NOT OK ]")</f>
        <v>[ OK ]</v>
      </c>
    </row>
    <row r="93" spans="2:10" ht="18" customHeight="1" x14ac:dyDescent="0.25">
      <c r="B93" s="61"/>
      <c r="G93" s="89"/>
      <c r="H93" s="89"/>
      <c r="I93" s="25"/>
    </row>
    <row r="94" spans="2:10" ht="18" customHeight="1" x14ac:dyDescent="0.25">
      <c r="B94" s="2" t="s">
        <v>238</v>
      </c>
      <c r="H94" s="3" t="s">
        <v>241</v>
      </c>
      <c r="I94" s="550">
        <f>I2*1000</f>
        <v>1600</v>
      </c>
      <c r="J94" s="10" t="s">
        <v>49</v>
      </c>
    </row>
    <row r="95" spans="2:10" ht="18" customHeight="1" x14ac:dyDescent="0.25">
      <c r="B95" s="2" t="s">
        <v>302</v>
      </c>
      <c r="G95" s="89"/>
      <c r="H95" s="551" t="s">
        <v>307</v>
      </c>
      <c r="I95" s="552" t="s">
        <v>308</v>
      </c>
    </row>
    <row r="96" spans="2:10" ht="18" customHeight="1" x14ac:dyDescent="0.25">
      <c r="B96" s="61"/>
      <c r="G96" s="89"/>
      <c r="H96" s="553" t="s">
        <v>307</v>
      </c>
      <c r="I96" s="554">
        <f>1.25*I10*1000</f>
        <v>1000</v>
      </c>
    </row>
    <row r="97" spans="1:11" ht="18" customHeight="1" x14ac:dyDescent="0.25">
      <c r="H97" s="89" t="s">
        <v>306</v>
      </c>
      <c r="I97" s="25" t="str">
        <f>IF(I94&gt;I96,"[ OK ]","[ NOT OK ]")</f>
        <v>[ OK ]</v>
      </c>
    </row>
    <row r="98" spans="1:11" ht="18" customHeight="1" x14ac:dyDescent="0.25"/>
    <row r="99" spans="1:11" ht="18" customHeight="1" x14ac:dyDescent="0.25">
      <c r="A99" s="25" t="s">
        <v>843</v>
      </c>
      <c r="B99" s="61" t="s">
        <v>883</v>
      </c>
    </row>
    <row r="100" spans="1:11" ht="18" customHeight="1" x14ac:dyDescent="0.25">
      <c r="B100" s="2" t="s">
        <v>345</v>
      </c>
      <c r="H100" s="90" t="s">
        <v>346</v>
      </c>
      <c r="I100" s="67">
        <f>I65*I66*I7*I4</f>
        <v>0</v>
      </c>
      <c r="J100" s="10" t="s">
        <v>115</v>
      </c>
    </row>
    <row r="101" spans="1:11" ht="18" customHeight="1" x14ac:dyDescent="0.25">
      <c r="B101" s="2" t="s">
        <v>309</v>
      </c>
      <c r="H101" s="90" t="s">
        <v>344</v>
      </c>
      <c r="I101" s="67">
        <f>(C64*0.25*PI()*I10^2*I49)*I5</f>
        <v>1206.3715789784808</v>
      </c>
      <c r="J101" s="10" t="s">
        <v>115</v>
      </c>
    </row>
    <row r="102" spans="1:11" ht="18" customHeight="1" x14ac:dyDescent="0.25">
      <c r="I102" s="91"/>
    </row>
    <row r="103" spans="1:11" ht="18" customHeight="1" x14ac:dyDescent="0.25">
      <c r="B103" s="2" t="s">
        <v>310</v>
      </c>
      <c r="H103" s="3" t="s">
        <v>347</v>
      </c>
      <c r="I103" s="92" t="s">
        <v>261</v>
      </c>
      <c r="J103" s="2"/>
    </row>
    <row r="104" spans="1:11" ht="18" customHeight="1" x14ac:dyDescent="0.25">
      <c r="B104" s="593" t="s">
        <v>260</v>
      </c>
      <c r="C104" s="594"/>
      <c r="D104" s="594"/>
      <c r="E104" s="594"/>
      <c r="F104" s="594"/>
      <c r="G104" s="595"/>
      <c r="H104" s="3" t="s">
        <v>311</v>
      </c>
      <c r="I104" s="93">
        <f>I34+1*($I$101+$I$100)</f>
        <v>13513.702398978483</v>
      </c>
      <c r="J104" s="10" t="s">
        <v>115</v>
      </c>
    </row>
    <row r="105" spans="1:11" ht="18" customHeight="1" x14ac:dyDescent="0.25">
      <c r="B105" s="596" t="s">
        <v>51</v>
      </c>
      <c r="C105" s="597"/>
      <c r="D105" s="597"/>
      <c r="E105" s="597"/>
      <c r="F105" s="597"/>
      <c r="G105" s="598"/>
      <c r="H105" s="3" t="s">
        <v>312</v>
      </c>
      <c r="I105" s="94">
        <f>I39+1*($I$101+$I$100)</f>
        <v>12215.622398978481</v>
      </c>
      <c r="J105" s="10" t="s">
        <v>115</v>
      </c>
    </row>
    <row r="106" spans="1:11" ht="18" customHeight="1" x14ac:dyDescent="0.25">
      <c r="B106" s="599" t="s">
        <v>52</v>
      </c>
      <c r="C106" s="600"/>
      <c r="D106" s="600"/>
      <c r="E106" s="600"/>
      <c r="F106" s="600"/>
      <c r="G106" s="601"/>
      <c r="H106" s="3" t="s">
        <v>313</v>
      </c>
      <c r="I106" s="95">
        <f>I44+1*($I$101+$I$100)</f>
        <v>12215.622398978481</v>
      </c>
      <c r="J106" s="10" t="s">
        <v>115</v>
      </c>
    </row>
    <row r="107" spans="1:11" ht="18" customHeight="1" x14ac:dyDescent="0.25">
      <c r="B107" s="96"/>
      <c r="C107" s="96"/>
      <c r="D107" s="96"/>
      <c r="E107" s="96"/>
      <c r="F107" s="96"/>
      <c r="G107" s="96"/>
      <c r="H107" s="3"/>
      <c r="I107" s="97"/>
      <c r="J107" s="2"/>
      <c r="K107" s="10"/>
    </row>
    <row r="108" spans="1:11" ht="18" customHeight="1" x14ac:dyDescent="0.25">
      <c r="B108" s="2" t="s">
        <v>314</v>
      </c>
      <c r="H108" s="3" t="s">
        <v>315</v>
      </c>
      <c r="I108" s="67">
        <f>MAX(H56:H63)</f>
        <v>1.5</v>
      </c>
      <c r="J108" s="10" t="s">
        <v>0</v>
      </c>
    </row>
    <row r="109" spans="1:11" ht="18" customHeight="1" x14ac:dyDescent="0.25">
      <c r="B109" s="2" t="s">
        <v>316</v>
      </c>
      <c r="H109" s="3" t="s">
        <v>317</v>
      </c>
      <c r="I109" s="67">
        <f>MAX(D56:D63)</f>
        <v>7</v>
      </c>
      <c r="J109" s="10" t="s">
        <v>0</v>
      </c>
    </row>
    <row r="110" spans="1:11" ht="18" customHeight="1" x14ac:dyDescent="0.25">
      <c r="B110" s="2" t="s">
        <v>318</v>
      </c>
      <c r="H110" s="3" t="s">
        <v>319</v>
      </c>
      <c r="I110" s="67">
        <f>MIN(H56:H63)</f>
        <v>-1.5</v>
      </c>
      <c r="J110" s="10" t="s">
        <v>0</v>
      </c>
    </row>
    <row r="111" spans="1:11" ht="18" customHeight="1" x14ac:dyDescent="0.25">
      <c r="B111" s="2" t="s">
        <v>320</v>
      </c>
      <c r="H111" s="3" t="s">
        <v>321</v>
      </c>
      <c r="I111" s="67">
        <f>MIN(D56:D63)</f>
        <v>-7</v>
      </c>
      <c r="J111" s="10" t="s">
        <v>0</v>
      </c>
    </row>
    <row r="112" spans="1:11" ht="18" customHeight="1" x14ac:dyDescent="0.25">
      <c r="H112" s="3"/>
      <c r="I112" s="68"/>
    </row>
    <row r="113" spans="2:10" ht="18" customHeight="1" x14ac:dyDescent="0.25">
      <c r="B113" s="2" t="s">
        <v>322</v>
      </c>
    </row>
    <row r="114" spans="2:10" ht="18" customHeight="1" x14ac:dyDescent="0.25">
      <c r="B114" s="602" t="s">
        <v>260</v>
      </c>
      <c r="C114" s="603"/>
      <c r="D114" s="603"/>
      <c r="E114" s="603"/>
      <c r="F114" s="603"/>
      <c r="G114" s="603"/>
      <c r="H114" s="604"/>
      <c r="I114" s="69" t="s">
        <v>261</v>
      </c>
      <c r="J114" s="2"/>
    </row>
    <row r="115" spans="2:10" ht="18" customHeight="1" x14ac:dyDescent="0.25">
      <c r="H115" s="3" t="s">
        <v>323</v>
      </c>
      <c r="I115" s="67">
        <f>I104/$G$64+I35*$I$109/$E$64+I36*$I$108/$I$64</f>
        <v>1291.2790045016827</v>
      </c>
      <c r="J115" s="2"/>
    </row>
    <row r="116" spans="2:10" ht="18" customHeight="1" x14ac:dyDescent="0.25">
      <c r="H116" s="3" t="s">
        <v>324</v>
      </c>
      <c r="I116" s="67">
        <f>I104/$G$64+I35*$I$111/$E$64+I36*$I$110/$I$64</f>
        <v>961.00472866139773</v>
      </c>
      <c r="J116" s="2"/>
    </row>
    <row r="117" spans="2:10" ht="18" customHeight="1" x14ac:dyDescent="0.25">
      <c r="B117" s="583" t="s">
        <v>51</v>
      </c>
      <c r="C117" s="584"/>
      <c r="D117" s="584"/>
      <c r="E117" s="584"/>
      <c r="F117" s="584"/>
      <c r="G117" s="584"/>
      <c r="H117" s="585"/>
      <c r="I117" s="70" t="s">
        <v>261</v>
      </c>
      <c r="J117" s="2"/>
    </row>
    <row r="118" spans="2:10" ht="18" customHeight="1" x14ac:dyDescent="0.25">
      <c r="H118" s="3" t="s">
        <v>323</v>
      </c>
      <c r="I118" s="67">
        <f>I105/$G$64+I40*$I$109/$E$64+I41*$I$108/$I$64</f>
        <v>1950.0391695758058</v>
      </c>
      <c r="J118" s="2"/>
    </row>
    <row r="119" spans="2:10" ht="18" customHeight="1" x14ac:dyDescent="0.25">
      <c r="H119" s="3" t="s">
        <v>324</v>
      </c>
      <c r="I119" s="67">
        <f>I105/$G$64+I40*$I$111/$E$64+I41*$I$110/$I$64</f>
        <v>85.897896920607991</v>
      </c>
      <c r="J119" s="2"/>
    </row>
    <row r="120" spans="2:10" ht="18" customHeight="1" x14ac:dyDescent="0.25">
      <c r="B120" s="586" t="s">
        <v>52</v>
      </c>
      <c r="C120" s="587"/>
      <c r="D120" s="587"/>
      <c r="E120" s="587"/>
      <c r="F120" s="587"/>
      <c r="G120" s="587"/>
      <c r="H120" s="588"/>
      <c r="I120" s="24" t="s">
        <v>261</v>
      </c>
      <c r="J120" s="2"/>
    </row>
    <row r="121" spans="2:10" ht="18" customHeight="1" x14ac:dyDescent="0.25">
      <c r="H121" s="3" t="s">
        <v>323</v>
      </c>
      <c r="I121" s="67">
        <f>I106/$G$64+I45*$I$109/$E$64+I46*$I$108/$I$64</f>
        <v>1471.8732481600714</v>
      </c>
      <c r="J121" s="2"/>
    </row>
    <row r="122" spans="2:10" ht="18" customHeight="1" x14ac:dyDescent="0.25">
      <c r="H122" s="3" t="s">
        <v>324</v>
      </c>
      <c r="I122" s="67">
        <f>I106/$G$64+I45*$I$111/$E$64+I46*$I$110/$I$64</f>
        <v>564.06381833634225</v>
      </c>
      <c r="J122" s="2"/>
    </row>
    <row r="123" spans="2:10" ht="18" customHeight="1" x14ac:dyDescent="0.25">
      <c r="H123" s="3"/>
      <c r="I123" s="98"/>
    </row>
    <row r="124" spans="2:10" ht="18" customHeight="1" x14ac:dyDescent="0.25">
      <c r="B124" s="26" t="s">
        <v>325</v>
      </c>
      <c r="C124" s="26"/>
      <c r="D124" s="26"/>
      <c r="E124" s="26"/>
      <c r="F124" s="26"/>
      <c r="G124" s="26"/>
      <c r="H124" s="49" t="s">
        <v>241</v>
      </c>
      <c r="I124" s="99">
        <f>'Input (1)'!I102</f>
        <v>6</v>
      </c>
      <c r="J124" s="13" t="s">
        <v>326</v>
      </c>
    </row>
    <row r="125" spans="2:10" ht="18" customHeight="1" x14ac:dyDescent="0.25">
      <c r="B125" s="26" t="s">
        <v>327</v>
      </c>
      <c r="C125" s="26"/>
      <c r="D125" s="26"/>
      <c r="E125" s="26"/>
      <c r="F125" s="26"/>
      <c r="G125" s="26"/>
      <c r="H125" s="49" t="s">
        <v>243</v>
      </c>
      <c r="I125" s="99">
        <f>'Input (1)'!I103</f>
        <v>2</v>
      </c>
      <c r="J125" s="13" t="s">
        <v>326</v>
      </c>
    </row>
    <row r="126" spans="2:10" ht="18" customHeight="1" x14ac:dyDescent="0.25">
      <c r="B126" s="26"/>
      <c r="C126" s="26"/>
      <c r="D126" s="26"/>
      <c r="E126" s="26"/>
      <c r="F126" s="26"/>
      <c r="G126" s="26"/>
      <c r="H126" s="100" t="s">
        <v>328</v>
      </c>
      <c r="I126" s="101">
        <f>DEGREES(ATAN(I10*1000/MIN(I84,I89)))</f>
        <v>15.945395900922854</v>
      </c>
      <c r="J126" s="13"/>
    </row>
    <row r="127" spans="2:10" ht="18" customHeight="1" x14ac:dyDescent="0.25">
      <c r="B127" s="26" t="s">
        <v>329</v>
      </c>
      <c r="C127" s="26"/>
      <c r="D127" s="26"/>
      <c r="E127" s="26"/>
      <c r="F127" s="26"/>
      <c r="G127" s="26"/>
      <c r="H127" s="49" t="s">
        <v>330</v>
      </c>
      <c r="I127" s="102">
        <f>1-I126/90*((I124-1)*I125+(I125-1)*I124)/(I124*I125)</f>
        <v>0.76377191257892063</v>
      </c>
      <c r="J127" s="13"/>
    </row>
    <row r="128" spans="2:10" ht="18" customHeight="1" x14ac:dyDescent="0.25">
      <c r="B128" s="26" t="s">
        <v>867</v>
      </c>
      <c r="C128" s="26"/>
      <c r="D128" s="26"/>
      <c r="E128" s="26"/>
      <c r="F128" s="26"/>
      <c r="G128" s="26"/>
      <c r="H128" s="49" t="s">
        <v>331</v>
      </c>
      <c r="I128" s="101">
        <f>I48</f>
        <v>2343.6331640781891</v>
      </c>
      <c r="J128" s="13"/>
    </row>
    <row r="129" spans="2:11" ht="18" customHeight="1" x14ac:dyDescent="0.25">
      <c r="B129" s="26" t="s">
        <v>866</v>
      </c>
      <c r="C129" s="26"/>
      <c r="D129" s="26"/>
      <c r="E129" s="26"/>
      <c r="F129" s="26"/>
      <c r="G129" s="26"/>
      <c r="H129" s="49" t="s">
        <v>332</v>
      </c>
      <c r="I129" s="101">
        <f>I128*I127</f>
        <v>1790.0011841113858</v>
      </c>
      <c r="J129" s="13" t="s">
        <v>115</v>
      </c>
    </row>
    <row r="130" spans="2:11" ht="18" customHeight="1" x14ac:dyDescent="0.25">
      <c r="B130" s="26" t="s">
        <v>868</v>
      </c>
      <c r="C130" s="26"/>
      <c r="D130" s="26"/>
      <c r="E130" s="26"/>
      <c r="F130" s="26"/>
      <c r="G130" s="26"/>
      <c r="H130" s="49" t="s">
        <v>333</v>
      </c>
      <c r="I130" s="101">
        <f>I129*C64</f>
        <v>21480.01420933663</v>
      </c>
      <c r="J130" s="13" t="s">
        <v>115</v>
      </c>
    </row>
    <row r="131" spans="2:11" ht="18" customHeight="1" x14ac:dyDescent="0.25">
      <c r="B131" s="26"/>
      <c r="C131" s="26"/>
      <c r="D131" s="26"/>
      <c r="E131" s="26"/>
      <c r="F131" s="26"/>
      <c r="G131" s="26"/>
      <c r="H131" s="49"/>
      <c r="I131" s="103"/>
      <c r="J131" s="13"/>
    </row>
    <row r="132" spans="2:11" ht="18" customHeight="1" x14ac:dyDescent="0.25">
      <c r="B132" s="589" t="s">
        <v>260</v>
      </c>
      <c r="C132" s="589"/>
      <c r="D132" s="589"/>
      <c r="E132" s="589"/>
      <c r="F132" s="589"/>
      <c r="G132" s="589"/>
      <c r="H132" s="589"/>
      <c r="I132" s="589"/>
      <c r="J132" s="13"/>
    </row>
    <row r="133" spans="2:11" ht="18" customHeight="1" x14ac:dyDescent="0.25">
      <c r="B133" s="2" t="s">
        <v>334</v>
      </c>
      <c r="E133" s="89" t="s">
        <v>335</v>
      </c>
      <c r="F133" s="89" t="s">
        <v>336</v>
      </c>
      <c r="G133" s="89" t="s">
        <v>337</v>
      </c>
    </row>
    <row r="134" spans="2:11" ht="18" customHeight="1" x14ac:dyDescent="0.25">
      <c r="E134" s="82">
        <f>MAX(I104:I104)</f>
        <v>13513.702398978483</v>
      </c>
      <c r="F134" s="89" t="str">
        <f>IF(E134&lt;=G134,"&lt;","&gt;")</f>
        <v>&lt;</v>
      </c>
      <c r="G134" s="82">
        <f>$I$130</f>
        <v>21480.01420933663</v>
      </c>
      <c r="H134" s="25" t="s">
        <v>338</v>
      </c>
      <c r="I134" s="25" t="str">
        <f>IF(E134&lt;G134,"[ OK ]","[ NOT OK ]")</f>
        <v>[ OK ]</v>
      </c>
      <c r="K134" s="510"/>
    </row>
    <row r="135" spans="2:11" x14ac:dyDescent="0.25">
      <c r="I135" s="89"/>
      <c r="K135" s="510"/>
    </row>
    <row r="136" spans="2:11" ht="18" customHeight="1" x14ac:dyDescent="0.25">
      <c r="E136" s="89" t="s">
        <v>339</v>
      </c>
      <c r="F136" s="89" t="s">
        <v>340</v>
      </c>
      <c r="G136" s="104" t="s">
        <v>341</v>
      </c>
      <c r="I136" s="89"/>
    </row>
    <row r="137" spans="2:11" ht="18" customHeight="1" x14ac:dyDescent="0.25">
      <c r="E137" s="82">
        <f>I116</f>
        <v>961.00472866139773</v>
      </c>
      <c r="F137" s="89" t="str">
        <f>IF(E137&lt;=G137,"&lt;","&gt;")</f>
        <v>&gt;</v>
      </c>
      <c r="G137" s="82">
        <f>-'Input (1)'!I127/'Input (1)'!I129</f>
        <v>-371.21563244837341</v>
      </c>
      <c r="H137" s="25" t="s">
        <v>338</v>
      </c>
      <c r="I137" s="25" t="str">
        <f>IF(E137&gt;G137,"[ OK ]","[ OK - Sisa gaya dilimpahkan ]")</f>
        <v>[ OK ]</v>
      </c>
    </row>
    <row r="138" spans="2:11" ht="18" customHeight="1" x14ac:dyDescent="0.25">
      <c r="I138" s="89"/>
    </row>
    <row r="139" spans="2:11" ht="18" customHeight="1" x14ac:dyDescent="0.25">
      <c r="E139" s="89" t="s">
        <v>342</v>
      </c>
      <c r="F139" s="89" t="s">
        <v>336</v>
      </c>
      <c r="G139" s="89" t="s">
        <v>343</v>
      </c>
      <c r="I139" s="89"/>
    </row>
    <row r="140" spans="2:11" ht="18" customHeight="1" x14ac:dyDescent="0.25">
      <c r="E140" s="82">
        <f>IF(E137&lt;G137,ABS(E137-G137)+I115,I115)</f>
        <v>1291.2790045016827</v>
      </c>
      <c r="F140" s="89" t="str">
        <f>IF(E140&lt;=G140,"&lt;","&gt;")</f>
        <v>&lt;</v>
      </c>
      <c r="G140" s="82">
        <f>$I$48</f>
        <v>2343.6331640781891</v>
      </c>
      <c r="H140" s="25" t="s">
        <v>338</v>
      </c>
      <c r="I140" s="25" t="str">
        <f>IF(E140&lt;G140,"[ OK ]","[ NOT OK ]")</f>
        <v>[ OK ]</v>
      </c>
    </row>
    <row r="141" spans="2:11" ht="18" customHeight="1" x14ac:dyDescent="0.25">
      <c r="E141" s="68"/>
      <c r="F141" s="89"/>
      <c r="G141" s="68"/>
      <c r="H141" s="25"/>
      <c r="I141" s="61"/>
    </row>
    <row r="142" spans="2:11" ht="18" customHeight="1" x14ac:dyDescent="0.25">
      <c r="B142" s="590" t="s">
        <v>51</v>
      </c>
      <c r="C142" s="590"/>
      <c r="D142" s="590"/>
      <c r="E142" s="590"/>
      <c r="F142" s="590"/>
      <c r="G142" s="590"/>
      <c r="H142" s="590"/>
      <c r="I142" s="590"/>
    </row>
    <row r="143" spans="2:11" ht="18" customHeight="1" x14ac:dyDescent="0.25">
      <c r="B143" s="2" t="s">
        <v>334</v>
      </c>
      <c r="E143" s="89" t="s">
        <v>335</v>
      </c>
      <c r="F143" s="89" t="s">
        <v>336</v>
      </c>
      <c r="G143" s="89" t="s">
        <v>337</v>
      </c>
    </row>
    <row r="144" spans="2:11" ht="18" customHeight="1" x14ac:dyDescent="0.25">
      <c r="E144" s="82">
        <f>MAX(I105:I105)</f>
        <v>12215.622398978481</v>
      </c>
      <c r="F144" s="89" t="str">
        <f>IF(E144&lt;=G144,"&lt;","&gt;")</f>
        <v>&lt;</v>
      </c>
      <c r="G144" s="82">
        <f>G134</f>
        <v>21480.01420933663</v>
      </c>
      <c r="H144" s="25" t="s">
        <v>338</v>
      </c>
      <c r="I144" s="25" t="str">
        <f>IF(E144&lt;G144,"[ OK ]","[ NOT OK ]")</f>
        <v>[ OK ]</v>
      </c>
    </row>
    <row r="145" spans="2:12" ht="18" customHeight="1" x14ac:dyDescent="0.25">
      <c r="I145" s="89"/>
    </row>
    <row r="146" spans="2:12" ht="18" customHeight="1" x14ac:dyDescent="0.25">
      <c r="E146" s="89" t="s">
        <v>339</v>
      </c>
      <c r="F146" s="89" t="s">
        <v>340</v>
      </c>
      <c r="G146" s="104" t="s">
        <v>341</v>
      </c>
      <c r="I146" s="89"/>
    </row>
    <row r="147" spans="2:12" ht="18" customHeight="1" x14ac:dyDescent="0.25">
      <c r="E147" s="82">
        <f>I119</f>
        <v>85.897896920607991</v>
      </c>
      <c r="F147" s="89" t="str">
        <f>IF(E147&lt;=G147,"&lt;","&gt;")</f>
        <v>&gt;</v>
      </c>
      <c r="G147" s="82">
        <f>G137</f>
        <v>-371.21563244837341</v>
      </c>
      <c r="H147" s="25" t="s">
        <v>338</v>
      </c>
      <c r="I147" s="25" t="str">
        <f>IF(E147&gt;G147,"[ OK ]","[ OK - Sisa gaya dilimpahkan ]")</f>
        <v>[ OK ]</v>
      </c>
    </row>
    <row r="148" spans="2:12" ht="18" customHeight="1" x14ac:dyDescent="0.25">
      <c r="I148" s="89"/>
    </row>
    <row r="149" spans="2:12" ht="18" customHeight="1" x14ac:dyDescent="0.25">
      <c r="E149" s="89" t="s">
        <v>342</v>
      </c>
      <c r="F149" s="89" t="s">
        <v>336</v>
      </c>
      <c r="G149" s="89" t="s">
        <v>343</v>
      </c>
      <c r="I149" s="89"/>
    </row>
    <row r="150" spans="2:12" ht="18" customHeight="1" x14ac:dyDescent="0.25">
      <c r="E150" s="82">
        <f>IF(E147&lt;G147,ABS(E147-G147)+I118,I118)</f>
        <v>1950.0391695758058</v>
      </c>
      <c r="F150" s="89" t="str">
        <f>IF(E150&lt;=G150,"&lt;","&gt;")</f>
        <v>&lt;</v>
      </c>
      <c r="G150" s="82">
        <f>G140</f>
        <v>2343.6331640781891</v>
      </c>
      <c r="H150" s="25" t="s">
        <v>338</v>
      </c>
      <c r="I150" s="25" t="str">
        <f>IF(E150&lt;G150,"[ OK ]","[ NOT OK ]")</f>
        <v>[ OK ]</v>
      </c>
    </row>
    <row r="151" spans="2:12" ht="18" customHeight="1" x14ac:dyDescent="0.25"/>
    <row r="152" spans="2:12" ht="18" customHeight="1" x14ac:dyDescent="0.25">
      <c r="B152" s="591" t="s">
        <v>52</v>
      </c>
      <c r="C152" s="591"/>
      <c r="D152" s="591"/>
      <c r="E152" s="591"/>
      <c r="F152" s="591"/>
      <c r="G152" s="591"/>
      <c r="H152" s="591"/>
      <c r="I152" s="591"/>
    </row>
    <row r="153" spans="2:12" ht="18" customHeight="1" x14ac:dyDescent="0.25">
      <c r="B153" s="2" t="s">
        <v>334</v>
      </c>
      <c r="E153" s="89" t="s">
        <v>335</v>
      </c>
      <c r="F153" s="89" t="s">
        <v>336</v>
      </c>
      <c r="G153" s="89" t="s">
        <v>337</v>
      </c>
    </row>
    <row r="154" spans="2:12" ht="18" customHeight="1" x14ac:dyDescent="0.25">
      <c r="E154" s="82">
        <f>MAX(I106:I106)</f>
        <v>12215.622398978481</v>
      </c>
      <c r="F154" s="89" t="str">
        <f>IF(E154&lt;=G154,"&lt;","&gt;")</f>
        <v>&lt;</v>
      </c>
      <c r="G154" s="82">
        <f>G144</f>
        <v>21480.01420933663</v>
      </c>
      <c r="H154" s="25" t="s">
        <v>338</v>
      </c>
      <c r="I154" s="25" t="str">
        <f>IF(E154&lt;G154,"[ OK ]","[ NOT OK ]")</f>
        <v>[ OK ]</v>
      </c>
    </row>
    <row r="155" spans="2:12" ht="18" customHeight="1" x14ac:dyDescent="0.25">
      <c r="I155" s="89"/>
    </row>
    <row r="156" spans="2:12" ht="18" customHeight="1" x14ac:dyDescent="0.25">
      <c r="E156" s="89" t="s">
        <v>339</v>
      </c>
      <c r="F156" s="89" t="s">
        <v>340</v>
      </c>
      <c r="G156" s="104" t="s">
        <v>341</v>
      </c>
      <c r="I156" s="89"/>
    </row>
    <row r="157" spans="2:12" ht="18" customHeight="1" x14ac:dyDescent="0.25">
      <c r="E157" s="82">
        <f>I122</f>
        <v>564.06381833634225</v>
      </c>
      <c r="F157" s="89" t="str">
        <f>IF(E157&lt;=G157,"&lt;","&gt;")</f>
        <v>&gt;</v>
      </c>
      <c r="G157" s="82">
        <f>G147</f>
        <v>-371.21563244837341</v>
      </c>
      <c r="H157" s="25" t="s">
        <v>338</v>
      </c>
      <c r="I157" s="25" t="str">
        <f>IF(E157&gt;G157,"[ OK ]","[ OK - Sisa gaya dilimpahkan ]")</f>
        <v>[ OK ]</v>
      </c>
    </row>
    <row r="158" spans="2:12" ht="18" customHeight="1" x14ac:dyDescent="0.25">
      <c r="I158" s="89"/>
    </row>
    <row r="159" spans="2:12" ht="18" customHeight="1" x14ac:dyDescent="0.25">
      <c r="E159" s="89" t="s">
        <v>342</v>
      </c>
      <c r="F159" s="89" t="s">
        <v>336</v>
      </c>
      <c r="G159" s="89" t="s">
        <v>343</v>
      </c>
      <c r="I159" s="89"/>
    </row>
    <row r="160" spans="2:12" ht="18" customHeight="1" x14ac:dyDescent="0.25">
      <c r="E160" s="82">
        <f>IF(E157&lt;G157,ABS(E157-G157)+I118,I118)</f>
        <v>1950.0391695758058</v>
      </c>
      <c r="F160" s="89" t="str">
        <f>IF(E160&lt;=G160,"&lt;","&gt;")</f>
        <v>&lt;</v>
      </c>
      <c r="G160" s="82">
        <f>G150</f>
        <v>2343.6331640781891</v>
      </c>
      <c r="H160" s="25" t="s">
        <v>338</v>
      </c>
      <c r="I160" s="25" t="str">
        <f>IF(E160&lt;G160,"[ OK ]","[ NOT OK ]")</f>
        <v>[ OK ]</v>
      </c>
      <c r="L160" s="105"/>
    </row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</sheetData>
  <mergeCells count="17">
    <mergeCell ref="B114:H114"/>
    <mergeCell ref="B33:H33"/>
    <mergeCell ref="B38:H38"/>
    <mergeCell ref="B43:H43"/>
    <mergeCell ref="B53:E53"/>
    <mergeCell ref="F53:I53"/>
    <mergeCell ref="N53:O53"/>
    <mergeCell ref="P53:Q53"/>
    <mergeCell ref="B104:G104"/>
    <mergeCell ref="B105:G105"/>
    <mergeCell ref="B106:G106"/>
    <mergeCell ref="L53:M53"/>
    <mergeCell ref="B117:H117"/>
    <mergeCell ref="B120:H120"/>
    <mergeCell ref="B132:I132"/>
    <mergeCell ref="B142:I142"/>
    <mergeCell ref="B152:I152"/>
  </mergeCells>
  <conditionalFormatting sqref="I87 I92 I97 I134 I137 I140 I144 I147 I150 I154 I157 I160">
    <cfRule type="containsText" dxfId="29" priority="3" operator="containsText" text="[ OK ]">
      <formula>NOT(ISERROR(SEARCH("[ OK ]",I87)))</formula>
    </cfRule>
  </conditionalFormatting>
  <conditionalFormatting sqref="I87 I92 I97 I134 I140 I144 I150 I154 I160">
    <cfRule type="containsText" dxfId="28" priority="2" operator="containsText" text="[ NOT OK ]">
      <formula>NOT(ISERROR(SEARCH("[ NOT OK ]",I87)))</formula>
    </cfRule>
  </conditionalFormatting>
  <conditionalFormatting sqref="I157 I147 I137">
    <cfRule type="containsText" dxfId="27" priority="1" operator="containsText" text="[ OK - Sisa gaya dilimpahkan ]">
      <formula>NOT(ISERROR(SEARCH("[ OK - Sisa gaya dilimpahkan ]",I137)))</formula>
    </cfRule>
  </conditionalFormatting>
  <pageMargins left="0.7" right="0.7" top="0.75" bottom="0.75" header="0.3" footer="0.3"/>
  <pageSetup orientation="portrait" horizontalDpi="300" verticalDpi="0" copies="0" r:id="rId1"/>
  <ignoredErrors>
    <ignoredError sqref="A2:XFD8 A125:XFD125 A124:H124 J124:XFD124 A67:XFD67 A65 J65:XFD65 A57:XFD64 A49:XFD50 A47:K47 N47:XFD48 A85:XFD86 A84 C84:XFD84 A94:XFD96 A87:H87 J87:XFD87 A88:XFD88 A161:XFD1048576 A160:F160 M160:XFD160 A127:XFD127 A126:H126 J126:XFD126 A56:K56 M56:XFD56 A98:XFD98 A97:H97 J97:XFD97 B1:XFD1 A10:XFD12 B9:XFD9 A14:XFD46 B13:XFD13 A52:XFD55 B51:XFD51 A100:XFD123 C99:XFD99 A48 C48:K48 A131:XFD133 A145:H146 A144:F144 H144 A148:H149 A147:F147 H147 A151:XFD153 A150:F150 H150 A155:H159 A154:F154 H154 H160 A130 A128 C128:XFD128 A129 C129:H129 C130:XFD130 J129:XFD129 C65:H65 A66 C66:XFD66 A135:XFD136 A134:H134 L134:XFD134 J134 A138:XFD139 A137:H137 J137:XFD137 A141:XFD143 A140:H140 J140:XFD140 J145:XFD146 J144:XFD144 J148:XFD149 J147:XFD147 J150:XFD150 J155:XFD159 J154:XFD154 J160:K160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E697A-E621-41A9-AFA2-AAEFD5A52460}">
  <sheetPr>
    <tabColor theme="7" tint="0.79998168889431442"/>
  </sheetPr>
  <dimension ref="A1:Q540"/>
  <sheetViews>
    <sheetView showGridLines="0" zoomScaleNormal="100" workbookViewId="0"/>
  </sheetViews>
  <sheetFormatPr defaultRowHeight="18.75" customHeight="1" x14ac:dyDescent="0.25"/>
  <cols>
    <col min="1" max="1" width="6.7109375" style="14" customWidth="1"/>
    <col min="2" max="13" width="11.42578125" style="1" customWidth="1"/>
    <col min="14" max="14" width="29.42578125" style="1" bestFit="1" customWidth="1"/>
    <col min="15" max="22" width="11.42578125" style="1" customWidth="1"/>
    <col min="23" max="16384" width="9.140625" style="1"/>
  </cols>
  <sheetData>
    <row r="1" spans="1:10" ht="18.75" customHeight="1" x14ac:dyDescent="0.25">
      <c r="A1" s="14" t="s">
        <v>537</v>
      </c>
      <c r="B1" s="9" t="s">
        <v>624</v>
      </c>
    </row>
    <row r="2" spans="1:10" ht="18.75" customHeight="1" x14ac:dyDescent="0.25">
      <c r="B2" s="9" t="s">
        <v>627</v>
      </c>
    </row>
    <row r="15" spans="1:10" ht="18.75" customHeight="1" x14ac:dyDescent="0.25">
      <c r="B15" s="1" t="s">
        <v>172</v>
      </c>
      <c r="H15" s="7" t="s">
        <v>625</v>
      </c>
      <c r="I15" s="36">
        <f>'Process (1)'!I15</f>
        <v>25</v>
      </c>
      <c r="J15" s="5" t="s">
        <v>54</v>
      </c>
    </row>
    <row r="16" spans="1:10" ht="18.75" customHeight="1" x14ac:dyDescent="0.25">
      <c r="B16" s="1" t="s">
        <v>58</v>
      </c>
      <c r="H16" s="7" t="s">
        <v>2</v>
      </c>
      <c r="I16" s="36">
        <f>'Process (1)'!I18</f>
        <v>17.3</v>
      </c>
      <c r="J16" s="5" t="s">
        <v>0</v>
      </c>
    </row>
    <row r="18" spans="2:9" ht="18.75" customHeight="1" x14ac:dyDescent="0.25">
      <c r="B18" s="609" t="s">
        <v>59</v>
      </c>
      <c r="C18" s="609" t="s">
        <v>64</v>
      </c>
      <c r="D18" s="609"/>
      <c r="E18" s="609"/>
      <c r="F18" s="609"/>
      <c r="G18" s="279" t="s">
        <v>65</v>
      </c>
      <c r="H18" s="279" t="s">
        <v>67</v>
      </c>
      <c r="I18" s="279" t="s">
        <v>69</v>
      </c>
    </row>
    <row r="19" spans="2:9" ht="18.75" customHeight="1" x14ac:dyDescent="0.25">
      <c r="B19" s="609"/>
      <c r="C19" s="279" t="s">
        <v>60</v>
      </c>
      <c r="D19" s="279" t="s">
        <v>61</v>
      </c>
      <c r="E19" s="279" t="s">
        <v>62</v>
      </c>
      <c r="F19" s="279" t="s">
        <v>63</v>
      </c>
      <c r="G19" s="279" t="s">
        <v>66</v>
      </c>
      <c r="H19" s="279" t="s">
        <v>68</v>
      </c>
      <c r="I19" s="279" t="s">
        <v>70</v>
      </c>
    </row>
    <row r="20" spans="2:9" ht="18.75" customHeight="1" x14ac:dyDescent="0.25">
      <c r="B20" s="278">
        <v>1</v>
      </c>
      <c r="C20" s="276">
        <f>'Input (1)'!F38</f>
        <v>0.35</v>
      </c>
      <c r="D20" s="276">
        <f>'Input (1)'!C38</f>
        <v>0.9</v>
      </c>
      <c r="E20" s="275">
        <v>1</v>
      </c>
      <c r="F20" s="275">
        <v>-1</v>
      </c>
      <c r="G20" s="281">
        <f>C20*D20*E20*$I$15*$I$16</f>
        <v>136.23750000000001</v>
      </c>
      <c r="H20" s="277">
        <f>0.5*C20+(C22-C21)+0.5*C26</f>
        <v>0.72499999999999987</v>
      </c>
      <c r="I20" s="281">
        <f>F20*G20*H20</f>
        <v>-98.772187499999987</v>
      </c>
    </row>
    <row r="21" spans="2:9" ht="18.75" customHeight="1" x14ac:dyDescent="0.25">
      <c r="B21" s="278">
        <v>2</v>
      </c>
      <c r="C21" s="276">
        <f>'Input (1)'!F39</f>
        <v>0.55000000000000004</v>
      </c>
      <c r="D21" s="276">
        <f>'Input (1)'!C46-'Input (1)'!C38</f>
        <v>1.6</v>
      </c>
      <c r="E21" s="275">
        <v>1</v>
      </c>
      <c r="F21" s="275">
        <v>-1</v>
      </c>
      <c r="G21" s="281">
        <f t="shared" ref="G21:G26" si="0">C21*D21*E21*$I$15*$I$16</f>
        <v>380.60000000000008</v>
      </c>
      <c r="H21" s="277">
        <f>0.5*C21+(C22-C21)+0.5*C26</f>
        <v>0.82499999999999996</v>
      </c>
      <c r="I21" s="281">
        <f t="shared" ref="I21:I26" si="1">F21*G21*H21</f>
        <v>-313.99500000000006</v>
      </c>
    </row>
    <row r="22" spans="2:9" ht="18.75" customHeight="1" x14ac:dyDescent="0.25">
      <c r="B22" s="278">
        <v>3</v>
      </c>
      <c r="C22" s="276">
        <f>'Input (1)'!F40</f>
        <v>0.6</v>
      </c>
      <c r="D22" s="276">
        <f>'Input (1)'!C39-'Process (3)'!D21</f>
        <v>1.0299999999999998</v>
      </c>
      <c r="E22" s="275">
        <v>1</v>
      </c>
      <c r="F22" s="275">
        <v>-1</v>
      </c>
      <c r="G22" s="281">
        <f t="shared" si="0"/>
        <v>267.28499999999997</v>
      </c>
      <c r="H22" s="277">
        <f>0.5*C22+0.5*C26</f>
        <v>0.8</v>
      </c>
      <c r="I22" s="281">
        <f t="shared" si="1"/>
        <v>-213.82799999999997</v>
      </c>
    </row>
    <row r="23" spans="2:9" ht="18.75" customHeight="1" x14ac:dyDescent="0.25">
      <c r="B23" s="278">
        <v>4</v>
      </c>
      <c r="C23" s="276">
        <f>'Input (1)'!F45</f>
        <v>0.6</v>
      </c>
      <c r="D23" s="276">
        <f>'Input (1)'!C48</f>
        <v>0.8</v>
      </c>
      <c r="E23" s="275">
        <v>1</v>
      </c>
      <c r="F23" s="275">
        <v>1</v>
      </c>
      <c r="G23" s="281">
        <f t="shared" si="0"/>
        <v>207.60000000000002</v>
      </c>
      <c r="H23" s="277">
        <f>0.5*C23+0.5*C26</f>
        <v>0.8</v>
      </c>
      <c r="I23" s="281">
        <f t="shared" si="1"/>
        <v>166.08000000000004</v>
      </c>
    </row>
    <row r="24" spans="2:9" ht="18.75" customHeight="1" x14ac:dyDescent="0.25">
      <c r="B24" s="278">
        <v>5</v>
      </c>
      <c r="C24" s="276">
        <f>'Input (1)'!$F$40</f>
        <v>0.6</v>
      </c>
      <c r="D24" s="276">
        <f>'Input (1)'!C40</f>
        <v>0.6</v>
      </c>
      <c r="E24" s="275">
        <v>0.5</v>
      </c>
      <c r="F24" s="275">
        <v>-1</v>
      </c>
      <c r="G24" s="281">
        <f t="shared" si="0"/>
        <v>77.850000000000009</v>
      </c>
      <c r="H24" s="277">
        <f>1/3*C22+0.5*C26</f>
        <v>0.7</v>
      </c>
      <c r="I24" s="281">
        <f t="shared" si="1"/>
        <v>-54.495000000000005</v>
      </c>
    </row>
    <row r="25" spans="2:9" ht="18.75" customHeight="1" x14ac:dyDescent="0.25">
      <c r="B25" s="278">
        <v>6</v>
      </c>
      <c r="C25" s="276">
        <f>C23</f>
        <v>0.6</v>
      </c>
      <c r="D25" s="276">
        <f>'Input (1)'!C49</f>
        <v>0.6</v>
      </c>
      <c r="E25" s="275">
        <v>0.5</v>
      </c>
      <c r="F25" s="275">
        <v>1</v>
      </c>
      <c r="G25" s="281">
        <f t="shared" si="0"/>
        <v>77.850000000000009</v>
      </c>
      <c r="H25" s="277">
        <f>1/3*C23+0.5*C26</f>
        <v>0.7</v>
      </c>
      <c r="I25" s="281">
        <f t="shared" si="1"/>
        <v>54.495000000000005</v>
      </c>
    </row>
    <row r="26" spans="2:9" ht="18.75" customHeight="1" x14ac:dyDescent="0.25">
      <c r="B26" s="278">
        <v>7</v>
      </c>
      <c r="C26" s="276">
        <f>'Input (1)'!F42</f>
        <v>1</v>
      </c>
      <c r="D26" s="276">
        <f>'Input (1)'!C38+'Input (1)'!C39+'Input (1)'!C40+'Input (1)'!C41-'Input (1)'!C46</f>
        <v>3.7300000000000004</v>
      </c>
      <c r="E26" s="275">
        <v>1</v>
      </c>
      <c r="F26" s="275">
        <v>-1</v>
      </c>
      <c r="G26" s="281">
        <f t="shared" si="0"/>
        <v>1613.2250000000004</v>
      </c>
      <c r="H26" s="277">
        <v>0</v>
      </c>
      <c r="I26" s="281">
        <f t="shared" si="1"/>
        <v>0</v>
      </c>
    </row>
    <row r="27" spans="2:9" ht="18.75" customHeight="1" x14ac:dyDescent="0.25">
      <c r="B27" s="608" t="s">
        <v>643</v>
      </c>
      <c r="C27" s="608"/>
      <c r="D27" s="608"/>
      <c r="E27" s="608"/>
      <c r="F27" s="608"/>
      <c r="G27" s="282">
        <f>SUM(G20:G26)</f>
        <v>2760.6475</v>
      </c>
      <c r="H27" s="280"/>
      <c r="I27" s="282">
        <f>SUM(I20:I26)</f>
        <v>-460.51518750000002</v>
      </c>
    </row>
    <row r="30" spans="2:9" ht="18.75" customHeight="1" x14ac:dyDescent="0.25">
      <c r="B30" s="9" t="s">
        <v>626</v>
      </c>
    </row>
    <row r="43" spans="1:10" ht="19.5" customHeight="1" x14ac:dyDescent="0.25">
      <c r="A43" s="35"/>
      <c r="B43" s="8" t="s">
        <v>97</v>
      </c>
      <c r="H43" s="7" t="s">
        <v>109</v>
      </c>
      <c r="I43" s="36">
        <f>'Process (1)'!I41</f>
        <v>17.2</v>
      </c>
      <c r="J43" s="5" t="s">
        <v>54</v>
      </c>
    </row>
    <row r="44" spans="1:10" ht="19.5" customHeight="1" x14ac:dyDescent="0.25">
      <c r="A44" s="35"/>
      <c r="B44" s="8" t="s">
        <v>108</v>
      </c>
      <c r="H44" s="51" t="s">
        <v>131</v>
      </c>
      <c r="I44" s="42">
        <f>'Process (1)'!I46</f>
        <v>0.37590799472818659</v>
      </c>
      <c r="J44" s="15"/>
    </row>
    <row r="45" spans="1:10" ht="19.5" customHeight="1" x14ac:dyDescent="0.25">
      <c r="A45" s="35"/>
      <c r="B45" s="8" t="s">
        <v>628</v>
      </c>
      <c r="H45" s="7" t="s">
        <v>631</v>
      </c>
      <c r="I45" s="36">
        <f>'Input (1)'!C38+'Input (1)'!C39+'Input (1)'!C40+'Input (1)'!C41</f>
        <v>6.23</v>
      </c>
      <c r="J45" s="5" t="s">
        <v>0</v>
      </c>
    </row>
    <row r="46" spans="1:10" ht="19.5" customHeight="1" x14ac:dyDescent="0.25">
      <c r="A46" s="35"/>
      <c r="B46" s="8" t="s">
        <v>126</v>
      </c>
      <c r="H46" s="7" t="s">
        <v>127</v>
      </c>
      <c r="I46" s="36">
        <f>'Process (1)'!I50</f>
        <v>10.319999999999999</v>
      </c>
      <c r="J46" s="5" t="s">
        <v>128</v>
      </c>
    </row>
    <row r="47" spans="1:10" ht="19.5" customHeight="1" x14ac:dyDescent="0.25">
      <c r="A47" s="35"/>
      <c r="B47" s="8" t="s">
        <v>117</v>
      </c>
      <c r="H47" s="51" t="s">
        <v>130</v>
      </c>
      <c r="I47" s="42">
        <f>I46*I44</f>
        <v>3.8793705055948848</v>
      </c>
      <c r="J47" s="5" t="s">
        <v>118</v>
      </c>
    </row>
    <row r="48" spans="1:10" ht="19.5" customHeight="1" x14ac:dyDescent="0.25">
      <c r="A48" s="35"/>
      <c r="B48" s="8" t="s">
        <v>119</v>
      </c>
      <c r="H48" s="51" t="s">
        <v>632</v>
      </c>
      <c r="I48" s="42">
        <f>I47*I45</f>
        <v>24.168478249856133</v>
      </c>
      <c r="J48" s="5" t="s">
        <v>120</v>
      </c>
    </row>
    <row r="49" spans="1:10" ht="19.5" customHeight="1" x14ac:dyDescent="0.25">
      <c r="A49" s="35"/>
      <c r="B49" s="8" t="s">
        <v>121</v>
      </c>
      <c r="H49" s="51" t="s">
        <v>633</v>
      </c>
      <c r="I49" s="42">
        <f>I45/2</f>
        <v>3.1150000000000002</v>
      </c>
      <c r="J49" s="5" t="s">
        <v>0</v>
      </c>
    </row>
    <row r="50" spans="1:10" ht="19.5" customHeight="1" x14ac:dyDescent="0.25">
      <c r="A50" s="35"/>
      <c r="B50" s="8" t="s">
        <v>122</v>
      </c>
      <c r="H50" s="49" t="s">
        <v>123</v>
      </c>
      <c r="I50" s="42">
        <f>I48*I49</f>
        <v>75.284809748301853</v>
      </c>
      <c r="J50" s="5" t="s">
        <v>124</v>
      </c>
    </row>
    <row r="51" spans="1:10" ht="19.5" customHeight="1" x14ac:dyDescent="0.25">
      <c r="A51" s="35"/>
      <c r="B51" s="8" t="s">
        <v>628</v>
      </c>
      <c r="H51" s="7" t="s">
        <v>631</v>
      </c>
      <c r="I51" s="36">
        <f>I45</f>
        <v>6.23</v>
      </c>
      <c r="J51" s="5" t="s">
        <v>0</v>
      </c>
    </row>
    <row r="52" spans="1:10" ht="19.5" customHeight="1" x14ac:dyDescent="0.25">
      <c r="A52" s="35"/>
      <c r="B52" s="8" t="s">
        <v>135</v>
      </c>
      <c r="H52" s="51" t="s">
        <v>634</v>
      </c>
      <c r="I52" s="42">
        <f>I51*I43*I44</f>
        <v>40.280797083093567</v>
      </c>
      <c r="J52" s="5" t="s">
        <v>118</v>
      </c>
    </row>
    <row r="53" spans="1:10" ht="19.5" customHeight="1" x14ac:dyDescent="0.25">
      <c r="A53" s="35"/>
      <c r="B53" s="8" t="s">
        <v>136</v>
      </c>
      <c r="H53" s="51" t="s">
        <v>635</v>
      </c>
      <c r="I53" s="42">
        <f>0.5*I51*I52</f>
        <v>125.47468291383647</v>
      </c>
      <c r="J53" s="5" t="s">
        <v>120</v>
      </c>
    </row>
    <row r="54" spans="1:10" ht="19.5" customHeight="1" x14ac:dyDescent="0.25">
      <c r="A54" s="35"/>
      <c r="B54" s="8" t="s">
        <v>137</v>
      </c>
      <c r="H54" s="51" t="s">
        <v>636</v>
      </c>
      <c r="I54" s="42">
        <f>1/3*I51</f>
        <v>2.0766666666666667</v>
      </c>
      <c r="J54" s="5" t="s">
        <v>0</v>
      </c>
    </row>
    <row r="55" spans="1:10" ht="19.5" customHeight="1" x14ac:dyDescent="0.25">
      <c r="A55" s="35"/>
      <c r="B55" s="8" t="s">
        <v>138</v>
      </c>
      <c r="H55" s="51" t="s">
        <v>142</v>
      </c>
      <c r="I55" s="42">
        <f>I53*I54</f>
        <v>260.56909151773374</v>
      </c>
      <c r="J55" s="5" t="s">
        <v>124</v>
      </c>
    </row>
    <row r="56" spans="1:10" ht="19.5" customHeight="1" x14ac:dyDescent="0.25">
      <c r="A56" s="35"/>
      <c r="B56" s="1" t="s">
        <v>641</v>
      </c>
      <c r="H56" s="7" t="s">
        <v>646</v>
      </c>
      <c r="I56" s="42">
        <f>(I48+I53)*I16</f>
        <v>2588.8266881318823</v>
      </c>
      <c r="J56" s="5" t="s">
        <v>115</v>
      </c>
    </row>
    <row r="57" spans="1:10" ht="19.5" customHeight="1" x14ac:dyDescent="0.25">
      <c r="A57" s="35"/>
      <c r="B57" s="1" t="s">
        <v>642</v>
      </c>
      <c r="H57" s="7" t="s">
        <v>647</v>
      </c>
      <c r="I57" s="42">
        <f>(I50+I55)*I16</f>
        <v>5810.2724919024158</v>
      </c>
      <c r="J57" s="5" t="s">
        <v>145</v>
      </c>
    </row>
    <row r="58" spans="1:10" ht="19.5" customHeight="1" x14ac:dyDescent="0.25">
      <c r="A58" s="35"/>
      <c r="H58" s="7"/>
      <c r="I58" s="283"/>
      <c r="J58" s="5"/>
    </row>
    <row r="60" spans="1:10" ht="18.75" customHeight="1" x14ac:dyDescent="0.25">
      <c r="B60" s="9" t="s">
        <v>629</v>
      </c>
    </row>
    <row r="73" spans="1:10" ht="19.5" customHeight="1" x14ac:dyDescent="0.25">
      <c r="A73" s="35"/>
      <c r="B73" s="8" t="s">
        <v>160</v>
      </c>
      <c r="H73" s="7" t="s">
        <v>630</v>
      </c>
      <c r="I73" s="4">
        <f>'Process (1)'!I89</f>
        <v>0.50821855546797046</v>
      </c>
      <c r="J73" s="5"/>
    </row>
    <row r="74" spans="1:10" ht="19.5" customHeight="1" x14ac:dyDescent="0.25">
      <c r="A74" s="35"/>
      <c r="B74" s="8" t="s">
        <v>162</v>
      </c>
      <c r="H74" s="50" t="s">
        <v>163</v>
      </c>
      <c r="I74" s="4">
        <f>'Process (1)'!I90</f>
        <v>0.13231056073978387</v>
      </c>
      <c r="J74" s="5"/>
    </row>
    <row r="75" spans="1:10" ht="19.5" customHeight="1" x14ac:dyDescent="0.25">
      <c r="A75" s="35"/>
      <c r="B75" s="8" t="s">
        <v>639</v>
      </c>
      <c r="H75" s="7" t="s">
        <v>640</v>
      </c>
      <c r="I75" s="4">
        <f>I43*('Input (1)'!C42+'Input (1)'!C43)*I74</f>
        <v>2.8446770559053531</v>
      </c>
      <c r="J75" s="5" t="s">
        <v>168</v>
      </c>
    </row>
    <row r="76" spans="1:10" ht="19.5" customHeight="1" x14ac:dyDescent="0.25">
      <c r="A76" s="35"/>
      <c r="B76" s="8"/>
      <c r="H76" s="7" t="s">
        <v>638</v>
      </c>
      <c r="I76" s="4">
        <f>I43*I45*I74</f>
        <v>14.17787044663228</v>
      </c>
      <c r="J76" s="5" t="s">
        <v>168</v>
      </c>
    </row>
    <row r="77" spans="1:10" ht="19.5" customHeight="1" x14ac:dyDescent="0.25">
      <c r="A77" s="35"/>
      <c r="B77" s="1" t="s">
        <v>641</v>
      </c>
      <c r="H77" s="7" t="s">
        <v>648</v>
      </c>
      <c r="I77" s="42">
        <f>I45*I75</f>
        <v>17.722338058290351</v>
      </c>
      <c r="J77" s="5" t="s">
        <v>120</v>
      </c>
    </row>
    <row r="78" spans="1:10" ht="19.5" customHeight="1" x14ac:dyDescent="0.25">
      <c r="A78" s="35"/>
      <c r="H78" s="7" t="s">
        <v>649</v>
      </c>
      <c r="I78" s="42">
        <f>0.5*I45*I76</f>
        <v>44.164066441259557</v>
      </c>
      <c r="J78" s="5" t="s">
        <v>120</v>
      </c>
    </row>
    <row r="79" spans="1:10" ht="19.5" customHeight="1" x14ac:dyDescent="0.25">
      <c r="A79" s="35"/>
      <c r="B79" s="1" t="s">
        <v>642</v>
      </c>
      <c r="H79" s="7" t="s">
        <v>644</v>
      </c>
      <c r="I79" s="42">
        <f>I77*0.5*I45</f>
        <v>55.205083051574448</v>
      </c>
      <c r="J79" s="5" t="s">
        <v>124</v>
      </c>
    </row>
    <row r="80" spans="1:10" ht="18.75" customHeight="1" x14ac:dyDescent="0.25">
      <c r="H80" s="7" t="s">
        <v>637</v>
      </c>
      <c r="I80" s="42">
        <f>I78*2/3*I45</f>
        <v>183.42808928603137</v>
      </c>
      <c r="J80" s="5" t="s">
        <v>124</v>
      </c>
    </row>
    <row r="81" spans="2:10" ht="18.75" customHeight="1" x14ac:dyDescent="0.25">
      <c r="B81" s="1" t="s">
        <v>645</v>
      </c>
      <c r="H81" s="7" t="s">
        <v>650</v>
      </c>
      <c r="I81" s="42">
        <f>(I77+I78)*I16</f>
        <v>1070.6347978422134</v>
      </c>
      <c r="J81" s="5" t="s">
        <v>115</v>
      </c>
    </row>
    <row r="82" spans="2:10" ht="18.75" customHeight="1" x14ac:dyDescent="0.25">
      <c r="H82" s="7" t="s">
        <v>651</v>
      </c>
      <c r="I82" s="42">
        <f>(I79+I80)*I16</f>
        <v>4128.3538814405802</v>
      </c>
      <c r="J82" s="5" t="s">
        <v>145</v>
      </c>
    </row>
    <row r="84" spans="2:10" ht="18.75" customHeight="1" x14ac:dyDescent="0.25">
      <c r="B84" s="9" t="s">
        <v>652</v>
      </c>
    </row>
    <row r="97" spans="1:17" ht="18.75" customHeight="1" x14ac:dyDescent="0.25">
      <c r="B97" s="1" t="s">
        <v>177</v>
      </c>
      <c r="H97" s="7" t="s">
        <v>156</v>
      </c>
      <c r="I97" s="42">
        <f>'Process (1)'!I180</f>
        <v>0.36</v>
      </c>
      <c r="J97" s="5" t="s">
        <v>152</v>
      </c>
    </row>
    <row r="98" spans="1:17" ht="18.75" customHeight="1" x14ac:dyDescent="0.25">
      <c r="A98" s="35"/>
      <c r="B98" s="1" t="s">
        <v>182</v>
      </c>
      <c r="H98" s="7" t="s">
        <v>181</v>
      </c>
      <c r="I98" s="41">
        <v>1</v>
      </c>
      <c r="J98" s="5" t="s">
        <v>152</v>
      </c>
    </row>
    <row r="99" spans="1:17" ht="18.75" customHeight="1" x14ac:dyDescent="0.25">
      <c r="B99" s="1" t="s">
        <v>196</v>
      </c>
      <c r="H99" s="7" t="s">
        <v>197</v>
      </c>
      <c r="I99" s="109">
        <f>'Process (1)'!I136</f>
        <v>0.79199999999999993</v>
      </c>
      <c r="M99" s="578" t="s">
        <v>59</v>
      </c>
      <c r="N99" s="578" t="s">
        <v>184</v>
      </c>
      <c r="O99" s="578"/>
      <c r="P99" s="578"/>
      <c r="Q99" s="578"/>
    </row>
    <row r="100" spans="1:17" ht="18.75" customHeight="1" x14ac:dyDescent="0.25">
      <c r="M100" s="578"/>
      <c r="N100" s="578"/>
      <c r="O100" s="268" t="s">
        <v>223</v>
      </c>
      <c r="P100" s="268" t="s">
        <v>658</v>
      </c>
      <c r="Q100" s="268" t="s">
        <v>659</v>
      </c>
    </row>
    <row r="101" spans="1:17" ht="18.75" customHeight="1" x14ac:dyDescent="0.25">
      <c r="B101" s="609" t="s">
        <v>59</v>
      </c>
      <c r="C101" s="609" t="s">
        <v>64</v>
      </c>
      <c r="D101" s="609"/>
      <c r="E101" s="609"/>
      <c r="F101" s="609"/>
      <c r="G101" s="279" t="s">
        <v>653</v>
      </c>
      <c r="H101" s="279" t="s">
        <v>67</v>
      </c>
      <c r="I101" s="279" t="s">
        <v>69</v>
      </c>
      <c r="M101" s="56"/>
      <c r="N101" s="579" t="s">
        <v>203</v>
      </c>
      <c r="O101" s="579"/>
      <c r="P101" s="579"/>
      <c r="Q101" s="579"/>
    </row>
    <row r="102" spans="1:17" ht="18.75" customHeight="1" x14ac:dyDescent="0.25">
      <c r="B102" s="609"/>
      <c r="C102" s="279" t="s">
        <v>60</v>
      </c>
      <c r="D102" s="279" t="s">
        <v>61</v>
      </c>
      <c r="E102" s="279" t="s">
        <v>62</v>
      </c>
      <c r="F102" s="279" t="s">
        <v>63</v>
      </c>
      <c r="G102" s="279" t="s">
        <v>66</v>
      </c>
      <c r="H102" s="279" t="s">
        <v>68</v>
      </c>
      <c r="I102" s="279" t="s">
        <v>70</v>
      </c>
      <c r="M102" s="56">
        <v>1</v>
      </c>
      <c r="N102" s="57" t="s">
        <v>188</v>
      </c>
      <c r="O102" s="284">
        <f>'Process (1)'!N187</f>
        <v>3479.0340000000001</v>
      </c>
      <c r="P102" s="285"/>
      <c r="Q102" s="286">
        <f>'Process (1)'!R187</f>
        <v>0</v>
      </c>
    </row>
    <row r="103" spans="1:17" ht="18.75" customHeight="1" x14ac:dyDescent="0.25">
      <c r="B103" s="278">
        <v>1</v>
      </c>
      <c r="C103" s="276">
        <f t="shared" ref="C103:D109" si="2">C20</f>
        <v>0.35</v>
      </c>
      <c r="D103" s="276">
        <f t="shared" si="2"/>
        <v>0.9</v>
      </c>
      <c r="E103" s="275">
        <v>1</v>
      </c>
      <c r="F103" s="275">
        <v>1</v>
      </c>
      <c r="G103" s="281">
        <f>$I$97/$I$98*C103*D103*E103*$I$15*$I$16</f>
        <v>49.045500000000004</v>
      </c>
      <c r="H103" s="277">
        <f>0.5*D103+'Input (1)'!C39+'Input (1)'!C40+'Input (1)'!C41</f>
        <v>5.78</v>
      </c>
      <c r="I103" s="281">
        <f>F103*G103*H103</f>
        <v>283.48299000000003</v>
      </c>
      <c r="M103" s="56">
        <v>2</v>
      </c>
      <c r="N103" s="57" t="s">
        <v>189</v>
      </c>
      <c r="O103" s="284">
        <f>'Process (1)'!N188</f>
        <v>1221.8</v>
      </c>
      <c r="P103" s="285"/>
      <c r="Q103" s="286">
        <f>'Process (1)'!R188</f>
        <v>0</v>
      </c>
    </row>
    <row r="104" spans="1:17" ht="18.75" customHeight="1" x14ac:dyDescent="0.25">
      <c r="B104" s="278">
        <v>2</v>
      </c>
      <c r="C104" s="276">
        <f t="shared" si="2"/>
        <v>0.55000000000000004</v>
      </c>
      <c r="D104" s="276">
        <f t="shared" si="2"/>
        <v>1.6</v>
      </c>
      <c r="E104" s="275">
        <v>1</v>
      </c>
      <c r="F104" s="275">
        <v>1</v>
      </c>
      <c r="G104" s="281">
        <f t="shared" ref="G104:G109" si="3">$I$97/$I$98*C104*D104*E104*$I$15*$I$16</f>
        <v>137.01600000000002</v>
      </c>
      <c r="H104" s="277">
        <f>0.5*D104+D109</f>
        <v>4.53</v>
      </c>
      <c r="I104" s="281">
        <f t="shared" ref="I104:I109" si="4">F104*G104*H104</f>
        <v>620.68248000000017</v>
      </c>
      <c r="M104" s="56">
        <v>3</v>
      </c>
      <c r="N104" s="57" t="s">
        <v>190</v>
      </c>
      <c r="O104" s="284">
        <f>'Process (1)'!N189</f>
        <v>1534.4</v>
      </c>
      <c r="P104" s="285"/>
      <c r="Q104" s="286">
        <f>'Process (1)'!R189</f>
        <v>0</v>
      </c>
    </row>
    <row r="105" spans="1:17" ht="18.75" customHeight="1" x14ac:dyDescent="0.25">
      <c r="B105" s="278">
        <v>3</v>
      </c>
      <c r="C105" s="276">
        <f t="shared" si="2"/>
        <v>0.6</v>
      </c>
      <c r="D105" s="276">
        <f t="shared" si="2"/>
        <v>1.0299999999999998</v>
      </c>
      <c r="E105" s="275">
        <v>1</v>
      </c>
      <c r="F105" s="275">
        <v>1</v>
      </c>
      <c r="G105" s="281">
        <f t="shared" si="3"/>
        <v>96.222599999999971</v>
      </c>
      <c r="H105" s="277">
        <f>0.5*D105+(D109-D105)</f>
        <v>3.2150000000000007</v>
      </c>
      <c r="I105" s="281">
        <f t="shared" si="4"/>
        <v>309.355659</v>
      </c>
      <c r="M105" s="56">
        <v>4</v>
      </c>
      <c r="N105" s="57" t="s">
        <v>191</v>
      </c>
      <c r="O105" s="284">
        <f>'Process (1)'!N190</f>
        <v>650</v>
      </c>
      <c r="P105" s="285"/>
      <c r="Q105" s="286">
        <f>'Process (1)'!R190</f>
        <v>0</v>
      </c>
    </row>
    <row r="106" spans="1:17" ht="18.75" customHeight="1" x14ac:dyDescent="0.25">
      <c r="B106" s="278">
        <v>4</v>
      </c>
      <c r="C106" s="276">
        <f t="shared" si="2"/>
        <v>0.6</v>
      </c>
      <c r="D106" s="276">
        <f t="shared" si="2"/>
        <v>0.8</v>
      </c>
      <c r="E106" s="275">
        <v>1</v>
      </c>
      <c r="F106" s="275">
        <v>1</v>
      </c>
      <c r="G106" s="281">
        <f t="shared" si="3"/>
        <v>74.736000000000004</v>
      </c>
      <c r="H106" s="277">
        <f>0.5*D106+'Input (1)'!C49+'Input (1)'!C50</f>
        <v>2.7800000000000007</v>
      </c>
      <c r="I106" s="281">
        <f t="shared" si="4"/>
        <v>207.76608000000007</v>
      </c>
      <c r="M106" s="56">
        <v>5</v>
      </c>
      <c r="N106" s="57" t="s">
        <v>192</v>
      </c>
      <c r="O106" s="285"/>
      <c r="P106" s="284">
        <f>'Process (1)'!O191</f>
        <v>144.01499999999999</v>
      </c>
      <c r="Q106" s="282">
        <f>'Process (1)'!R191</f>
        <v>717.19470000000001</v>
      </c>
    </row>
    <row r="107" spans="1:17" ht="18.75" customHeight="1" x14ac:dyDescent="0.25">
      <c r="B107" s="278">
        <v>5</v>
      </c>
      <c r="C107" s="276">
        <f t="shared" si="2"/>
        <v>0.6</v>
      </c>
      <c r="D107" s="276">
        <f t="shared" si="2"/>
        <v>0.6</v>
      </c>
      <c r="E107" s="275">
        <v>0.5</v>
      </c>
      <c r="F107" s="275">
        <v>1</v>
      </c>
      <c r="G107" s="281">
        <f t="shared" si="3"/>
        <v>28.026</v>
      </c>
      <c r="H107" s="277">
        <f>2/3*D107+'Input (1)'!C41</f>
        <v>2.5</v>
      </c>
      <c r="I107" s="281">
        <f t="shared" si="4"/>
        <v>70.064999999999998</v>
      </c>
      <c r="M107" s="56">
        <v>6</v>
      </c>
      <c r="N107" s="57" t="s">
        <v>193</v>
      </c>
      <c r="O107" s="284">
        <f>'Process (1)'!N192</f>
        <v>320</v>
      </c>
      <c r="P107" s="285"/>
      <c r="Q107" s="286">
        <f>'Process (1)'!R192</f>
        <v>0</v>
      </c>
    </row>
    <row r="108" spans="1:17" ht="18.75" customHeight="1" x14ac:dyDescent="0.25">
      <c r="B108" s="278">
        <v>6</v>
      </c>
      <c r="C108" s="276">
        <f t="shared" si="2"/>
        <v>0.6</v>
      </c>
      <c r="D108" s="276">
        <f t="shared" si="2"/>
        <v>0.6</v>
      </c>
      <c r="E108" s="275">
        <v>0.5</v>
      </c>
      <c r="F108" s="275">
        <v>1</v>
      </c>
      <c r="G108" s="281">
        <f t="shared" si="3"/>
        <v>28.026</v>
      </c>
      <c r="H108" s="277">
        <f>2/3*D108+'Input (1)'!C50</f>
        <v>2.1800000000000006</v>
      </c>
      <c r="I108" s="281">
        <f t="shared" si="4"/>
        <v>61.096680000000013</v>
      </c>
      <c r="M108" s="56">
        <v>7</v>
      </c>
      <c r="N108" s="57" t="s">
        <v>194</v>
      </c>
      <c r="O108" s="285"/>
      <c r="P108" s="285"/>
      <c r="Q108" s="287"/>
    </row>
    <row r="109" spans="1:17" ht="18.75" customHeight="1" x14ac:dyDescent="0.25">
      <c r="B109" s="278">
        <v>7</v>
      </c>
      <c r="C109" s="276">
        <f t="shared" si="2"/>
        <v>1</v>
      </c>
      <c r="D109" s="276">
        <f t="shared" si="2"/>
        <v>3.7300000000000004</v>
      </c>
      <c r="E109" s="275">
        <v>1</v>
      </c>
      <c r="F109" s="275">
        <v>1</v>
      </c>
      <c r="G109" s="281">
        <f t="shared" si="3"/>
        <v>580.76100000000008</v>
      </c>
      <c r="H109" s="277">
        <f>0.5*D109</f>
        <v>1.8650000000000002</v>
      </c>
      <c r="I109" s="281">
        <f t="shared" si="4"/>
        <v>1083.1192650000003</v>
      </c>
      <c r="M109" s="56">
        <v>8</v>
      </c>
      <c r="N109" s="57" t="s">
        <v>195</v>
      </c>
      <c r="O109" s="285"/>
      <c r="P109" s="285"/>
      <c r="Q109" s="287"/>
    </row>
    <row r="110" spans="1:17" ht="18.75" customHeight="1" x14ac:dyDescent="0.25">
      <c r="B110" s="608" t="s">
        <v>643</v>
      </c>
      <c r="C110" s="608"/>
      <c r="D110" s="608"/>
      <c r="E110" s="608"/>
      <c r="F110" s="608"/>
      <c r="G110" s="282">
        <f>SUM(G103:G109)</f>
        <v>993.83310000000006</v>
      </c>
      <c r="H110" s="280"/>
      <c r="I110" s="282">
        <f>SUM(I103:I109)</f>
        <v>2635.5681540000005</v>
      </c>
      <c r="M110" s="56">
        <v>9</v>
      </c>
      <c r="N110" s="57" t="s">
        <v>204</v>
      </c>
      <c r="O110" s="285"/>
      <c r="P110" s="284">
        <f>'Process (1)'!O195</f>
        <v>2482.0403519999995</v>
      </c>
      <c r="Q110" s="282">
        <f>'Process (1)'!R195</f>
        <v>12360.560952959999</v>
      </c>
    </row>
    <row r="111" spans="1:17" ht="18.75" customHeight="1" x14ac:dyDescent="0.25">
      <c r="M111" s="56">
        <v>10</v>
      </c>
      <c r="N111" s="57" t="s">
        <v>205</v>
      </c>
      <c r="O111" s="285"/>
      <c r="P111" s="284">
        <f>'Process (1)'!O196</f>
        <v>451.02918421159171</v>
      </c>
      <c r="Q111" s="282">
        <f>'Process (1)'!R196</f>
        <v>2246.1253373737268</v>
      </c>
    </row>
    <row r="112" spans="1:17" ht="19.5" customHeight="1" x14ac:dyDescent="0.25">
      <c r="A112" s="35"/>
      <c r="B112" s="1" t="s">
        <v>641</v>
      </c>
      <c r="H112" s="7" t="s">
        <v>699</v>
      </c>
      <c r="I112" s="42">
        <f>G110</f>
        <v>993.83310000000006</v>
      </c>
      <c r="J112" s="5" t="s">
        <v>115</v>
      </c>
      <c r="M112" s="56"/>
      <c r="N112" s="579" t="s">
        <v>663</v>
      </c>
      <c r="O112" s="579"/>
      <c r="P112" s="579"/>
      <c r="Q112" s="579"/>
    </row>
    <row r="113" spans="1:17" ht="19.5" customHeight="1" x14ac:dyDescent="0.25">
      <c r="A113" s="35"/>
      <c r="B113" s="1" t="s">
        <v>642</v>
      </c>
      <c r="H113" s="7" t="s">
        <v>700</v>
      </c>
      <c r="I113" s="42">
        <f>I110</f>
        <v>2635.5681540000005</v>
      </c>
      <c r="J113" s="5" t="s">
        <v>145</v>
      </c>
      <c r="M113" s="56">
        <v>11</v>
      </c>
      <c r="N113" s="57" t="s">
        <v>188</v>
      </c>
      <c r="O113" s="284">
        <f>G27</f>
        <v>2760.6475</v>
      </c>
      <c r="P113" s="285"/>
      <c r="Q113" s="282">
        <f>I27</f>
        <v>-460.51518750000002</v>
      </c>
    </row>
    <row r="114" spans="1:17" ht="18.75" customHeight="1" x14ac:dyDescent="0.25">
      <c r="M114" s="56">
        <v>12</v>
      </c>
      <c r="N114" s="57" t="s">
        <v>211</v>
      </c>
      <c r="O114" s="285"/>
      <c r="P114" s="284">
        <f>I56</f>
        <v>2588.8266881318823</v>
      </c>
      <c r="Q114" s="282">
        <f>I57</f>
        <v>5810.2724919024158</v>
      </c>
    </row>
    <row r="115" spans="1:17" ht="18.75" customHeight="1" x14ac:dyDescent="0.25">
      <c r="M115" s="56">
        <v>13</v>
      </c>
      <c r="N115" s="57" t="s">
        <v>212</v>
      </c>
      <c r="O115" s="285"/>
      <c r="P115" s="284">
        <f>I81</f>
        <v>1070.6347978422134</v>
      </c>
      <c r="Q115" s="282">
        <f>I82</f>
        <v>4128.3538814405802</v>
      </c>
    </row>
    <row r="116" spans="1:17" ht="18.75" customHeight="1" x14ac:dyDescent="0.25">
      <c r="B116" s="9" t="s">
        <v>655</v>
      </c>
      <c r="M116" s="56">
        <v>14</v>
      </c>
      <c r="N116" s="57" t="s">
        <v>204</v>
      </c>
      <c r="O116" s="285"/>
      <c r="P116" s="284">
        <f>G110</f>
        <v>993.83310000000006</v>
      </c>
      <c r="Q116" s="282">
        <f>I110</f>
        <v>2635.5681540000005</v>
      </c>
    </row>
    <row r="119" spans="1:17" ht="18.75" customHeight="1" x14ac:dyDescent="0.25">
      <c r="M119" s="9" t="s">
        <v>213</v>
      </c>
    </row>
    <row r="120" spans="1:17" ht="18.75" customHeight="1" x14ac:dyDescent="0.25">
      <c r="M120" s="578" t="s">
        <v>59</v>
      </c>
      <c r="N120" s="578" t="s">
        <v>184</v>
      </c>
      <c r="O120" s="578"/>
      <c r="P120" s="578"/>
      <c r="Q120" s="578"/>
    </row>
    <row r="121" spans="1:17" ht="18.75" customHeight="1" x14ac:dyDescent="0.25">
      <c r="M121" s="578"/>
      <c r="N121" s="578"/>
      <c r="O121" s="268" t="s">
        <v>223</v>
      </c>
      <c r="P121" s="268" t="s">
        <v>658</v>
      </c>
      <c r="Q121" s="268" t="s">
        <v>659</v>
      </c>
    </row>
    <row r="122" spans="1:17" ht="18.75" customHeight="1" x14ac:dyDescent="0.25">
      <c r="M122" s="56">
        <v>2</v>
      </c>
      <c r="N122" s="110" t="s">
        <v>215</v>
      </c>
      <c r="O122" s="284">
        <f>O102+O103+0.3*MAX(O104:O105)+0.3*O106+0.3*O107+O110+O113+O114+O115+O116</f>
        <v>8017.8014999999996</v>
      </c>
      <c r="P122" s="284">
        <f>P102+P103+0.3*MAX(P104:P105)+0.3*P106+0.3*P107+P110+P113+P114+P115+P116</f>
        <v>7178.5394379740947</v>
      </c>
      <c r="Q122" s="284">
        <f>Q102+Q103+0.3*MAX(Q104:Q105)+0.3*Q106+0.3*Q107+Q110+Q113+Q114+Q115+Q116</f>
        <v>24689.398702802995</v>
      </c>
    </row>
    <row r="123" spans="1:17" ht="18.75" customHeight="1" x14ac:dyDescent="0.25">
      <c r="M123" s="56">
        <v>4</v>
      </c>
      <c r="N123" s="110" t="s">
        <v>217</v>
      </c>
      <c r="O123" s="284">
        <f>1.3*(O102)+2*O103+1.25*O114+1.3*O113+1.8*(MAX(O104:O105)+O106+O107)</f>
        <v>13893.105949999999</v>
      </c>
      <c r="P123" s="284">
        <f>1.3*(P102)+2*P103+1.25*P114+1.3*P113+1.8*(MAX(P104:P105)+P106+P107)</f>
        <v>3495.2603601648525</v>
      </c>
      <c r="Q123" s="284">
        <f>1.3*(Q102)+2*Q103+1.25*Q114+1.3*Q113+1.8*(MAX(Q104:Q105)+Q106+Q107)</f>
        <v>7955.1213311280198</v>
      </c>
    </row>
    <row r="124" spans="1:17" ht="18.75" customHeight="1" x14ac:dyDescent="0.25">
      <c r="M124" s="56">
        <v>5</v>
      </c>
      <c r="N124" s="110" t="s">
        <v>218</v>
      </c>
      <c r="O124" s="284">
        <f>1.3*(O102)+2*O103+1.25*O114+1.3*O113+1.4*(MAX(O104:O105)+O106+O107)</f>
        <v>13151.345949999999</v>
      </c>
      <c r="P124" s="284">
        <f>1.3*(P102)+2*P103+1.25*P114+1.3*P113+1.4*(MAX(P104:P105)+P106+P107)</f>
        <v>3437.6543601648527</v>
      </c>
      <c r="Q124" s="284">
        <f>1.3*(Q102)+2*Q103+1.25*Q114+1.3*Q113+1.4*(MAX(Q104:Q105)+Q106+Q107)</f>
        <v>7668.2434511280198</v>
      </c>
    </row>
    <row r="125" spans="1:17" ht="18.75" customHeight="1" x14ac:dyDescent="0.25">
      <c r="M125" s="56">
        <v>6</v>
      </c>
      <c r="N125" s="110" t="s">
        <v>219</v>
      </c>
      <c r="O125" s="284">
        <f>1.3*(O102)+2*O103+1.25*O114+1.3*O113+1.4*O109</f>
        <v>10555.185949999999</v>
      </c>
      <c r="P125" s="284">
        <f>1.3*(P102)+2*P103+1.25*P114+1.3*P113+1.4*P109</f>
        <v>3236.0333601648526</v>
      </c>
      <c r="Q125" s="284">
        <f>1.3*(Q102)+2*Q103+1.25*Q114+1.3*Q113+1.4*Q109</f>
        <v>6664.1708711280198</v>
      </c>
    </row>
    <row r="126" spans="1:17" ht="18.75" customHeight="1" x14ac:dyDescent="0.25">
      <c r="M126" s="56">
        <v>7</v>
      </c>
      <c r="N126" s="110" t="s">
        <v>220</v>
      </c>
      <c r="O126" s="284">
        <f>1.3*(O102)+2*O103+1.25*O114+1.3*O113</f>
        <v>10555.185949999999</v>
      </c>
      <c r="P126" s="284">
        <f>1.3*(P102)+2*P103+1.25*P114+1.3*P113</f>
        <v>3236.0333601648526</v>
      </c>
      <c r="Q126" s="284">
        <f>1.3*(Q102)+2*Q103+1.25*Q114+1.3*Q113</f>
        <v>6664.1708711280198</v>
      </c>
    </row>
    <row r="127" spans="1:17" ht="18.75" customHeight="1" x14ac:dyDescent="0.25">
      <c r="M127" s="56">
        <v>8</v>
      </c>
      <c r="N127" s="110" t="s">
        <v>221</v>
      </c>
      <c r="O127" s="284">
        <f>1.3*(O102)+2*O103+1.25*O114+1.3*O113+0.4*O109+O108</f>
        <v>10555.185949999999</v>
      </c>
      <c r="P127" s="284">
        <f>1.3*(P102)+2*P103+1.25*P114+1.3*P113+0.4*P109+P108</f>
        <v>3236.0333601648526</v>
      </c>
      <c r="Q127" s="284">
        <f>1.3*(Q102)+2*Q103+1.25*Q114+1.3*Q113+0.4*Q109+Q108</f>
        <v>6664.1708711280198</v>
      </c>
    </row>
    <row r="129" spans="1:10" ht="18.75" customHeight="1" x14ac:dyDescent="0.25">
      <c r="B129" s="1" t="s">
        <v>656</v>
      </c>
      <c r="H129" s="7" t="s">
        <v>657</v>
      </c>
      <c r="I129" s="36">
        <f>I45-'Input (1)'!C46</f>
        <v>3.7300000000000004</v>
      </c>
      <c r="J129" s="5" t="s">
        <v>0</v>
      </c>
    </row>
    <row r="130" spans="1:10" ht="18.75" customHeight="1" x14ac:dyDescent="0.25">
      <c r="B130" s="1" t="s">
        <v>665</v>
      </c>
      <c r="H130" s="7" t="s">
        <v>202</v>
      </c>
      <c r="I130" s="36">
        <v>0</v>
      </c>
      <c r="J130" s="5" t="s">
        <v>0</v>
      </c>
    </row>
    <row r="131" spans="1:10" ht="18.75" customHeight="1" x14ac:dyDescent="0.25">
      <c r="B131" s="2" t="s">
        <v>206</v>
      </c>
      <c r="C131" s="2"/>
      <c r="D131" s="2"/>
      <c r="E131" s="2"/>
      <c r="F131" s="2"/>
      <c r="G131" s="2"/>
      <c r="H131" s="3" t="s">
        <v>207</v>
      </c>
      <c r="I131" s="58">
        <f>(O102+O103)+0.3*(MAX(O104:O105)+O107)</f>
        <v>5257.1539999999995</v>
      </c>
      <c r="J131" s="10" t="s">
        <v>115</v>
      </c>
    </row>
    <row r="132" spans="1:10" ht="18.75" customHeight="1" x14ac:dyDescent="0.25">
      <c r="B132" s="2"/>
      <c r="C132" s="2"/>
      <c r="D132" s="2"/>
      <c r="E132" s="2"/>
      <c r="F132" s="2"/>
      <c r="G132" s="2"/>
    </row>
    <row r="133" spans="1:10" ht="18.75" customHeight="1" x14ac:dyDescent="0.25">
      <c r="B133" s="1" t="s">
        <v>667</v>
      </c>
      <c r="H133" s="7" t="s">
        <v>661</v>
      </c>
      <c r="I133" s="36">
        <f>MAX(P122:P127)</f>
        <v>7178.5394379740947</v>
      </c>
      <c r="J133" s="5" t="s">
        <v>115</v>
      </c>
    </row>
    <row r="134" spans="1:10" ht="18.75" customHeight="1" x14ac:dyDescent="0.25">
      <c r="B134" s="1" t="s">
        <v>660</v>
      </c>
      <c r="H134" s="7" t="s">
        <v>662</v>
      </c>
      <c r="I134" s="36">
        <f>MAX(Q122:Q127)</f>
        <v>24689.398702802995</v>
      </c>
      <c r="J134" s="5" t="s">
        <v>145</v>
      </c>
    </row>
    <row r="137" spans="1:10" ht="18.75" customHeight="1" x14ac:dyDescent="0.25">
      <c r="A137" s="14" t="s">
        <v>844</v>
      </c>
      <c r="B137" s="9" t="s">
        <v>664</v>
      </c>
    </row>
    <row r="138" spans="1:10" ht="18.75" customHeight="1" x14ac:dyDescent="0.25">
      <c r="B138" s="9" t="s">
        <v>627</v>
      </c>
    </row>
    <row r="151" spans="2:9" ht="18.75" customHeight="1" x14ac:dyDescent="0.25">
      <c r="B151" s="609" t="s">
        <v>59</v>
      </c>
      <c r="C151" s="609" t="s">
        <v>64</v>
      </c>
      <c r="D151" s="609"/>
      <c r="E151" s="609"/>
      <c r="F151" s="609"/>
      <c r="G151" s="279" t="s">
        <v>65</v>
      </c>
      <c r="H151" s="279" t="s">
        <v>67</v>
      </c>
      <c r="I151" s="279" t="s">
        <v>69</v>
      </c>
    </row>
    <row r="152" spans="2:9" ht="18.75" customHeight="1" x14ac:dyDescent="0.25">
      <c r="B152" s="609"/>
      <c r="C152" s="279" t="s">
        <v>60</v>
      </c>
      <c r="D152" s="279" t="s">
        <v>61</v>
      </c>
      <c r="E152" s="279" t="s">
        <v>62</v>
      </c>
      <c r="F152" s="279" t="s">
        <v>63</v>
      </c>
      <c r="G152" s="279" t="s">
        <v>66</v>
      </c>
      <c r="H152" s="279" t="s">
        <v>68</v>
      </c>
      <c r="I152" s="279" t="s">
        <v>70</v>
      </c>
    </row>
    <row r="153" spans="2:9" ht="18.75" customHeight="1" x14ac:dyDescent="0.25">
      <c r="B153" s="278">
        <v>1</v>
      </c>
      <c r="C153" s="276">
        <f>C20</f>
        <v>0.35</v>
      </c>
      <c r="D153" s="276">
        <f>D20</f>
        <v>0.9</v>
      </c>
      <c r="E153" s="275">
        <v>1</v>
      </c>
      <c r="F153" s="275">
        <v>1</v>
      </c>
      <c r="G153" s="281">
        <f>C153*D153*E153*$I$15*$I$16</f>
        <v>136.23750000000001</v>
      </c>
      <c r="H153" s="277">
        <f>0.5*D154-0.5*D153</f>
        <v>0.35000000000000003</v>
      </c>
      <c r="I153" s="281">
        <f>F153*G153*H153</f>
        <v>47.683125000000011</v>
      </c>
    </row>
    <row r="154" spans="2:9" ht="18.75" customHeight="1" x14ac:dyDescent="0.25">
      <c r="B154" s="278">
        <v>2</v>
      </c>
      <c r="C154" s="276">
        <f>C21</f>
        <v>0.55000000000000004</v>
      </c>
      <c r="D154" s="276">
        <f>D21</f>
        <v>1.6</v>
      </c>
      <c r="E154" s="275">
        <v>1</v>
      </c>
      <c r="F154" s="275">
        <v>1</v>
      </c>
      <c r="G154" s="281">
        <f t="shared" ref="G154" si="5">C154*D154*E154*$I$15*$I$16</f>
        <v>380.60000000000008</v>
      </c>
      <c r="H154" s="277">
        <v>0</v>
      </c>
      <c r="I154" s="281">
        <f t="shared" ref="I154" si="6">F154*G154*H154</f>
        <v>0</v>
      </c>
    </row>
    <row r="155" spans="2:9" ht="18.75" customHeight="1" x14ac:dyDescent="0.25">
      <c r="B155" s="608" t="s">
        <v>643</v>
      </c>
      <c r="C155" s="608"/>
      <c r="D155" s="608"/>
      <c r="E155" s="608"/>
      <c r="F155" s="608"/>
      <c r="G155" s="282">
        <f>SUM(G153:G154)</f>
        <v>516.83750000000009</v>
      </c>
      <c r="H155" s="280"/>
      <c r="I155" s="282">
        <f>SUM(I153:I154)</f>
        <v>47.683125000000011</v>
      </c>
    </row>
    <row r="158" spans="2:9" ht="18.75" customHeight="1" x14ac:dyDescent="0.25">
      <c r="B158" s="9" t="s">
        <v>626</v>
      </c>
    </row>
    <row r="171" spans="1:10" ht="19.5" customHeight="1" x14ac:dyDescent="0.25">
      <c r="A171" s="35"/>
      <c r="B171" s="8" t="s">
        <v>97</v>
      </c>
      <c r="H171" s="7" t="s">
        <v>109</v>
      </c>
      <c r="I171" s="36">
        <f>I43</f>
        <v>17.2</v>
      </c>
      <c r="J171" s="5" t="s">
        <v>54</v>
      </c>
    </row>
    <row r="172" spans="1:10" ht="19.5" customHeight="1" x14ac:dyDescent="0.25">
      <c r="A172" s="35"/>
      <c r="B172" s="8" t="s">
        <v>108</v>
      </c>
      <c r="H172" s="51" t="s">
        <v>131</v>
      </c>
      <c r="I172" s="42">
        <f>I44</f>
        <v>0.37590799472818659</v>
      </c>
      <c r="J172" s="15"/>
    </row>
    <row r="173" spans="1:10" ht="19.5" customHeight="1" x14ac:dyDescent="0.25">
      <c r="A173" s="35"/>
      <c r="B173" s="8" t="s">
        <v>628</v>
      </c>
      <c r="H173" s="7" t="s">
        <v>631</v>
      </c>
      <c r="I173" s="36">
        <f>'Input (1)'!C46</f>
        <v>2.5</v>
      </c>
      <c r="J173" s="5" t="s">
        <v>0</v>
      </c>
    </row>
    <row r="174" spans="1:10" ht="19.5" customHeight="1" x14ac:dyDescent="0.25">
      <c r="A174" s="35"/>
      <c r="B174" s="8" t="s">
        <v>126</v>
      </c>
      <c r="H174" s="7" t="s">
        <v>127</v>
      </c>
      <c r="I174" s="42">
        <f>I46</f>
        <v>10.319999999999999</v>
      </c>
      <c r="J174" s="5" t="s">
        <v>128</v>
      </c>
    </row>
    <row r="175" spans="1:10" ht="19.5" customHeight="1" x14ac:dyDescent="0.25">
      <c r="A175" s="35"/>
      <c r="B175" s="8" t="s">
        <v>117</v>
      </c>
      <c r="H175" s="51" t="s">
        <v>130</v>
      </c>
      <c r="I175" s="42">
        <f>I174*I172</f>
        <v>3.8793705055948848</v>
      </c>
      <c r="J175" s="5" t="s">
        <v>118</v>
      </c>
    </row>
    <row r="176" spans="1:10" ht="19.5" customHeight="1" x14ac:dyDescent="0.25">
      <c r="A176" s="35"/>
      <c r="B176" s="8" t="s">
        <v>119</v>
      </c>
      <c r="H176" s="51" t="s">
        <v>632</v>
      </c>
      <c r="I176" s="42">
        <f>I175*I173</f>
        <v>9.6984262639872121</v>
      </c>
      <c r="J176" s="5" t="s">
        <v>120</v>
      </c>
    </row>
    <row r="177" spans="1:10" ht="19.5" customHeight="1" x14ac:dyDescent="0.25">
      <c r="A177" s="35"/>
      <c r="B177" s="8" t="s">
        <v>121</v>
      </c>
      <c r="H177" s="51" t="s">
        <v>633</v>
      </c>
      <c r="I177" s="42">
        <f>I173/2</f>
        <v>1.25</v>
      </c>
      <c r="J177" s="5" t="s">
        <v>0</v>
      </c>
    </row>
    <row r="178" spans="1:10" ht="19.5" customHeight="1" x14ac:dyDescent="0.25">
      <c r="A178" s="35"/>
      <c r="B178" s="8" t="s">
        <v>122</v>
      </c>
      <c r="H178" s="49" t="s">
        <v>123</v>
      </c>
      <c r="I178" s="42">
        <f>I176*I177</f>
        <v>12.123032829984016</v>
      </c>
      <c r="J178" s="5" t="s">
        <v>124</v>
      </c>
    </row>
    <row r="179" spans="1:10" ht="19.5" customHeight="1" x14ac:dyDescent="0.25">
      <c r="A179" s="35"/>
      <c r="B179" s="8" t="s">
        <v>628</v>
      </c>
      <c r="H179" s="7" t="s">
        <v>631</v>
      </c>
      <c r="I179" s="36">
        <f>I173</f>
        <v>2.5</v>
      </c>
      <c r="J179" s="5" t="s">
        <v>0</v>
      </c>
    </row>
    <row r="180" spans="1:10" ht="19.5" customHeight="1" x14ac:dyDescent="0.25">
      <c r="A180" s="35"/>
      <c r="B180" s="8" t="s">
        <v>135</v>
      </c>
      <c r="H180" s="51" t="s">
        <v>634</v>
      </c>
      <c r="I180" s="42">
        <f>I179*I171*I172</f>
        <v>16.164043773312024</v>
      </c>
      <c r="J180" s="5" t="s">
        <v>118</v>
      </c>
    </row>
    <row r="181" spans="1:10" ht="19.5" customHeight="1" x14ac:dyDescent="0.25">
      <c r="A181" s="35"/>
      <c r="B181" s="8" t="s">
        <v>136</v>
      </c>
      <c r="H181" s="51" t="s">
        <v>635</v>
      </c>
      <c r="I181" s="42">
        <f>0.5*I179*I180</f>
        <v>20.205054716640028</v>
      </c>
      <c r="J181" s="5" t="s">
        <v>120</v>
      </c>
    </row>
    <row r="182" spans="1:10" ht="19.5" customHeight="1" x14ac:dyDescent="0.25">
      <c r="A182" s="35"/>
      <c r="B182" s="8" t="s">
        <v>137</v>
      </c>
      <c r="H182" s="51" t="s">
        <v>636</v>
      </c>
      <c r="I182" s="42">
        <f>1/3*I179</f>
        <v>0.83333333333333326</v>
      </c>
      <c r="J182" s="5" t="s">
        <v>0</v>
      </c>
    </row>
    <row r="183" spans="1:10" ht="19.5" customHeight="1" x14ac:dyDescent="0.25">
      <c r="A183" s="35"/>
      <c r="B183" s="8" t="s">
        <v>138</v>
      </c>
      <c r="H183" s="51" t="s">
        <v>142</v>
      </c>
      <c r="I183" s="42">
        <f>I181*I182</f>
        <v>16.837545597200023</v>
      </c>
      <c r="J183" s="5" t="s">
        <v>124</v>
      </c>
    </row>
    <row r="184" spans="1:10" ht="19.5" customHeight="1" x14ac:dyDescent="0.25">
      <c r="A184" s="35"/>
      <c r="B184" s="1" t="s">
        <v>641</v>
      </c>
      <c r="H184" s="7" t="s">
        <v>646</v>
      </c>
      <c r="I184" s="42">
        <f>(I176+I181)*$I$16</f>
        <v>517.33022096485126</v>
      </c>
      <c r="J184" s="5" t="s">
        <v>115</v>
      </c>
    </row>
    <row r="185" spans="1:10" ht="19.5" customHeight="1" x14ac:dyDescent="0.25">
      <c r="A185" s="35"/>
      <c r="B185" s="1" t="s">
        <v>642</v>
      </c>
      <c r="H185" s="7" t="s">
        <v>647</v>
      </c>
      <c r="I185" s="42">
        <f>(I178+I183)*$I$16</f>
        <v>501.01800679028389</v>
      </c>
      <c r="J185" s="5" t="s">
        <v>145</v>
      </c>
    </row>
    <row r="188" spans="1:10" ht="18.75" customHeight="1" x14ac:dyDescent="0.25">
      <c r="B188" s="9" t="s">
        <v>629</v>
      </c>
    </row>
    <row r="201" spans="1:10" ht="19.5" customHeight="1" x14ac:dyDescent="0.25">
      <c r="A201" s="35"/>
      <c r="B201" s="8" t="s">
        <v>160</v>
      </c>
      <c r="H201" s="7" t="s">
        <v>630</v>
      </c>
      <c r="I201" s="4">
        <f>I73</f>
        <v>0.50821855546797046</v>
      </c>
      <c r="J201" s="5"/>
    </row>
    <row r="202" spans="1:10" ht="19.5" customHeight="1" x14ac:dyDescent="0.25">
      <c r="A202" s="35"/>
      <c r="B202" s="8" t="s">
        <v>162</v>
      </c>
      <c r="H202" s="50" t="s">
        <v>163</v>
      </c>
      <c r="I202" s="4">
        <f>I74</f>
        <v>0.13231056073978387</v>
      </c>
      <c r="J202" s="5"/>
    </row>
    <row r="203" spans="1:10" ht="19.5" customHeight="1" x14ac:dyDescent="0.25">
      <c r="A203" s="35"/>
      <c r="B203" s="8" t="s">
        <v>639</v>
      </c>
      <c r="H203" s="7" t="s">
        <v>666</v>
      </c>
      <c r="I203" s="4">
        <f>I171*('Input (1)'!F48-'Input (1)'!C46)*I202</f>
        <v>11.333193390726928</v>
      </c>
      <c r="J203" s="5" t="s">
        <v>168</v>
      </c>
    </row>
    <row r="204" spans="1:10" ht="19.5" customHeight="1" x14ac:dyDescent="0.25">
      <c r="A204" s="35"/>
      <c r="B204" s="8"/>
      <c r="H204" s="7" t="s">
        <v>638</v>
      </c>
      <c r="I204" s="4">
        <f>I171*I173*I202</f>
        <v>5.6893541118107063</v>
      </c>
      <c r="J204" s="5" t="s">
        <v>168</v>
      </c>
    </row>
    <row r="205" spans="1:10" ht="19.5" customHeight="1" x14ac:dyDescent="0.25">
      <c r="A205" s="35"/>
      <c r="B205" s="1" t="s">
        <v>641</v>
      </c>
      <c r="H205" s="7" t="s">
        <v>648</v>
      </c>
      <c r="I205" s="42">
        <f>I173*I203</f>
        <v>28.332983476817319</v>
      </c>
      <c r="J205" s="5" t="s">
        <v>120</v>
      </c>
    </row>
    <row r="206" spans="1:10" ht="19.5" customHeight="1" x14ac:dyDescent="0.25">
      <c r="A206" s="35"/>
      <c r="H206" s="7" t="s">
        <v>649</v>
      </c>
      <c r="I206" s="42">
        <f>0.5*I173*I204</f>
        <v>7.1116926397633833</v>
      </c>
      <c r="J206" s="5" t="s">
        <v>120</v>
      </c>
    </row>
    <row r="207" spans="1:10" ht="19.5" customHeight="1" x14ac:dyDescent="0.25">
      <c r="A207" s="35"/>
      <c r="B207" s="1" t="s">
        <v>642</v>
      </c>
      <c r="H207" s="7" t="s">
        <v>644</v>
      </c>
      <c r="I207" s="42">
        <f>I205*0.5*I173</f>
        <v>35.416229346021652</v>
      </c>
      <c r="J207" s="5" t="s">
        <v>124</v>
      </c>
    </row>
    <row r="208" spans="1:10" ht="18.75" customHeight="1" x14ac:dyDescent="0.25">
      <c r="H208" s="7" t="s">
        <v>637</v>
      </c>
      <c r="I208" s="42">
        <f>I206*2/3*I173</f>
        <v>11.852821066272305</v>
      </c>
      <c r="J208" s="5" t="s">
        <v>124</v>
      </c>
    </row>
    <row r="209" spans="2:10" ht="18.75" customHeight="1" x14ac:dyDescent="0.25">
      <c r="B209" s="1" t="s">
        <v>645</v>
      </c>
      <c r="H209" s="7" t="s">
        <v>650</v>
      </c>
      <c r="I209" s="42">
        <f>(I205+I206)*I16</f>
        <v>613.1928968168462</v>
      </c>
      <c r="J209" s="5" t="s">
        <v>115</v>
      </c>
    </row>
    <row r="210" spans="2:10" ht="18.75" customHeight="1" x14ac:dyDescent="0.25">
      <c r="H210" s="7" t="s">
        <v>651</v>
      </c>
      <c r="I210" s="42">
        <f>(I207+I208)*I16</f>
        <v>817.75457213268544</v>
      </c>
      <c r="J210" s="5" t="s">
        <v>145</v>
      </c>
    </row>
    <row r="213" spans="2:10" ht="18.75" customHeight="1" x14ac:dyDescent="0.25">
      <c r="B213" s="9" t="s">
        <v>652</v>
      </c>
    </row>
    <row r="226" spans="1:10" ht="18.75" customHeight="1" x14ac:dyDescent="0.25">
      <c r="B226" s="609" t="s">
        <v>59</v>
      </c>
      <c r="C226" s="609" t="s">
        <v>64</v>
      </c>
      <c r="D226" s="609"/>
      <c r="E226" s="609"/>
      <c r="F226" s="609"/>
      <c r="G226" s="279" t="s">
        <v>653</v>
      </c>
      <c r="H226" s="279" t="s">
        <v>67</v>
      </c>
      <c r="I226" s="279" t="s">
        <v>69</v>
      </c>
    </row>
    <row r="227" spans="1:10" ht="18.75" customHeight="1" x14ac:dyDescent="0.25">
      <c r="B227" s="609"/>
      <c r="C227" s="279" t="s">
        <v>60</v>
      </c>
      <c r="D227" s="279" t="s">
        <v>61</v>
      </c>
      <c r="E227" s="279" t="s">
        <v>62</v>
      </c>
      <c r="F227" s="279" t="s">
        <v>63</v>
      </c>
      <c r="G227" s="279" t="s">
        <v>66</v>
      </c>
      <c r="H227" s="279" t="s">
        <v>68</v>
      </c>
      <c r="I227" s="279" t="s">
        <v>70</v>
      </c>
    </row>
    <row r="228" spans="1:10" ht="18.75" customHeight="1" x14ac:dyDescent="0.25">
      <c r="B228" s="278">
        <v>1</v>
      </c>
      <c r="C228" s="276">
        <f>C103</f>
        <v>0.35</v>
      </c>
      <c r="D228" s="276">
        <f>D103</f>
        <v>0.9</v>
      </c>
      <c r="E228" s="275">
        <v>1</v>
      </c>
      <c r="F228" s="275">
        <v>1</v>
      </c>
      <c r="G228" s="281">
        <f>$I$97/$I$98*C228*D228*E228*$I$15*$I$16</f>
        <v>49.045500000000004</v>
      </c>
      <c r="H228" s="277">
        <f>0.5*D228+D229</f>
        <v>2.0500000000000003</v>
      </c>
      <c r="I228" s="281">
        <f>F228*G228*H228</f>
        <v>100.54327500000002</v>
      </c>
    </row>
    <row r="229" spans="1:10" ht="18.75" customHeight="1" x14ac:dyDescent="0.25">
      <c r="B229" s="278">
        <v>2</v>
      </c>
      <c r="C229" s="276">
        <f>C104</f>
        <v>0.55000000000000004</v>
      </c>
      <c r="D229" s="276">
        <f>D104</f>
        <v>1.6</v>
      </c>
      <c r="E229" s="275">
        <v>1</v>
      </c>
      <c r="F229" s="275">
        <v>1</v>
      </c>
      <c r="G229" s="281">
        <f t="shared" ref="G229" si="7">$I$97/$I$98*C229*D229*E229*$I$15*$I$16</f>
        <v>137.01600000000002</v>
      </c>
      <c r="H229" s="277">
        <f>0.5*D229</f>
        <v>0.8</v>
      </c>
      <c r="I229" s="281">
        <f t="shared" ref="I229" si="8">F229*G229*H229</f>
        <v>109.61280000000002</v>
      </c>
    </row>
    <row r="230" spans="1:10" ht="18.75" customHeight="1" x14ac:dyDescent="0.25">
      <c r="B230" s="608" t="s">
        <v>643</v>
      </c>
      <c r="C230" s="608"/>
      <c r="D230" s="608"/>
      <c r="E230" s="608"/>
      <c r="F230" s="608"/>
      <c r="G230" s="282">
        <f>SUM(G228:G229)</f>
        <v>186.06150000000002</v>
      </c>
      <c r="H230" s="280"/>
      <c r="I230" s="282">
        <f>SUM(I228:I229)</f>
        <v>210.15607500000004</v>
      </c>
    </row>
    <row r="232" spans="1:10" ht="19.5" customHeight="1" x14ac:dyDescent="0.25">
      <c r="A232" s="35"/>
      <c r="B232" s="1" t="s">
        <v>641</v>
      </c>
      <c r="H232" s="7" t="s">
        <v>699</v>
      </c>
      <c r="I232" s="42">
        <f>G230</f>
        <v>186.06150000000002</v>
      </c>
      <c r="J232" s="5" t="s">
        <v>115</v>
      </c>
    </row>
    <row r="233" spans="1:10" ht="19.5" customHeight="1" x14ac:dyDescent="0.25">
      <c r="A233" s="35"/>
      <c r="B233" s="1" t="s">
        <v>642</v>
      </c>
      <c r="H233" s="7" t="s">
        <v>700</v>
      </c>
      <c r="I233" s="42">
        <f>I230</f>
        <v>210.15607500000004</v>
      </c>
      <c r="J233" s="5" t="s">
        <v>145</v>
      </c>
    </row>
    <row r="235" spans="1:10" ht="18.75" customHeight="1" x14ac:dyDescent="0.25">
      <c r="B235" s="9" t="s">
        <v>655</v>
      </c>
    </row>
    <row r="236" spans="1:10" ht="18.75" customHeight="1" x14ac:dyDescent="0.25">
      <c r="B236" s="578" t="s">
        <v>59</v>
      </c>
      <c r="C236" s="578" t="s">
        <v>184</v>
      </c>
      <c r="D236" s="578"/>
      <c r="E236" s="578"/>
      <c r="F236" s="578"/>
    </row>
    <row r="237" spans="1:10" ht="18.75" customHeight="1" x14ac:dyDescent="0.25">
      <c r="B237" s="578"/>
      <c r="C237" s="578"/>
      <c r="D237" s="268" t="s">
        <v>223</v>
      </c>
      <c r="E237" s="268" t="s">
        <v>658</v>
      </c>
      <c r="F237" s="268" t="s">
        <v>659</v>
      </c>
    </row>
    <row r="238" spans="1:10" ht="18.75" customHeight="1" x14ac:dyDescent="0.25">
      <c r="B238" s="56">
        <v>2</v>
      </c>
      <c r="C238" s="110" t="s">
        <v>215</v>
      </c>
      <c r="D238" s="284">
        <f>G155</f>
        <v>516.83750000000009</v>
      </c>
      <c r="E238" s="284">
        <f>I184+I209+0.3*G230</f>
        <v>1186.3415677816974</v>
      </c>
      <c r="F238" s="284">
        <f>I155+I185+I210+0.3*I230</f>
        <v>1429.5025264229694</v>
      </c>
    </row>
    <row r="239" spans="1:10" ht="18.75" customHeight="1" x14ac:dyDescent="0.25">
      <c r="B239" s="56">
        <v>4</v>
      </c>
      <c r="C239" s="110" t="s">
        <v>217</v>
      </c>
      <c r="D239" s="284">
        <f>1.3*G155</f>
        <v>671.88875000000019</v>
      </c>
      <c r="E239" s="284">
        <f>1.25*I184</f>
        <v>646.66277620606411</v>
      </c>
      <c r="F239" s="284">
        <f>1.3*I155+1.25*I185</f>
        <v>688.26057098785498</v>
      </c>
    </row>
    <row r="240" spans="1:10" ht="18.75" customHeight="1" x14ac:dyDescent="0.25">
      <c r="B240" s="56">
        <v>5</v>
      </c>
      <c r="C240" s="110" t="s">
        <v>218</v>
      </c>
      <c r="D240" s="284">
        <f>D239</f>
        <v>671.88875000000019</v>
      </c>
      <c r="E240" s="284">
        <f>E239</f>
        <v>646.66277620606411</v>
      </c>
      <c r="F240" s="284">
        <f>F239</f>
        <v>688.26057098785498</v>
      </c>
    </row>
    <row r="241" spans="1:10" ht="18.75" customHeight="1" x14ac:dyDescent="0.25">
      <c r="B241" s="56">
        <v>6</v>
      </c>
      <c r="C241" s="110" t="s">
        <v>219</v>
      </c>
      <c r="D241" s="284">
        <f t="shared" ref="D241:D243" si="9">D240</f>
        <v>671.88875000000019</v>
      </c>
      <c r="E241" s="284">
        <f t="shared" ref="E241:E243" si="10">E240</f>
        <v>646.66277620606411</v>
      </c>
      <c r="F241" s="284">
        <f t="shared" ref="F241:F243" si="11">F240</f>
        <v>688.26057098785498</v>
      </c>
    </row>
    <row r="242" spans="1:10" ht="18.75" customHeight="1" x14ac:dyDescent="0.25">
      <c r="B242" s="56">
        <v>7</v>
      </c>
      <c r="C242" s="110" t="s">
        <v>220</v>
      </c>
      <c r="D242" s="284">
        <f t="shared" si="9"/>
        <v>671.88875000000019</v>
      </c>
      <c r="E242" s="284">
        <f t="shared" si="10"/>
        <v>646.66277620606411</v>
      </c>
      <c r="F242" s="284">
        <f t="shared" si="11"/>
        <v>688.26057098785498</v>
      </c>
    </row>
    <row r="243" spans="1:10" ht="18.75" customHeight="1" x14ac:dyDescent="0.25">
      <c r="B243" s="56">
        <v>8</v>
      </c>
      <c r="C243" s="110" t="s">
        <v>221</v>
      </c>
      <c r="D243" s="284">
        <f t="shared" si="9"/>
        <v>671.88875000000019</v>
      </c>
      <c r="E243" s="284">
        <f t="shared" si="10"/>
        <v>646.66277620606411</v>
      </c>
      <c r="F243" s="284">
        <f t="shared" si="11"/>
        <v>688.26057098785498</v>
      </c>
    </row>
    <row r="245" spans="1:10" ht="18.75" customHeight="1" x14ac:dyDescent="0.25">
      <c r="B245" s="1" t="s">
        <v>673</v>
      </c>
      <c r="H245" s="7" t="s">
        <v>661</v>
      </c>
      <c r="I245" s="36">
        <f>MAX(E238:E243)</f>
        <v>1186.3415677816974</v>
      </c>
      <c r="J245" s="5" t="s">
        <v>115</v>
      </c>
    </row>
    <row r="246" spans="1:10" ht="18.75" customHeight="1" x14ac:dyDescent="0.25">
      <c r="B246" s="1" t="s">
        <v>674</v>
      </c>
      <c r="H246" s="7" t="s">
        <v>662</v>
      </c>
      <c r="I246" s="36">
        <f>MAX(F238:F243)</f>
        <v>1429.5025264229694</v>
      </c>
      <c r="J246" s="5" t="s">
        <v>145</v>
      </c>
    </row>
    <row r="249" spans="1:10" ht="18.75" customHeight="1" x14ac:dyDescent="0.25">
      <c r="A249" s="14" t="s">
        <v>591</v>
      </c>
      <c r="B249" s="9" t="s">
        <v>668</v>
      </c>
    </row>
    <row r="250" spans="1:10" ht="18.75" customHeight="1" x14ac:dyDescent="0.25">
      <c r="B250" s="9" t="s">
        <v>627</v>
      </c>
    </row>
    <row r="263" spans="2:9" ht="18.75" customHeight="1" x14ac:dyDescent="0.25">
      <c r="B263" s="609" t="s">
        <v>59</v>
      </c>
      <c r="C263" s="609" t="s">
        <v>64</v>
      </c>
      <c r="D263" s="609"/>
      <c r="E263" s="609"/>
      <c r="F263" s="609"/>
      <c r="G263" s="289" t="s">
        <v>65</v>
      </c>
      <c r="H263" s="289" t="s">
        <v>67</v>
      </c>
      <c r="I263" s="289" t="s">
        <v>69</v>
      </c>
    </row>
    <row r="264" spans="2:9" ht="18.75" customHeight="1" x14ac:dyDescent="0.25">
      <c r="B264" s="609"/>
      <c r="C264" s="289" t="s">
        <v>60</v>
      </c>
      <c r="D264" s="289" t="s">
        <v>61</v>
      </c>
      <c r="E264" s="289" t="s">
        <v>62</v>
      </c>
      <c r="F264" s="289" t="s">
        <v>63</v>
      </c>
      <c r="G264" s="289" t="s">
        <v>66</v>
      </c>
      <c r="H264" s="289" t="s">
        <v>68</v>
      </c>
      <c r="I264" s="289" t="s">
        <v>70</v>
      </c>
    </row>
    <row r="265" spans="2:9" ht="18.75" customHeight="1" x14ac:dyDescent="0.25">
      <c r="B265" s="278">
        <v>1</v>
      </c>
      <c r="C265" s="276">
        <f>C153</f>
        <v>0.35</v>
      </c>
      <c r="D265" s="276">
        <f>D153</f>
        <v>0.9</v>
      </c>
      <c r="E265" s="275">
        <v>1</v>
      </c>
      <c r="F265" s="275">
        <v>1</v>
      </c>
      <c r="G265" s="281">
        <f>C265*D265*E265*$I$15*$I$16</f>
        <v>136.23750000000001</v>
      </c>
      <c r="H265" s="277">
        <v>0</v>
      </c>
      <c r="I265" s="281">
        <f>F265*G265*H265</f>
        <v>0</v>
      </c>
    </row>
    <row r="266" spans="2:9" ht="18.75" customHeight="1" x14ac:dyDescent="0.25">
      <c r="B266" s="278"/>
      <c r="C266" s="276"/>
      <c r="D266" s="276"/>
      <c r="E266" s="275"/>
      <c r="F266" s="275"/>
      <c r="G266" s="281"/>
      <c r="H266" s="277"/>
      <c r="I266" s="281"/>
    </row>
    <row r="267" spans="2:9" ht="18.75" customHeight="1" x14ac:dyDescent="0.25">
      <c r="B267" s="608" t="s">
        <v>643</v>
      </c>
      <c r="C267" s="608"/>
      <c r="D267" s="608"/>
      <c r="E267" s="608"/>
      <c r="F267" s="608"/>
      <c r="G267" s="282">
        <f>SUM(G265:G266)</f>
        <v>136.23750000000001</v>
      </c>
      <c r="H267" s="280"/>
      <c r="I267" s="282">
        <f>SUM(I265:I266)</f>
        <v>0</v>
      </c>
    </row>
    <row r="270" spans="2:9" ht="18.75" customHeight="1" x14ac:dyDescent="0.25">
      <c r="B270" s="9" t="s">
        <v>626</v>
      </c>
    </row>
    <row r="283" spans="1:10" ht="19.5" customHeight="1" x14ac:dyDescent="0.25">
      <c r="A283" s="35"/>
      <c r="B283" s="8" t="s">
        <v>97</v>
      </c>
      <c r="H283" s="7" t="s">
        <v>109</v>
      </c>
      <c r="I283" s="36">
        <f>I171</f>
        <v>17.2</v>
      </c>
      <c r="J283" s="5" t="s">
        <v>54</v>
      </c>
    </row>
    <row r="284" spans="1:10" ht="19.5" customHeight="1" x14ac:dyDescent="0.25">
      <c r="A284" s="35"/>
      <c r="B284" s="8" t="s">
        <v>108</v>
      </c>
      <c r="H284" s="51" t="s">
        <v>131</v>
      </c>
      <c r="I284" s="42">
        <f>I172</f>
        <v>0.37590799472818659</v>
      </c>
      <c r="J284" s="15"/>
    </row>
    <row r="285" spans="1:10" ht="19.5" customHeight="1" x14ac:dyDescent="0.25">
      <c r="A285" s="35"/>
      <c r="B285" s="8" t="s">
        <v>628</v>
      </c>
      <c r="H285" s="7" t="s">
        <v>631</v>
      </c>
      <c r="I285" s="36">
        <f>D265</f>
        <v>0.9</v>
      </c>
      <c r="J285" s="5" t="s">
        <v>0</v>
      </c>
    </row>
    <row r="286" spans="1:10" ht="19.5" customHeight="1" x14ac:dyDescent="0.25">
      <c r="A286" s="35"/>
      <c r="B286" s="8" t="s">
        <v>126</v>
      </c>
      <c r="H286" s="7" t="s">
        <v>127</v>
      </c>
      <c r="I286" s="42">
        <f>I174</f>
        <v>10.319999999999999</v>
      </c>
      <c r="J286" s="5" t="s">
        <v>128</v>
      </c>
    </row>
    <row r="287" spans="1:10" ht="19.5" customHeight="1" x14ac:dyDescent="0.25">
      <c r="A287" s="35"/>
      <c r="B287" s="8" t="s">
        <v>117</v>
      </c>
      <c r="H287" s="51" t="s">
        <v>130</v>
      </c>
      <c r="I287" s="42">
        <f>I286*I284</f>
        <v>3.8793705055948848</v>
      </c>
      <c r="J287" s="5" t="s">
        <v>118</v>
      </c>
    </row>
    <row r="288" spans="1:10" ht="19.5" customHeight="1" x14ac:dyDescent="0.25">
      <c r="A288" s="35"/>
      <c r="B288" s="8" t="s">
        <v>119</v>
      </c>
      <c r="H288" s="51" t="s">
        <v>632</v>
      </c>
      <c r="I288" s="42">
        <f>I287*I285</f>
        <v>3.4914334550353963</v>
      </c>
      <c r="J288" s="5" t="s">
        <v>120</v>
      </c>
    </row>
    <row r="289" spans="1:10" ht="19.5" customHeight="1" x14ac:dyDescent="0.25">
      <c r="A289" s="35"/>
      <c r="B289" s="8" t="s">
        <v>121</v>
      </c>
      <c r="H289" s="51" t="s">
        <v>633</v>
      </c>
      <c r="I289" s="42">
        <f>I285/2</f>
        <v>0.45</v>
      </c>
      <c r="J289" s="5" t="s">
        <v>0</v>
      </c>
    </row>
    <row r="290" spans="1:10" ht="19.5" customHeight="1" x14ac:dyDescent="0.25">
      <c r="A290" s="35"/>
      <c r="B290" s="8" t="s">
        <v>122</v>
      </c>
      <c r="H290" s="49" t="s">
        <v>123</v>
      </c>
      <c r="I290" s="42">
        <f>I288*I289</f>
        <v>1.5711450547659283</v>
      </c>
      <c r="J290" s="5" t="s">
        <v>124</v>
      </c>
    </row>
    <row r="291" spans="1:10" ht="19.5" customHeight="1" x14ac:dyDescent="0.25">
      <c r="A291" s="35"/>
      <c r="B291" s="8" t="s">
        <v>628</v>
      </c>
      <c r="H291" s="7" t="s">
        <v>631</v>
      </c>
      <c r="I291" s="36">
        <f>I285</f>
        <v>0.9</v>
      </c>
      <c r="J291" s="5" t="s">
        <v>0</v>
      </c>
    </row>
    <row r="292" spans="1:10" ht="19.5" customHeight="1" x14ac:dyDescent="0.25">
      <c r="A292" s="35"/>
      <c r="B292" s="8" t="s">
        <v>135</v>
      </c>
      <c r="H292" s="51" t="s">
        <v>634</v>
      </c>
      <c r="I292" s="42">
        <f>I291*I283*I284</f>
        <v>5.8190557583923281</v>
      </c>
      <c r="J292" s="5" t="s">
        <v>118</v>
      </c>
    </row>
    <row r="293" spans="1:10" ht="19.5" customHeight="1" x14ac:dyDescent="0.25">
      <c r="A293" s="35"/>
      <c r="B293" s="8" t="s">
        <v>136</v>
      </c>
      <c r="H293" s="51" t="s">
        <v>635</v>
      </c>
      <c r="I293" s="42">
        <f>0.5*I291*I292</f>
        <v>2.6185750912765475</v>
      </c>
      <c r="J293" s="5" t="s">
        <v>120</v>
      </c>
    </row>
    <row r="294" spans="1:10" ht="19.5" customHeight="1" x14ac:dyDescent="0.25">
      <c r="A294" s="35"/>
      <c r="B294" s="8" t="s">
        <v>137</v>
      </c>
      <c r="H294" s="51" t="s">
        <v>636</v>
      </c>
      <c r="I294" s="42">
        <f>1/3*I291</f>
        <v>0.3</v>
      </c>
      <c r="J294" s="5" t="s">
        <v>0</v>
      </c>
    </row>
    <row r="295" spans="1:10" ht="19.5" customHeight="1" x14ac:dyDescent="0.25">
      <c r="A295" s="35"/>
      <c r="B295" s="8" t="s">
        <v>138</v>
      </c>
      <c r="H295" s="51" t="s">
        <v>142</v>
      </c>
      <c r="I295" s="42">
        <f>I293*I294</f>
        <v>0.78557252738296424</v>
      </c>
      <c r="J295" s="5" t="s">
        <v>124</v>
      </c>
    </row>
    <row r="296" spans="1:10" ht="19.5" customHeight="1" x14ac:dyDescent="0.25">
      <c r="A296" s="35"/>
      <c r="B296" s="1" t="s">
        <v>641</v>
      </c>
      <c r="H296" s="7" t="s">
        <v>646</v>
      </c>
      <c r="I296" s="42">
        <f>(I288+I293)*$I$16</f>
        <v>105.70314785119663</v>
      </c>
      <c r="J296" s="5" t="s">
        <v>115</v>
      </c>
    </row>
    <row r="297" spans="1:10" ht="19.5" customHeight="1" x14ac:dyDescent="0.25">
      <c r="A297" s="35"/>
      <c r="B297" s="1" t="s">
        <v>642</v>
      </c>
      <c r="H297" s="7" t="s">
        <v>647</v>
      </c>
      <c r="I297" s="42">
        <f>(I290+I295)*$I$16</f>
        <v>40.771214171175842</v>
      </c>
      <c r="J297" s="5" t="s">
        <v>145</v>
      </c>
    </row>
    <row r="300" spans="1:10" ht="18.75" customHeight="1" x14ac:dyDescent="0.25">
      <c r="B300" s="9" t="s">
        <v>629</v>
      </c>
    </row>
    <row r="313" spans="1:10" ht="19.5" customHeight="1" x14ac:dyDescent="0.25">
      <c r="A313" s="35"/>
      <c r="B313" s="8" t="s">
        <v>160</v>
      </c>
      <c r="H313" s="7" t="s">
        <v>630</v>
      </c>
      <c r="I313" s="4">
        <f>I201</f>
        <v>0.50821855546797046</v>
      </c>
      <c r="J313" s="5"/>
    </row>
    <row r="314" spans="1:10" ht="19.5" customHeight="1" x14ac:dyDescent="0.25">
      <c r="A314" s="35"/>
      <c r="B314" s="8" t="s">
        <v>162</v>
      </c>
      <c r="H314" s="50" t="s">
        <v>163</v>
      </c>
      <c r="I314" s="4">
        <f>I202</f>
        <v>0.13231056073978387</v>
      </c>
      <c r="J314" s="5"/>
    </row>
    <row r="315" spans="1:10" ht="19.5" customHeight="1" x14ac:dyDescent="0.25">
      <c r="A315" s="35"/>
      <c r="B315" s="8" t="s">
        <v>639</v>
      </c>
      <c r="H315" s="7" t="s">
        <v>675</v>
      </c>
      <c r="I315" s="4">
        <f>I283*('Input (1)'!F48-'Input (1)'!C38)*I314</f>
        <v>14.974380022285779</v>
      </c>
      <c r="J315" s="5" t="s">
        <v>168</v>
      </c>
    </row>
    <row r="316" spans="1:10" ht="19.5" customHeight="1" x14ac:dyDescent="0.25">
      <c r="A316" s="35"/>
      <c r="B316" s="8"/>
      <c r="H316" s="7" t="s">
        <v>638</v>
      </c>
      <c r="I316" s="4">
        <f>I283*D265*I314</f>
        <v>2.0481674802518541</v>
      </c>
      <c r="J316" s="5" t="s">
        <v>168</v>
      </c>
    </row>
    <row r="317" spans="1:10" ht="19.5" customHeight="1" x14ac:dyDescent="0.25">
      <c r="A317" s="35"/>
      <c r="B317" s="1" t="s">
        <v>641</v>
      </c>
      <c r="H317" s="7" t="s">
        <v>648</v>
      </c>
      <c r="I317" s="42">
        <f>D265*I315</f>
        <v>13.476942020057201</v>
      </c>
      <c r="J317" s="5" t="s">
        <v>120</v>
      </c>
    </row>
    <row r="318" spans="1:10" ht="19.5" customHeight="1" x14ac:dyDescent="0.25">
      <c r="A318" s="35"/>
      <c r="H318" s="7" t="s">
        <v>649</v>
      </c>
      <c r="I318" s="42">
        <f>0.5*D265*I316</f>
        <v>0.92167536611333434</v>
      </c>
      <c r="J318" s="5" t="s">
        <v>120</v>
      </c>
    </row>
    <row r="319" spans="1:10" ht="19.5" customHeight="1" x14ac:dyDescent="0.25">
      <c r="A319" s="35"/>
      <c r="B319" s="1" t="s">
        <v>642</v>
      </c>
      <c r="H319" s="7" t="s">
        <v>644</v>
      </c>
      <c r="I319" s="42">
        <f>I317*0.5*D265</f>
        <v>6.064623909025741</v>
      </c>
      <c r="J319" s="5" t="s">
        <v>124</v>
      </c>
    </row>
    <row r="320" spans="1:10" ht="18.75" customHeight="1" x14ac:dyDescent="0.25">
      <c r="H320" s="7" t="s">
        <v>637</v>
      </c>
      <c r="I320" s="42">
        <f>I318*2/3*D265</f>
        <v>0.55300521966800065</v>
      </c>
      <c r="J320" s="5" t="s">
        <v>124</v>
      </c>
    </row>
    <row r="321" spans="2:10" ht="18.75" customHeight="1" x14ac:dyDescent="0.25">
      <c r="B321" s="1" t="s">
        <v>645</v>
      </c>
      <c r="H321" s="7" t="s">
        <v>650</v>
      </c>
      <c r="I321" s="42">
        <f>(I317+I318)*$I$16</f>
        <v>249.09608078075027</v>
      </c>
      <c r="J321" s="5" t="s">
        <v>115</v>
      </c>
    </row>
    <row r="322" spans="2:10" ht="18.75" customHeight="1" x14ac:dyDescent="0.25">
      <c r="H322" s="7" t="s">
        <v>651</v>
      </c>
      <c r="I322" s="42">
        <f>(I319+I320)*$I$16</f>
        <v>114.48498392640174</v>
      </c>
      <c r="J322" s="5" t="s">
        <v>145</v>
      </c>
    </row>
    <row r="325" spans="2:10" ht="18.75" customHeight="1" x14ac:dyDescent="0.25">
      <c r="B325" s="9" t="s">
        <v>652</v>
      </c>
    </row>
    <row r="338" spans="1:10" ht="18.75" customHeight="1" x14ac:dyDescent="0.25">
      <c r="B338" s="609" t="s">
        <v>59</v>
      </c>
      <c r="C338" s="609" t="s">
        <v>64</v>
      </c>
      <c r="D338" s="609"/>
      <c r="E338" s="609"/>
      <c r="F338" s="609"/>
      <c r="G338" s="289" t="s">
        <v>653</v>
      </c>
      <c r="H338" s="289" t="s">
        <v>67</v>
      </c>
      <c r="I338" s="289" t="s">
        <v>69</v>
      </c>
    </row>
    <row r="339" spans="1:10" ht="18.75" customHeight="1" x14ac:dyDescent="0.25">
      <c r="B339" s="609"/>
      <c r="C339" s="289" t="s">
        <v>60</v>
      </c>
      <c r="D339" s="289" t="s">
        <v>61</v>
      </c>
      <c r="E339" s="289" t="s">
        <v>62</v>
      </c>
      <c r="F339" s="289" t="s">
        <v>63</v>
      </c>
      <c r="G339" s="289" t="s">
        <v>66</v>
      </c>
      <c r="H339" s="289" t="s">
        <v>68</v>
      </c>
      <c r="I339" s="289" t="s">
        <v>70</v>
      </c>
    </row>
    <row r="340" spans="1:10" ht="18.75" customHeight="1" x14ac:dyDescent="0.25">
      <c r="B340" s="278">
        <v>1</v>
      </c>
      <c r="C340" s="276">
        <f>C265</f>
        <v>0.35</v>
      </c>
      <c r="D340" s="276">
        <f>D265</f>
        <v>0.9</v>
      </c>
      <c r="E340" s="275">
        <v>1</v>
      </c>
      <c r="F340" s="275">
        <v>1</v>
      </c>
      <c r="G340" s="281">
        <f>$I$97/$I$98*C340*D340*E340*$I$15*$I$16</f>
        <v>49.045500000000004</v>
      </c>
      <c r="H340" s="277">
        <f>0.5*D340</f>
        <v>0.45</v>
      </c>
      <c r="I340" s="281">
        <f>F340*G340*H340</f>
        <v>22.070475000000002</v>
      </c>
    </row>
    <row r="341" spans="1:10" ht="18.75" customHeight="1" x14ac:dyDescent="0.25">
      <c r="B341" s="278"/>
      <c r="C341" s="276"/>
      <c r="D341" s="276"/>
      <c r="E341" s="275"/>
      <c r="F341" s="275"/>
      <c r="G341" s="281"/>
      <c r="H341" s="277"/>
      <c r="I341" s="281"/>
    </row>
    <row r="342" spans="1:10" ht="18.75" customHeight="1" x14ac:dyDescent="0.25">
      <c r="B342" s="608" t="s">
        <v>643</v>
      </c>
      <c r="C342" s="608"/>
      <c r="D342" s="608"/>
      <c r="E342" s="608"/>
      <c r="F342" s="608"/>
      <c r="G342" s="282">
        <f>SUM(G340:G341)</f>
        <v>49.045500000000004</v>
      </c>
      <c r="H342" s="280"/>
      <c r="I342" s="282">
        <f>SUM(I340:I341)</f>
        <v>22.070475000000002</v>
      </c>
    </row>
    <row r="344" spans="1:10" ht="19.5" customHeight="1" x14ac:dyDescent="0.25">
      <c r="A344" s="35"/>
      <c r="B344" s="1" t="s">
        <v>641</v>
      </c>
      <c r="H344" s="7" t="s">
        <v>699</v>
      </c>
      <c r="I344" s="42">
        <f>G342</f>
        <v>49.045500000000004</v>
      </c>
      <c r="J344" s="5" t="s">
        <v>115</v>
      </c>
    </row>
    <row r="345" spans="1:10" ht="19.5" customHeight="1" x14ac:dyDescent="0.25">
      <c r="A345" s="35"/>
      <c r="B345" s="1" t="s">
        <v>642</v>
      </c>
      <c r="H345" s="7" t="s">
        <v>700</v>
      </c>
      <c r="I345" s="42">
        <f>I342</f>
        <v>22.070475000000002</v>
      </c>
      <c r="J345" s="5" t="s">
        <v>145</v>
      </c>
    </row>
    <row r="347" spans="1:10" ht="18.75" customHeight="1" x14ac:dyDescent="0.25">
      <c r="B347" s="9" t="s">
        <v>655</v>
      </c>
    </row>
    <row r="348" spans="1:10" ht="18.75" customHeight="1" x14ac:dyDescent="0.25">
      <c r="B348" s="578" t="s">
        <v>59</v>
      </c>
      <c r="C348" s="578" t="s">
        <v>184</v>
      </c>
      <c r="D348" s="578"/>
      <c r="E348" s="578"/>
      <c r="F348" s="578"/>
    </row>
    <row r="349" spans="1:10" ht="18.75" customHeight="1" x14ac:dyDescent="0.25">
      <c r="B349" s="578"/>
      <c r="C349" s="578"/>
      <c r="D349" s="288" t="s">
        <v>223</v>
      </c>
      <c r="E349" s="288" t="s">
        <v>658</v>
      </c>
      <c r="F349" s="288" t="s">
        <v>659</v>
      </c>
    </row>
    <row r="350" spans="1:10" ht="18.75" customHeight="1" x14ac:dyDescent="0.25">
      <c r="B350" s="56">
        <v>2</v>
      </c>
      <c r="C350" s="110" t="s">
        <v>215</v>
      </c>
      <c r="D350" s="284">
        <f>G267</f>
        <v>136.23750000000001</v>
      </c>
      <c r="E350" s="284">
        <f>I296+I321+0.3*G342</f>
        <v>369.51287863194693</v>
      </c>
      <c r="F350" s="284">
        <f>I267+I297+I322+0.3*I342</f>
        <v>161.87734059757756</v>
      </c>
    </row>
    <row r="351" spans="1:10" ht="18.75" customHeight="1" x14ac:dyDescent="0.25">
      <c r="B351" s="56">
        <v>4</v>
      </c>
      <c r="C351" s="110" t="s">
        <v>217</v>
      </c>
      <c r="D351" s="284">
        <f>1.3*G267</f>
        <v>177.10875000000001</v>
      </c>
      <c r="E351" s="284">
        <f>1.25*I296</f>
        <v>132.12893481399578</v>
      </c>
      <c r="F351" s="284">
        <f>1.3*I267+1.25*I297</f>
        <v>50.964017713969803</v>
      </c>
    </row>
    <row r="352" spans="1:10" ht="18.75" customHeight="1" x14ac:dyDescent="0.25">
      <c r="B352" s="56">
        <v>5</v>
      </c>
      <c r="C352" s="110" t="s">
        <v>218</v>
      </c>
      <c r="D352" s="284">
        <f>D351</f>
        <v>177.10875000000001</v>
      </c>
      <c r="E352" s="284">
        <f>E351</f>
        <v>132.12893481399578</v>
      </c>
      <c r="F352" s="284">
        <f>F351</f>
        <v>50.964017713969803</v>
      </c>
    </row>
    <row r="353" spans="1:10" ht="18.75" customHeight="1" x14ac:dyDescent="0.25">
      <c r="B353" s="56">
        <v>6</v>
      </c>
      <c r="C353" s="110" t="s">
        <v>219</v>
      </c>
      <c r="D353" s="284">
        <f t="shared" ref="D353:F355" si="12">D352</f>
        <v>177.10875000000001</v>
      </c>
      <c r="E353" s="284">
        <f t="shared" si="12"/>
        <v>132.12893481399578</v>
      </c>
      <c r="F353" s="284">
        <f t="shared" si="12"/>
        <v>50.964017713969803</v>
      </c>
    </row>
    <row r="354" spans="1:10" ht="18.75" customHeight="1" x14ac:dyDescent="0.25">
      <c r="B354" s="56">
        <v>7</v>
      </c>
      <c r="C354" s="110" t="s">
        <v>220</v>
      </c>
      <c r="D354" s="284">
        <f t="shared" si="12"/>
        <v>177.10875000000001</v>
      </c>
      <c r="E354" s="284">
        <f t="shared" si="12"/>
        <v>132.12893481399578</v>
      </c>
      <c r="F354" s="284">
        <f t="shared" si="12"/>
        <v>50.964017713969803</v>
      </c>
    </row>
    <row r="355" spans="1:10" ht="18.75" customHeight="1" x14ac:dyDescent="0.25">
      <c r="B355" s="56">
        <v>8</v>
      </c>
      <c r="C355" s="110" t="s">
        <v>221</v>
      </c>
      <c r="D355" s="284">
        <f t="shared" si="12"/>
        <v>177.10875000000001</v>
      </c>
      <c r="E355" s="284">
        <f t="shared" si="12"/>
        <v>132.12893481399578</v>
      </c>
      <c r="F355" s="284">
        <f t="shared" si="12"/>
        <v>50.964017713969803</v>
      </c>
    </row>
    <row r="357" spans="1:10" ht="18.75" customHeight="1" x14ac:dyDescent="0.25">
      <c r="B357" s="1" t="s">
        <v>676</v>
      </c>
      <c r="H357" s="7" t="s">
        <v>661</v>
      </c>
      <c r="I357" s="36">
        <f>MAX(E350:E355)</f>
        <v>369.51287863194693</v>
      </c>
      <c r="J357" s="5" t="s">
        <v>115</v>
      </c>
    </row>
    <row r="358" spans="1:10" ht="18.75" customHeight="1" x14ac:dyDescent="0.25">
      <c r="B358" s="1" t="s">
        <v>677</v>
      </c>
      <c r="H358" s="7" t="s">
        <v>662</v>
      </c>
      <c r="I358" s="36">
        <f>MAX(F350:F355)</f>
        <v>161.87734059757756</v>
      </c>
      <c r="J358" s="5" t="s">
        <v>145</v>
      </c>
    </row>
    <row r="361" spans="1:10" ht="18.75" customHeight="1" x14ac:dyDescent="0.25">
      <c r="A361" s="14" t="s">
        <v>845</v>
      </c>
      <c r="B361" s="9" t="s">
        <v>678</v>
      </c>
    </row>
    <row r="374" spans="1:10" ht="18.75" customHeight="1" x14ac:dyDescent="0.25">
      <c r="B374" s="1" t="s">
        <v>679</v>
      </c>
      <c r="H374" s="7" t="s">
        <v>680</v>
      </c>
      <c r="I374" s="36">
        <f>1.3*O102+2*O103</f>
        <v>6966.3441999999995</v>
      </c>
      <c r="J374" s="5" t="s">
        <v>115</v>
      </c>
    </row>
    <row r="377" spans="1:10" ht="18.75" customHeight="1" x14ac:dyDescent="0.25">
      <c r="A377" s="14" t="s">
        <v>846</v>
      </c>
      <c r="B377" s="9" t="s">
        <v>681</v>
      </c>
    </row>
    <row r="378" spans="1:10" ht="18.75" customHeight="1" x14ac:dyDescent="0.25">
      <c r="B378" s="1" t="s">
        <v>682</v>
      </c>
    </row>
    <row r="395" spans="1:11" ht="18.75" customHeight="1" x14ac:dyDescent="0.25">
      <c r="B395" s="1" t="s">
        <v>725</v>
      </c>
      <c r="H395" s="7" t="s">
        <v>726</v>
      </c>
      <c r="I395" s="36">
        <f>'Input (1)'!C38+'Input (1)'!C39+'Input (1)'!C40+'Input (1)'!C41+'Input (1)'!C42</f>
        <v>6.73</v>
      </c>
      <c r="K395" s="1">
        <f>I395/(I395+I396)</f>
        <v>0.69167523124357655</v>
      </c>
    </row>
    <row r="396" spans="1:11" ht="18.75" customHeight="1" x14ac:dyDescent="0.25">
      <c r="H396" s="51" t="s">
        <v>727</v>
      </c>
      <c r="I396" s="36">
        <f>'Input (1)'!F43</f>
        <v>3</v>
      </c>
      <c r="K396" s="1">
        <f>I396/(I396+I395)</f>
        <v>0.3083247687564234</v>
      </c>
    </row>
    <row r="397" spans="1:11" s="304" customFormat="1" ht="18.75" customHeight="1" x14ac:dyDescent="0.25">
      <c r="A397" s="301"/>
      <c r="D397" s="309"/>
      <c r="E397" s="309"/>
      <c r="F397" s="309"/>
    </row>
    <row r="398" spans="1:11" ht="18.75" customHeight="1" x14ac:dyDescent="0.25">
      <c r="B398" s="616" t="s">
        <v>59</v>
      </c>
      <c r="C398" s="613" t="s">
        <v>64</v>
      </c>
      <c r="D398" s="614"/>
      <c r="E398" s="614"/>
      <c r="F398" s="615"/>
    </row>
    <row r="399" spans="1:11" ht="18.75" customHeight="1" x14ac:dyDescent="0.25">
      <c r="B399" s="617"/>
      <c r="C399" s="291" t="s">
        <v>60</v>
      </c>
      <c r="D399" s="291" t="s">
        <v>61</v>
      </c>
      <c r="E399" s="291" t="s">
        <v>62</v>
      </c>
      <c r="F399" s="291" t="s">
        <v>736</v>
      </c>
    </row>
    <row r="400" spans="1:11" ht="18.75" customHeight="1" x14ac:dyDescent="0.25">
      <c r="B400" s="278" t="s">
        <v>72</v>
      </c>
      <c r="C400" s="276">
        <f>C505</f>
        <v>4</v>
      </c>
      <c r="D400" s="276">
        <f>D505</f>
        <v>0.9</v>
      </c>
      <c r="E400" s="275">
        <v>1</v>
      </c>
      <c r="F400" s="277">
        <f>C400*D400*E400</f>
        <v>3.6</v>
      </c>
    </row>
    <row r="401" spans="2:10" ht="18.75" customHeight="1" x14ac:dyDescent="0.25">
      <c r="B401" s="278" t="s">
        <v>71</v>
      </c>
      <c r="C401" s="276">
        <f t="shared" ref="C401:D401" si="13">C506</f>
        <v>3.8</v>
      </c>
      <c r="D401" s="276">
        <f t="shared" si="13"/>
        <v>2.63</v>
      </c>
      <c r="E401" s="275">
        <v>1</v>
      </c>
      <c r="F401" s="277">
        <f t="shared" ref="F401:F407" si="14">C401*D401*E401</f>
        <v>9.9939999999999998</v>
      </c>
    </row>
    <row r="402" spans="2:10" ht="18.75" customHeight="1" x14ac:dyDescent="0.25">
      <c r="B402" s="278" t="s">
        <v>73</v>
      </c>
      <c r="C402" s="276">
        <f t="shared" ref="C402:D402" si="15">C507</f>
        <v>3.8</v>
      </c>
      <c r="D402" s="276">
        <f t="shared" si="15"/>
        <v>0.6</v>
      </c>
      <c r="E402" s="275">
        <v>1</v>
      </c>
      <c r="F402" s="277">
        <f t="shared" si="14"/>
        <v>2.2799999999999998</v>
      </c>
    </row>
    <row r="403" spans="2:10" ht="18.75" customHeight="1" x14ac:dyDescent="0.25">
      <c r="B403" s="278" t="s">
        <v>74</v>
      </c>
      <c r="C403" s="276">
        <f t="shared" ref="C403:D403" si="16">C508</f>
        <v>0.6</v>
      </c>
      <c r="D403" s="276">
        <f t="shared" si="16"/>
        <v>0.6</v>
      </c>
      <c r="E403" s="275">
        <v>0.5</v>
      </c>
      <c r="F403" s="277">
        <f t="shared" si="14"/>
        <v>0.18</v>
      </c>
    </row>
    <row r="404" spans="2:10" ht="18.75" customHeight="1" x14ac:dyDescent="0.25">
      <c r="B404" s="278" t="s">
        <v>75</v>
      </c>
      <c r="C404" s="276">
        <f t="shared" ref="C404:D404" si="17">C509</f>
        <v>4.3999999999999995</v>
      </c>
      <c r="D404" s="276">
        <f t="shared" si="17"/>
        <v>1.87</v>
      </c>
      <c r="E404" s="275">
        <v>1</v>
      </c>
      <c r="F404" s="277">
        <f t="shared" si="14"/>
        <v>8.2279999999999998</v>
      </c>
    </row>
    <row r="405" spans="2:10" ht="18.75" customHeight="1" x14ac:dyDescent="0.25">
      <c r="B405" s="278" t="s">
        <v>76</v>
      </c>
      <c r="C405" s="276">
        <f t="shared" ref="C405:D405" si="18">C510</f>
        <v>1.3999999999999995</v>
      </c>
      <c r="D405" s="276">
        <f t="shared" si="18"/>
        <v>0.73000000000000043</v>
      </c>
      <c r="E405" s="275">
        <v>0.5</v>
      </c>
      <c r="F405" s="277">
        <f t="shared" si="14"/>
        <v>0.51100000000000012</v>
      </c>
    </row>
    <row r="406" spans="2:10" ht="18.75" customHeight="1" x14ac:dyDescent="0.25">
      <c r="B406" s="278" t="s">
        <v>77</v>
      </c>
      <c r="C406" s="276">
        <f t="shared" ref="C406:D406" si="19">C511</f>
        <v>3</v>
      </c>
      <c r="D406" s="276">
        <f t="shared" si="19"/>
        <v>0.23000000000000043</v>
      </c>
      <c r="E406" s="275">
        <v>1</v>
      </c>
      <c r="F406" s="277">
        <f t="shared" si="14"/>
        <v>0.69000000000000128</v>
      </c>
    </row>
    <row r="407" spans="2:10" ht="18.75" customHeight="1" x14ac:dyDescent="0.25">
      <c r="B407" s="278" t="s">
        <v>78</v>
      </c>
      <c r="C407" s="276">
        <f t="shared" ref="C407:D407" si="20">C512</f>
        <v>3</v>
      </c>
      <c r="D407" s="276">
        <f t="shared" si="20"/>
        <v>0.5</v>
      </c>
      <c r="E407" s="275">
        <v>0.5</v>
      </c>
      <c r="F407" s="277">
        <f t="shared" si="14"/>
        <v>0.75</v>
      </c>
    </row>
    <row r="408" spans="2:10" ht="18.75" customHeight="1" x14ac:dyDescent="0.25">
      <c r="B408" s="610" t="s">
        <v>738</v>
      </c>
      <c r="C408" s="611"/>
      <c r="D408" s="611"/>
      <c r="E408" s="612"/>
      <c r="F408" s="308">
        <f>SUM(F400:F407)</f>
        <v>26.232999999999997</v>
      </c>
    </row>
    <row r="410" spans="2:10" ht="18.75" customHeight="1" x14ac:dyDescent="0.25">
      <c r="B410" s="1" t="s">
        <v>737</v>
      </c>
      <c r="H410" s="7" t="s">
        <v>739</v>
      </c>
      <c r="I410" s="36">
        <f>F408/I395</f>
        <v>3.8979197622585433</v>
      </c>
      <c r="J410" s="5" t="s">
        <v>0</v>
      </c>
    </row>
    <row r="412" spans="2:10" ht="18.75" customHeight="1" x14ac:dyDescent="0.25">
      <c r="B412" s="9" t="s">
        <v>626</v>
      </c>
    </row>
    <row r="425" spans="1:10" ht="19.5" customHeight="1" x14ac:dyDescent="0.25">
      <c r="A425" s="35"/>
      <c r="B425" s="8" t="s">
        <v>97</v>
      </c>
      <c r="H425" s="7" t="s">
        <v>109</v>
      </c>
      <c r="I425" s="36">
        <f>I283</f>
        <v>17.2</v>
      </c>
      <c r="J425" s="5" t="s">
        <v>54</v>
      </c>
    </row>
    <row r="426" spans="1:10" ht="19.5" customHeight="1" x14ac:dyDescent="0.25">
      <c r="A426" s="35"/>
      <c r="B426" s="8" t="s">
        <v>108</v>
      </c>
      <c r="H426" s="51" t="s">
        <v>131</v>
      </c>
      <c r="I426" s="36">
        <f>I284</f>
        <v>0.37590799472818659</v>
      </c>
      <c r="J426" s="15"/>
    </row>
    <row r="427" spans="1:10" ht="19.5" customHeight="1" x14ac:dyDescent="0.25">
      <c r="A427" s="35"/>
      <c r="B427" s="8" t="s">
        <v>683</v>
      </c>
      <c r="H427" s="7" t="s">
        <v>631</v>
      </c>
      <c r="I427" s="36">
        <f>'Input (1)'!C38+'Input (1)'!C39+'Input (1)'!C40+'Input (1)'!C41+'Input (1)'!C42</f>
        <v>6.73</v>
      </c>
      <c r="J427" s="5" t="s">
        <v>0</v>
      </c>
    </row>
    <row r="428" spans="1:10" ht="19.5" customHeight="1" x14ac:dyDescent="0.25">
      <c r="A428" s="35"/>
      <c r="B428" s="8" t="s">
        <v>126</v>
      </c>
      <c r="H428" s="7" t="s">
        <v>127</v>
      </c>
      <c r="I428" s="42">
        <f>0.6*I425</f>
        <v>10.319999999999999</v>
      </c>
      <c r="J428" s="5" t="s">
        <v>128</v>
      </c>
    </row>
    <row r="429" spans="1:10" ht="19.5" customHeight="1" x14ac:dyDescent="0.25">
      <c r="A429" s="35"/>
      <c r="B429" s="8" t="s">
        <v>117</v>
      </c>
      <c r="H429" s="51" t="s">
        <v>130</v>
      </c>
      <c r="I429" s="42">
        <f>I428*I426</f>
        <v>3.8793705055948848</v>
      </c>
      <c r="J429" s="5" t="s">
        <v>120</v>
      </c>
    </row>
    <row r="430" spans="1:10" ht="19.5" customHeight="1" x14ac:dyDescent="0.25">
      <c r="A430" s="35"/>
      <c r="B430" s="8" t="s">
        <v>119</v>
      </c>
      <c r="H430" s="51" t="s">
        <v>740</v>
      </c>
      <c r="I430" s="42">
        <f>I429*I427*I410</f>
        <v>101.76752647327061</v>
      </c>
      <c r="J430" s="5" t="s">
        <v>115</v>
      </c>
    </row>
    <row r="431" spans="1:10" ht="19.5" customHeight="1" x14ac:dyDescent="0.25">
      <c r="A431" s="35"/>
      <c r="B431" s="8" t="s">
        <v>135</v>
      </c>
      <c r="H431" s="51" t="s">
        <v>634</v>
      </c>
      <c r="I431" s="42">
        <f>I427*I425*I426</f>
        <v>43.513605837755968</v>
      </c>
      <c r="J431" s="5" t="s">
        <v>120</v>
      </c>
    </row>
    <row r="432" spans="1:10" ht="19.5" customHeight="1" x14ac:dyDescent="0.25">
      <c r="A432" s="35"/>
      <c r="B432" s="8" t="s">
        <v>136</v>
      </c>
      <c r="H432" s="51" t="s">
        <v>741</v>
      </c>
      <c r="I432" s="42">
        <f>0.5*I427*I431*I410</f>
        <v>570.74621097092609</v>
      </c>
      <c r="J432" s="5" t="s">
        <v>115</v>
      </c>
    </row>
    <row r="434" spans="1:10" ht="18.75" customHeight="1" x14ac:dyDescent="0.25">
      <c r="B434" s="9" t="s">
        <v>684</v>
      </c>
    </row>
    <row r="435" spans="1:10" ht="19.5" customHeight="1" x14ac:dyDescent="0.25">
      <c r="A435" s="35"/>
      <c r="B435" s="8" t="s">
        <v>121</v>
      </c>
      <c r="H435" s="51" t="s">
        <v>633</v>
      </c>
      <c r="I435" s="42">
        <f>I427/2</f>
        <v>3.3650000000000002</v>
      </c>
      <c r="J435" s="5" t="s">
        <v>0</v>
      </c>
    </row>
    <row r="436" spans="1:10" ht="19.5" customHeight="1" x14ac:dyDescent="0.25">
      <c r="A436" s="35"/>
      <c r="B436" s="8" t="s">
        <v>122</v>
      </c>
      <c r="H436" s="49" t="s">
        <v>123</v>
      </c>
      <c r="I436" s="42">
        <f>I430*I435</f>
        <v>342.44772658255562</v>
      </c>
      <c r="J436" s="5" t="s">
        <v>124</v>
      </c>
    </row>
    <row r="437" spans="1:10" ht="19.5" customHeight="1" x14ac:dyDescent="0.25">
      <c r="A437" s="35"/>
      <c r="B437" s="8" t="s">
        <v>137</v>
      </c>
      <c r="H437" s="51" t="s">
        <v>636</v>
      </c>
      <c r="I437" s="42">
        <f>1/3*I427</f>
        <v>2.2433333333333332</v>
      </c>
      <c r="J437" s="5" t="s">
        <v>0</v>
      </c>
    </row>
    <row r="438" spans="1:10" ht="19.5" customHeight="1" x14ac:dyDescent="0.25">
      <c r="A438" s="35"/>
      <c r="B438" s="8" t="s">
        <v>138</v>
      </c>
      <c r="H438" s="51" t="s">
        <v>142</v>
      </c>
      <c r="I438" s="42">
        <f>I432*I437</f>
        <v>1280.3739999447773</v>
      </c>
      <c r="J438" s="5" t="s">
        <v>124</v>
      </c>
    </row>
    <row r="439" spans="1:10" ht="19.5" customHeight="1" x14ac:dyDescent="0.25">
      <c r="A439" s="35"/>
      <c r="B439" s="1" t="s">
        <v>641</v>
      </c>
      <c r="H439" s="7" t="s">
        <v>742</v>
      </c>
      <c r="I439" s="42">
        <f>$I$396/SUM($I$395:$I$396)*(I430+I432)</f>
        <v>207.35264258300001</v>
      </c>
      <c r="J439" s="5" t="s">
        <v>115</v>
      </c>
    </row>
    <row r="440" spans="1:10" ht="19.5" customHeight="1" x14ac:dyDescent="0.25">
      <c r="A440" s="35"/>
      <c r="B440" s="1" t="s">
        <v>642</v>
      </c>
      <c r="H440" s="7" t="s">
        <v>743</v>
      </c>
      <c r="I440" s="42">
        <f>$I$396/SUM($I$395:$I$396)*(I436+I438)</f>
        <v>500.35613356443969</v>
      </c>
      <c r="J440" s="5" t="s">
        <v>145</v>
      </c>
    </row>
    <row r="442" spans="1:10" ht="18.75" customHeight="1" x14ac:dyDescent="0.25">
      <c r="B442" s="9" t="s">
        <v>685</v>
      </c>
    </row>
    <row r="443" spans="1:10" ht="19.5" customHeight="1" x14ac:dyDescent="0.25">
      <c r="A443" s="35"/>
      <c r="B443" s="8" t="s">
        <v>121</v>
      </c>
      <c r="H443" s="51" t="s">
        <v>686</v>
      </c>
      <c r="I443" s="42">
        <f>'Input (1)'!F54/2</f>
        <v>2</v>
      </c>
      <c r="J443" s="5" t="s">
        <v>0</v>
      </c>
    </row>
    <row r="444" spans="1:10" ht="19.5" customHeight="1" x14ac:dyDescent="0.25">
      <c r="A444" s="35"/>
      <c r="B444" s="8" t="s">
        <v>122</v>
      </c>
      <c r="H444" s="49" t="s">
        <v>123</v>
      </c>
      <c r="I444" s="42">
        <f>I430*I443</f>
        <v>203.53505294654121</v>
      </c>
      <c r="J444" s="5" t="s">
        <v>124</v>
      </c>
    </row>
    <row r="445" spans="1:10" ht="19.5" customHeight="1" x14ac:dyDescent="0.25">
      <c r="A445" s="35"/>
      <c r="B445" s="8" t="s">
        <v>137</v>
      </c>
      <c r="H445" s="51" t="s">
        <v>687</v>
      </c>
      <c r="I445" s="42">
        <f>I443</f>
        <v>2</v>
      </c>
      <c r="J445" s="5" t="s">
        <v>0</v>
      </c>
    </row>
    <row r="446" spans="1:10" ht="19.5" customHeight="1" x14ac:dyDescent="0.25">
      <c r="A446" s="35"/>
      <c r="B446" s="8" t="s">
        <v>138</v>
      </c>
      <c r="H446" s="51" t="s">
        <v>142</v>
      </c>
      <c r="I446" s="42">
        <f>I432*I445</f>
        <v>1141.4924219418522</v>
      </c>
      <c r="J446" s="5" t="s">
        <v>124</v>
      </c>
    </row>
    <row r="447" spans="1:10" ht="19.5" customHeight="1" x14ac:dyDescent="0.25">
      <c r="A447" s="35"/>
      <c r="B447" s="1" t="s">
        <v>641</v>
      </c>
      <c r="H447" s="7" t="s">
        <v>744</v>
      </c>
      <c r="I447" s="42">
        <f>$I$395/SUM($I$395:$I$396)*(I430+I432)</f>
        <v>465.16109486119672</v>
      </c>
      <c r="J447" s="5" t="s">
        <v>115</v>
      </c>
    </row>
    <row r="448" spans="1:10" ht="19.5" customHeight="1" x14ac:dyDescent="0.25">
      <c r="A448" s="35"/>
      <c r="B448" s="1" t="s">
        <v>642</v>
      </c>
      <c r="H448" s="7" t="s">
        <v>745</v>
      </c>
      <c r="I448" s="42">
        <f>$I$395/SUM($I$395:$I$396)*(I444+I446)</f>
        <v>930.32218972239343</v>
      </c>
      <c r="J448" s="5" t="s">
        <v>145</v>
      </c>
    </row>
    <row r="451" spans="2:10" ht="18.75" customHeight="1" x14ac:dyDescent="0.25">
      <c r="B451" s="9" t="s">
        <v>629</v>
      </c>
    </row>
    <row r="464" spans="2:10" ht="18.75" customHeight="1" x14ac:dyDescent="0.25">
      <c r="B464" s="8" t="s">
        <v>160</v>
      </c>
      <c r="H464" s="7" t="s">
        <v>630</v>
      </c>
      <c r="I464" s="4">
        <f>I313</f>
        <v>0.50821855546797046</v>
      </c>
      <c r="J464" s="5"/>
    </row>
    <row r="465" spans="1:10" ht="18.75" customHeight="1" x14ac:dyDescent="0.25">
      <c r="B465" s="8" t="s">
        <v>162</v>
      </c>
      <c r="H465" s="50" t="s">
        <v>163</v>
      </c>
      <c r="I465" s="4">
        <f>I314</f>
        <v>0.13231056073978387</v>
      </c>
      <c r="J465" s="5"/>
    </row>
    <row r="466" spans="1:10" ht="18.75" customHeight="1" x14ac:dyDescent="0.25">
      <c r="B466" s="8" t="s">
        <v>639</v>
      </c>
      <c r="H466" s="7" t="s">
        <v>688</v>
      </c>
      <c r="I466" s="4">
        <f>I425*'Input (1)'!C43*I465</f>
        <v>1.7068062335432117</v>
      </c>
      <c r="J466" s="5" t="s">
        <v>168</v>
      </c>
    </row>
    <row r="467" spans="1:10" ht="18.75" customHeight="1" x14ac:dyDescent="0.25">
      <c r="B467" s="8"/>
      <c r="H467" s="7" t="s">
        <v>638</v>
      </c>
      <c r="I467" s="4">
        <f>I425*I427*I465</f>
        <v>15.315741268994421</v>
      </c>
      <c r="J467" s="5" t="s">
        <v>168</v>
      </c>
    </row>
    <row r="468" spans="1:10" ht="18.75" customHeight="1" x14ac:dyDescent="0.25">
      <c r="B468" s="1" t="s">
        <v>641</v>
      </c>
      <c r="H468" s="7" t="s">
        <v>746</v>
      </c>
      <c r="I468" s="42">
        <f>I427*I466*I410</f>
        <v>44.774647924539067</v>
      </c>
      <c r="J468" s="5" t="s">
        <v>115</v>
      </c>
    </row>
    <row r="469" spans="1:10" ht="18.75" customHeight="1" x14ac:dyDescent="0.25">
      <c r="H469" s="7" t="s">
        <v>747</v>
      </c>
      <c r="I469" s="42">
        <f>0.5*I427*I467*I410</f>
        <v>200.8889203547653</v>
      </c>
      <c r="J469" s="5" t="s">
        <v>115</v>
      </c>
    </row>
    <row r="470" spans="1:10" ht="18.75" customHeight="1" x14ac:dyDescent="0.25">
      <c r="B470" s="9" t="s">
        <v>684</v>
      </c>
    </row>
    <row r="471" spans="1:10" ht="19.5" customHeight="1" x14ac:dyDescent="0.25">
      <c r="A471" s="35"/>
      <c r="B471" s="8" t="s">
        <v>121</v>
      </c>
      <c r="H471" s="51" t="s">
        <v>633</v>
      </c>
      <c r="I471" s="42">
        <f>I435</f>
        <v>3.3650000000000002</v>
      </c>
      <c r="J471" s="5" t="s">
        <v>0</v>
      </c>
    </row>
    <row r="472" spans="1:10" ht="19.5" customHeight="1" x14ac:dyDescent="0.25">
      <c r="A472" s="35"/>
      <c r="B472" s="8" t="s">
        <v>122</v>
      </c>
      <c r="H472" s="49" t="s">
        <v>123</v>
      </c>
      <c r="I472" s="42">
        <f>I468*I471</f>
        <v>150.66669026607397</v>
      </c>
      <c r="J472" s="5" t="s">
        <v>124</v>
      </c>
    </row>
    <row r="473" spans="1:10" ht="19.5" customHeight="1" x14ac:dyDescent="0.25">
      <c r="A473" s="35"/>
      <c r="B473" s="8" t="s">
        <v>137</v>
      </c>
      <c r="H473" s="51" t="s">
        <v>636</v>
      </c>
      <c r="I473" s="42">
        <f>I437</f>
        <v>2.2433333333333332</v>
      </c>
      <c r="J473" s="5" t="s">
        <v>0</v>
      </c>
    </row>
    <row r="474" spans="1:10" ht="19.5" customHeight="1" x14ac:dyDescent="0.25">
      <c r="A474" s="35"/>
      <c r="B474" s="8" t="s">
        <v>138</v>
      </c>
      <c r="H474" s="51" t="s">
        <v>142</v>
      </c>
      <c r="I474" s="42">
        <f>I469*I473</f>
        <v>450.66081132919015</v>
      </c>
      <c r="J474" s="5" t="s">
        <v>124</v>
      </c>
    </row>
    <row r="475" spans="1:10" ht="19.5" customHeight="1" x14ac:dyDescent="0.25">
      <c r="A475" s="35"/>
      <c r="B475" s="1" t="s">
        <v>641</v>
      </c>
      <c r="H475" s="7" t="s">
        <v>748</v>
      </c>
      <c r="I475" s="42">
        <f>$I$396/SUM($I$395:$I$396)*(I466+I468)</f>
        <v>14.331383604753013</v>
      </c>
      <c r="J475" s="5" t="s">
        <v>115</v>
      </c>
    </row>
    <row r="476" spans="1:10" ht="19.5" customHeight="1" x14ac:dyDescent="0.25">
      <c r="A476" s="35"/>
      <c r="B476" s="1" t="s">
        <v>642</v>
      </c>
      <c r="H476" s="7" t="s">
        <v>749</v>
      </c>
      <c r="I476" s="42">
        <f>$I$396/SUM($I$395:$I$396)*(I472+I474)</f>
        <v>185.40416287623765</v>
      </c>
      <c r="J476" s="5" t="s">
        <v>145</v>
      </c>
    </row>
    <row r="478" spans="1:10" ht="18.75" customHeight="1" x14ac:dyDescent="0.25">
      <c r="B478" s="9" t="s">
        <v>685</v>
      </c>
    </row>
    <row r="479" spans="1:10" ht="19.5" customHeight="1" x14ac:dyDescent="0.25">
      <c r="A479" s="35"/>
      <c r="B479" s="8" t="s">
        <v>121</v>
      </c>
      <c r="H479" s="51" t="s">
        <v>686</v>
      </c>
      <c r="I479" s="42">
        <f>I443</f>
        <v>2</v>
      </c>
      <c r="J479" s="5" t="s">
        <v>0</v>
      </c>
    </row>
    <row r="480" spans="1:10" ht="19.5" customHeight="1" x14ac:dyDescent="0.25">
      <c r="A480" s="35"/>
      <c r="B480" s="8" t="s">
        <v>122</v>
      </c>
      <c r="H480" s="49" t="s">
        <v>123</v>
      </c>
      <c r="I480" s="42">
        <f>I468*I479</f>
        <v>89.549295849078135</v>
      </c>
      <c r="J480" s="5" t="s">
        <v>124</v>
      </c>
    </row>
    <row r="481" spans="1:10" ht="19.5" customHeight="1" x14ac:dyDescent="0.25">
      <c r="A481" s="35"/>
      <c r="B481" s="8" t="s">
        <v>137</v>
      </c>
      <c r="H481" s="51" t="s">
        <v>687</v>
      </c>
      <c r="I481" s="42">
        <f>I479</f>
        <v>2</v>
      </c>
      <c r="J481" s="5" t="s">
        <v>0</v>
      </c>
    </row>
    <row r="482" spans="1:10" ht="19.5" customHeight="1" x14ac:dyDescent="0.25">
      <c r="A482" s="35"/>
      <c r="B482" s="8" t="s">
        <v>138</v>
      </c>
      <c r="H482" s="51" t="s">
        <v>142</v>
      </c>
      <c r="I482" s="42">
        <f>I469*I481</f>
        <v>401.77784070953061</v>
      </c>
      <c r="J482" s="5" t="s">
        <v>124</v>
      </c>
    </row>
    <row r="483" spans="1:10" ht="19.5" customHeight="1" x14ac:dyDescent="0.25">
      <c r="A483" s="35"/>
      <c r="B483" s="1" t="s">
        <v>641</v>
      </c>
      <c r="H483" s="7" t="s">
        <v>750</v>
      </c>
      <c r="I483" s="42">
        <f>$I$395/SUM($I$395:$I$396)*(I466+I468)</f>
        <v>32.150070553329265</v>
      </c>
      <c r="J483" s="5" t="s">
        <v>115</v>
      </c>
    </row>
    <row r="484" spans="1:10" ht="19.5" customHeight="1" x14ac:dyDescent="0.25">
      <c r="A484" s="35"/>
      <c r="B484" s="1" t="s">
        <v>642</v>
      </c>
      <c r="H484" s="7" t="s">
        <v>751</v>
      </c>
      <c r="I484" s="42">
        <f>$I$395/SUM($I$395:$I$396)*(I480+I482)</f>
        <v>339.83881079541999</v>
      </c>
      <c r="J484" s="5" t="s">
        <v>145</v>
      </c>
    </row>
    <row r="485" spans="1:10" ht="18.75" customHeight="1" x14ac:dyDescent="0.25">
      <c r="H485" s="7"/>
      <c r="I485" s="299"/>
      <c r="J485" s="5"/>
    </row>
    <row r="486" spans="1:10" ht="18.75" customHeight="1" x14ac:dyDescent="0.25">
      <c r="H486" s="7"/>
      <c r="I486" s="283"/>
      <c r="J486" s="5"/>
    </row>
    <row r="487" spans="1:10" ht="18.75" customHeight="1" x14ac:dyDescent="0.25">
      <c r="B487" s="9" t="s">
        <v>652</v>
      </c>
      <c r="H487" s="7"/>
      <c r="I487" s="283"/>
      <c r="J487" s="5"/>
    </row>
    <row r="488" spans="1:10" ht="18.75" customHeight="1" x14ac:dyDescent="0.25">
      <c r="H488" s="7"/>
      <c r="I488" s="283"/>
      <c r="J488" s="5"/>
    </row>
    <row r="489" spans="1:10" ht="18.75" customHeight="1" x14ac:dyDescent="0.25">
      <c r="H489" s="7"/>
      <c r="I489" s="283"/>
      <c r="J489" s="5"/>
    </row>
    <row r="490" spans="1:10" ht="18.75" customHeight="1" x14ac:dyDescent="0.25">
      <c r="H490" s="7"/>
      <c r="I490" s="283"/>
      <c r="J490" s="5"/>
    </row>
    <row r="491" spans="1:10" ht="18.75" customHeight="1" x14ac:dyDescent="0.25">
      <c r="H491" s="7"/>
      <c r="I491" s="283"/>
      <c r="J491" s="5"/>
    </row>
    <row r="492" spans="1:10" ht="18.75" customHeight="1" x14ac:dyDescent="0.25">
      <c r="H492" s="7"/>
      <c r="I492" s="283"/>
      <c r="J492" s="5"/>
    </row>
    <row r="493" spans="1:10" ht="18.75" customHeight="1" x14ac:dyDescent="0.25">
      <c r="H493" s="7"/>
      <c r="I493" s="283"/>
      <c r="J493" s="5"/>
    </row>
    <row r="494" spans="1:10" ht="18.75" customHeight="1" x14ac:dyDescent="0.25">
      <c r="H494" s="7"/>
      <c r="I494" s="283"/>
      <c r="J494" s="5"/>
    </row>
    <row r="500" spans="2:11" ht="18.75" customHeight="1" x14ac:dyDescent="0.25">
      <c r="B500" s="1" t="s">
        <v>732</v>
      </c>
      <c r="H500" s="7" t="s">
        <v>733</v>
      </c>
      <c r="I500" s="42">
        <f>'Input (1)'!C55</f>
        <v>0.5</v>
      </c>
      <c r="J500" s="5" t="s">
        <v>0</v>
      </c>
    </row>
    <row r="502" spans="2:11" ht="18.75" customHeight="1" x14ac:dyDescent="0.25">
      <c r="B502" s="609" t="s">
        <v>59</v>
      </c>
      <c r="C502" s="609" t="s">
        <v>64</v>
      </c>
      <c r="D502" s="609"/>
      <c r="E502" s="609"/>
      <c r="F502" s="609"/>
      <c r="G502" s="609" t="s">
        <v>653</v>
      </c>
      <c r="H502" s="608" t="s">
        <v>689</v>
      </c>
      <c r="I502" s="608"/>
      <c r="J502" s="608" t="s">
        <v>690</v>
      </c>
      <c r="K502" s="608"/>
    </row>
    <row r="503" spans="2:11" ht="18.75" customHeight="1" x14ac:dyDescent="0.25">
      <c r="B503" s="609"/>
      <c r="C503" s="609"/>
      <c r="D503" s="609"/>
      <c r="E503" s="609"/>
      <c r="F503" s="609"/>
      <c r="G503" s="609"/>
      <c r="H503" s="291" t="s">
        <v>67</v>
      </c>
      <c r="I503" s="291" t="s">
        <v>69</v>
      </c>
      <c r="J503" s="291" t="s">
        <v>67</v>
      </c>
      <c r="K503" s="291" t="s">
        <v>69</v>
      </c>
    </row>
    <row r="504" spans="2:11" ht="18.75" customHeight="1" x14ac:dyDescent="0.25">
      <c r="B504" s="609"/>
      <c r="C504" s="291" t="s">
        <v>60</v>
      </c>
      <c r="D504" s="291" t="s">
        <v>61</v>
      </c>
      <c r="E504" s="291" t="s">
        <v>62</v>
      </c>
      <c r="F504" s="291" t="s">
        <v>63</v>
      </c>
      <c r="G504" s="291" t="s">
        <v>66</v>
      </c>
      <c r="H504" s="291" t="s">
        <v>68</v>
      </c>
      <c r="I504" s="291" t="s">
        <v>70</v>
      </c>
      <c r="J504" s="291" t="s">
        <v>68</v>
      </c>
      <c r="K504" s="291" t="s">
        <v>70</v>
      </c>
    </row>
    <row r="505" spans="2:11" ht="18.75" customHeight="1" x14ac:dyDescent="0.25">
      <c r="B505" s="278" t="s">
        <v>72</v>
      </c>
      <c r="C505" s="276">
        <f>'Input (1)'!F54</f>
        <v>4</v>
      </c>
      <c r="D505" s="276">
        <f>'Input (1)'!C38</f>
        <v>0.9</v>
      </c>
      <c r="E505" s="275">
        <v>1</v>
      </c>
      <c r="F505" s="275">
        <v>1</v>
      </c>
      <c r="G505" s="281">
        <f t="shared" ref="G505:G512" si="21">$I$97/$I$98*C505*D505*E505*$I$15*$I$500</f>
        <v>16.2</v>
      </c>
      <c r="H505" s="277">
        <f>'Input (1)'!F48-0.5*D505</f>
        <v>7.03</v>
      </c>
      <c r="I505" s="281">
        <f>F505*G505*H505</f>
        <v>113.886</v>
      </c>
      <c r="J505" s="277">
        <f>0.5*C505</f>
        <v>2</v>
      </c>
      <c r="K505" s="281">
        <f>F505*G505*J505</f>
        <v>32.4</v>
      </c>
    </row>
    <row r="506" spans="2:11" ht="18.75" customHeight="1" x14ac:dyDescent="0.25">
      <c r="B506" s="278" t="s">
        <v>71</v>
      </c>
      <c r="C506" s="276">
        <f>'Input (1)'!F54-('Input (1)'!F39-'Input (1)'!F38)</f>
        <v>3.8</v>
      </c>
      <c r="D506" s="276">
        <f>'Input (1)'!C39</f>
        <v>2.63</v>
      </c>
      <c r="E506" s="275">
        <v>1</v>
      </c>
      <c r="F506" s="275">
        <v>1</v>
      </c>
      <c r="G506" s="281">
        <f t="shared" si="21"/>
        <v>44.972999999999999</v>
      </c>
      <c r="H506" s="277">
        <f>0.5*D506+D507+D509+D510</f>
        <v>4.5150000000000006</v>
      </c>
      <c r="I506" s="281">
        <f t="shared" ref="I506:I508" si="22">F506*G506*H506</f>
        <v>203.05309500000001</v>
      </c>
      <c r="J506" s="277">
        <f>0.5*C506+('Input (1)'!F39-'Input (1)'!F38)</f>
        <v>2.1</v>
      </c>
      <c r="K506" s="281">
        <f t="shared" ref="K506:K512" si="23">F506*G506*J506</f>
        <v>94.443300000000008</v>
      </c>
    </row>
    <row r="507" spans="2:11" ht="18.75" customHeight="1" x14ac:dyDescent="0.25">
      <c r="B507" s="278" t="s">
        <v>73</v>
      </c>
      <c r="C507" s="276">
        <f>C506</f>
        <v>3.8</v>
      </c>
      <c r="D507" s="276">
        <f>'Input (1)'!C40</f>
        <v>0.6</v>
      </c>
      <c r="E507" s="275">
        <v>1</v>
      </c>
      <c r="F507" s="275">
        <v>1</v>
      </c>
      <c r="G507" s="281">
        <f t="shared" si="21"/>
        <v>10.259999999999998</v>
      </c>
      <c r="H507" s="277">
        <f>0.5*D507+D509+D510</f>
        <v>2.9000000000000004</v>
      </c>
      <c r="I507" s="281">
        <f t="shared" si="22"/>
        <v>29.753999999999998</v>
      </c>
      <c r="J507" s="277">
        <f>J506</f>
        <v>2.1</v>
      </c>
      <c r="K507" s="281">
        <f t="shared" si="23"/>
        <v>21.545999999999996</v>
      </c>
    </row>
    <row r="508" spans="2:11" ht="18.75" customHeight="1" x14ac:dyDescent="0.25">
      <c r="B508" s="278" t="s">
        <v>74</v>
      </c>
      <c r="C508" s="276">
        <f>'Input (1)'!F40</f>
        <v>0.6</v>
      </c>
      <c r="D508" s="276">
        <f>'Input (1)'!C40</f>
        <v>0.6</v>
      </c>
      <c r="E508" s="275">
        <v>0.5</v>
      </c>
      <c r="F508" s="275">
        <v>1</v>
      </c>
      <c r="G508" s="281">
        <f t="shared" si="21"/>
        <v>0.80999999999999994</v>
      </c>
      <c r="H508" s="277">
        <f>1/3*D508+D509+D510</f>
        <v>2.8000000000000007</v>
      </c>
      <c r="I508" s="281">
        <f t="shared" si="22"/>
        <v>2.2680000000000002</v>
      </c>
      <c r="J508" s="277">
        <f>2/3*C508</f>
        <v>0.39999999999999997</v>
      </c>
      <c r="K508" s="281">
        <f t="shared" si="23"/>
        <v>0.32399999999999995</v>
      </c>
    </row>
    <row r="509" spans="2:11" ht="18.75" customHeight="1" x14ac:dyDescent="0.25">
      <c r="B509" s="278" t="s">
        <v>75</v>
      </c>
      <c r="C509" s="276">
        <f>C506+C508</f>
        <v>4.3999999999999995</v>
      </c>
      <c r="D509" s="276">
        <f>'Input (1)'!C54-('Input (1)'!C40+'Input (1)'!C39+'Input (1)'!C38)</f>
        <v>1.87</v>
      </c>
      <c r="E509" s="275">
        <v>1</v>
      </c>
      <c r="F509" s="275">
        <v>1</v>
      </c>
      <c r="G509" s="281">
        <f t="shared" si="21"/>
        <v>37.025999999999996</v>
      </c>
      <c r="H509" s="277">
        <f>0.5*D509+D510</f>
        <v>1.6650000000000005</v>
      </c>
      <c r="I509" s="281">
        <f t="shared" ref="I509:I512" si="24">F509*G509*H509</f>
        <v>61.64829000000001</v>
      </c>
      <c r="J509" s="277">
        <f>0.5*C509</f>
        <v>2.1999999999999997</v>
      </c>
      <c r="K509" s="281">
        <f t="shared" si="23"/>
        <v>81.457199999999986</v>
      </c>
    </row>
    <row r="510" spans="2:11" ht="18.75" customHeight="1" x14ac:dyDescent="0.25">
      <c r="B510" s="278" t="s">
        <v>76</v>
      </c>
      <c r="C510" s="276">
        <f>C509-'Input (1)'!F43</f>
        <v>1.3999999999999995</v>
      </c>
      <c r="D510" s="276">
        <f>'Input (1)'!F48-'Input (1)'!C54-'Input (1)'!C43</f>
        <v>0.73000000000000043</v>
      </c>
      <c r="E510" s="275">
        <v>0.5</v>
      </c>
      <c r="F510" s="275">
        <v>1</v>
      </c>
      <c r="G510" s="281">
        <f t="shared" si="21"/>
        <v>2.2995000000000005</v>
      </c>
      <c r="H510" s="277">
        <f>2/3*D510</f>
        <v>0.48666666666666691</v>
      </c>
      <c r="I510" s="281">
        <f t="shared" si="24"/>
        <v>1.1190900000000008</v>
      </c>
      <c r="J510" s="277">
        <f>1/3*C510+C511</f>
        <v>3.4666666666666663</v>
      </c>
      <c r="K510" s="281">
        <f t="shared" si="23"/>
        <v>7.9716000000000014</v>
      </c>
    </row>
    <row r="511" spans="2:11" ht="18.75" customHeight="1" x14ac:dyDescent="0.25">
      <c r="B511" s="278" t="s">
        <v>77</v>
      </c>
      <c r="C511" s="276">
        <f>C509-C510</f>
        <v>3</v>
      </c>
      <c r="D511" s="276">
        <f>D510-'Input (1)'!C42</f>
        <v>0.23000000000000043</v>
      </c>
      <c r="E511" s="275">
        <v>1</v>
      </c>
      <c r="F511" s="275">
        <v>1</v>
      </c>
      <c r="G511" s="281">
        <f t="shared" si="21"/>
        <v>3.1050000000000062</v>
      </c>
      <c r="H511" s="277">
        <f>0.5*D511+D512</f>
        <v>0.61500000000000021</v>
      </c>
      <c r="I511" s="281">
        <f t="shared" si="24"/>
        <v>1.9095750000000045</v>
      </c>
      <c r="J511" s="277">
        <f>0.5*C511</f>
        <v>1.5</v>
      </c>
      <c r="K511" s="281">
        <f t="shared" si="23"/>
        <v>4.6575000000000095</v>
      </c>
    </row>
    <row r="512" spans="2:11" ht="18.75" customHeight="1" x14ac:dyDescent="0.25">
      <c r="B512" s="278" t="s">
        <v>78</v>
      </c>
      <c r="C512" s="276">
        <f>C511</f>
        <v>3</v>
      </c>
      <c r="D512" s="276">
        <f>'Input (1)'!C42</f>
        <v>0.5</v>
      </c>
      <c r="E512" s="275">
        <v>0.5</v>
      </c>
      <c r="F512" s="275">
        <v>1</v>
      </c>
      <c r="G512" s="281">
        <f t="shared" si="21"/>
        <v>3.375</v>
      </c>
      <c r="H512" s="277">
        <f>2/3*D512</f>
        <v>0.33333333333333331</v>
      </c>
      <c r="I512" s="281">
        <f t="shared" si="24"/>
        <v>1.125</v>
      </c>
      <c r="J512" s="277">
        <f>2/3*C512</f>
        <v>2</v>
      </c>
      <c r="K512" s="281">
        <f t="shared" si="23"/>
        <v>6.75</v>
      </c>
    </row>
    <row r="513" spans="1:11" ht="18.75" customHeight="1" x14ac:dyDescent="0.25">
      <c r="B513" s="608" t="s">
        <v>643</v>
      </c>
      <c r="C513" s="608"/>
      <c r="D513" s="608"/>
      <c r="E513" s="608"/>
      <c r="F513" s="608"/>
      <c r="G513" s="282">
        <f>SUM(G505:G512)</f>
        <v>118.04849999999999</v>
      </c>
      <c r="H513" s="280"/>
      <c r="I513" s="282">
        <f>SUM(I505:I512)</f>
        <v>414.76305000000008</v>
      </c>
      <c r="J513" s="280"/>
      <c r="K513" s="282">
        <f>SUM(K505:K512)</f>
        <v>249.5496</v>
      </c>
    </row>
    <row r="515" spans="1:11" ht="18.75" customHeight="1" x14ac:dyDescent="0.25">
      <c r="B515" s="9" t="s">
        <v>684</v>
      </c>
    </row>
    <row r="516" spans="1:11" ht="19.5" customHeight="1" x14ac:dyDescent="0.25">
      <c r="A516" s="35"/>
      <c r="B516" s="1" t="s">
        <v>641</v>
      </c>
      <c r="H516" s="7" t="s">
        <v>728</v>
      </c>
      <c r="I516" s="42">
        <f>$I$396/SUM($I$395:$I$396)*G513</f>
        <v>36.397276464542642</v>
      </c>
      <c r="J516" s="5" t="s">
        <v>115</v>
      </c>
    </row>
    <row r="517" spans="1:11" ht="19.5" customHeight="1" x14ac:dyDescent="0.25">
      <c r="A517" s="35"/>
      <c r="B517" s="1" t="s">
        <v>642</v>
      </c>
      <c r="H517" s="7" t="s">
        <v>729</v>
      </c>
      <c r="I517" s="42">
        <f>$I$396/SUM($I$395:$I$396)*I513</f>
        <v>127.8817214799589</v>
      </c>
      <c r="J517" s="5" t="s">
        <v>145</v>
      </c>
    </row>
    <row r="519" spans="1:11" ht="18.75" customHeight="1" x14ac:dyDescent="0.25">
      <c r="B519" s="9" t="s">
        <v>685</v>
      </c>
    </row>
    <row r="520" spans="1:11" ht="19.5" customHeight="1" x14ac:dyDescent="0.25">
      <c r="A520" s="35"/>
      <c r="B520" s="1" t="s">
        <v>641</v>
      </c>
      <c r="H520" s="7" t="s">
        <v>730</v>
      </c>
      <c r="I520" s="42">
        <f>$I$395/SUM($I$395:$I$396)*G513</f>
        <v>81.651223535457333</v>
      </c>
      <c r="J520" s="5" t="s">
        <v>115</v>
      </c>
    </row>
    <row r="521" spans="1:11" ht="19.5" customHeight="1" x14ac:dyDescent="0.25">
      <c r="A521" s="35"/>
      <c r="B521" s="1" t="s">
        <v>642</v>
      </c>
      <c r="H521" s="7" t="s">
        <v>731</v>
      </c>
      <c r="I521" s="42">
        <f>$I$395/SUM($I$395:$I$396)*K513</f>
        <v>172.60727728674203</v>
      </c>
      <c r="J521" s="5" t="s">
        <v>145</v>
      </c>
    </row>
    <row r="524" spans="1:11" ht="18.75" customHeight="1" x14ac:dyDescent="0.25">
      <c r="B524" s="9" t="s">
        <v>655</v>
      </c>
    </row>
    <row r="525" spans="1:11" ht="18.75" customHeight="1" x14ac:dyDescent="0.25">
      <c r="B525" s="578" t="s">
        <v>59</v>
      </c>
      <c r="C525" s="578" t="s">
        <v>184</v>
      </c>
      <c r="D525" s="578"/>
      <c r="E525" s="578"/>
      <c r="F525" s="578"/>
      <c r="G525" s="578"/>
      <c r="H525" s="578"/>
      <c r="I525" s="578"/>
    </row>
    <row r="526" spans="1:11" ht="18.75" customHeight="1" x14ac:dyDescent="0.25">
      <c r="B526" s="578"/>
      <c r="C526" s="578"/>
      <c r="D526" s="578"/>
      <c r="E526" s="290" t="s">
        <v>223</v>
      </c>
      <c r="F526" s="290" t="s">
        <v>692</v>
      </c>
      <c r="G526" s="290" t="s">
        <v>691</v>
      </c>
      <c r="H526" s="290" t="s">
        <v>693</v>
      </c>
      <c r="I526" s="290" t="s">
        <v>694</v>
      </c>
    </row>
    <row r="527" spans="1:11" ht="18.75" customHeight="1" x14ac:dyDescent="0.25">
      <c r="B527" s="56">
        <v>2</v>
      </c>
      <c r="C527" s="618" t="s">
        <v>215</v>
      </c>
      <c r="D527" s="618"/>
      <c r="E527" s="284"/>
      <c r="F527" s="284">
        <f>I439+I475+0.3*I516</f>
        <v>232.6032091271158</v>
      </c>
      <c r="G527" s="284">
        <f>I440+I476+0.3*I517</f>
        <v>724.12481288466506</v>
      </c>
      <c r="H527" s="284">
        <f>I447+I483+0.3*I520</f>
        <v>521.80653247516318</v>
      </c>
      <c r="I527" s="284">
        <f>I448+I484+0.3*I521</f>
        <v>1321.943183703836</v>
      </c>
    </row>
    <row r="528" spans="1:11" ht="18.75" customHeight="1" x14ac:dyDescent="0.25">
      <c r="B528" s="56">
        <v>4</v>
      </c>
      <c r="C528" s="618" t="s">
        <v>217</v>
      </c>
      <c r="D528" s="618"/>
      <c r="E528" s="284"/>
      <c r="F528" s="284">
        <f>1.25*I439</f>
        <v>259.19080322874999</v>
      </c>
      <c r="G528" s="284">
        <f>1.25*I440</f>
        <v>625.44516695554967</v>
      </c>
      <c r="H528" s="284">
        <f>1.25*I447</f>
        <v>581.45136857649595</v>
      </c>
      <c r="I528" s="284">
        <f>1.25*I448</f>
        <v>1162.9027371529919</v>
      </c>
    </row>
    <row r="529" spans="1:17" ht="18.75" customHeight="1" x14ac:dyDescent="0.25">
      <c r="B529" s="56">
        <v>5</v>
      </c>
      <c r="C529" s="618" t="s">
        <v>218</v>
      </c>
      <c r="D529" s="618"/>
      <c r="E529" s="284"/>
      <c r="F529" s="284">
        <f>F528</f>
        <v>259.19080322874999</v>
      </c>
      <c r="G529" s="284">
        <f>G528</f>
        <v>625.44516695554967</v>
      </c>
      <c r="H529" s="284">
        <f>H528</f>
        <v>581.45136857649595</v>
      </c>
      <c r="I529" s="284">
        <f>I528</f>
        <v>1162.9027371529919</v>
      </c>
    </row>
    <row r="530" spans="1:17" ht="18.75" customHeight="1" x14ac:dyDescent="0.25">
      <c r="B530" s="56">
        <v>6</v>
      </c>
      <c r="C530" s="618" t="s">
        <v>219</v>
      </c>
      <c r="D530" s="618"/>
      <c r="E530" s="284"/>
      <c r="F530" s="284">
        <f t="shared" ref="F530:G530" si="25">F529</f>
        <v>259.19080322874999</v>
      </c>
      <c r="G530" s="284">
        <f t="shared" si="25"/>
        <v>625.44516695554967</v>
      </c>
      <c r="H530" s="284">
        <f t="shared" ref="H530:I530" si="26">H529</f>
        <v>581.45136857649595</v>
      </c>
      <c r="I530" s="284">
        <f t="shared" si="26"/>
        <v>1162.9027371529919</v>
      </c>
      <c r="M530" s="304"/>
      <c r="N530" s="304"/>
      <c r="O530" s="304"/>
      <c r="P530" s="304"/>
      <c r="Q530" s="304"/>
    </row>
    <row r="531" spans="1:17" ht="18.75" customHeight="1" x14ac:dyDescent="0.25">
      <c r="B531" s="56">
        <v>7</v>
      </c>
      <c r="C531" s="618" t="s">
        <v>220</v>
      </c>
      <c r="D531" s="618"/>
      <c r="E531" s="284"/>
      <c r="F531" s="284">
        <f t="shared" ref="F531:G531" si="27">F530</f>
        <v>259.19080322874999</v>
      </c>
      <c r="G531" s="284">
        <f t="shared" si="27"/>
        <v>625.44516695554967</v>
      </c>
      <c r="H531" s="284">
        <f t="shared" ref="H531:I531" si="28">H530</f>
        <v>581.45136857649595</v>
      </c>
      <c r="I531" s="284">
        <f t="shared" si="28"/>
        <v>1162.9027371529919</v>
      </c>
    </row>
    <row r="532" spans="1:17" ht="18.75" customHeight="1" x14ac:dyDescent="0.25">
      <c r="B532" s="56">
        <v>8</v>
      </c>
      <c r="C532" s="618" t="s">
        <v>221</v>
      </c>
      <c r="D532" s="618"/>
      <c r="E532" s="284"/>
      <c r="F532" s="284">
        <f t="shared" ref="F532:G532" si="29">F531</f>
        <v>259.19080322874999</v>
      </c>
      <c r="G532" s="284">
        <f t="shared" si="29"/>
        <v>625.44516695554967</v>
      </c>
      <c r="H532" s="284">
        <f t="shared" ref="H532:I532" si="30">H531</f>
        <v>581.45136857649595</v>
      </c>
      <c r="I532" s="284">
        <f t="shared" si="30"/>
        <v>1162.9027371529919</v>
      </c>
    </row>
    <row r="533" spans="1:17" s="304" customFormat="1" ht="18.75" customHeight="1" x14ac:dyDescent="0.25">
      <c r="A533" s="301"/>
      <c r="B533" s="302"/>
      <c r="C533" s="303"/>
      <c r="D533" s="303"/>
      <c r="E533" s="300"/>
      <c r="F533" s="300"/>
      <c r="G533" s="300"/>
      <c r="H533" s="300"/>
      <c r="I533" s="300"/>
      <c r="M533" s="1"/>
      <c r="N533" s="1"/>
      <c r="O533" s="1"/>
      <c r="P533" s="1"/>
      <c r="Q533" s="1"/>
    </row>
    <row r="534" spans="1:17" ht="18.75" customHeight="1" x14ac:dyDescent="0.25">
      <c r="B534" s="9" t="s">
        <v>684</v>
      </c>
    </row>
    <row r="535" spans="1:17" ht="18.75" customHeight="1" x14ac:dyDescent="0.25">
      <c r="B535" s="1" t="s">
        <v>676</v>
      </c>
      <c r="H535" s="7" t="s">
        <v>695</v>
      </c>
      <c r="I535" s="36">
        <f>MAX(F527:F532)</f>
        <v>259.19080322874999</v>
      </c>
      <c r="J535" s="5" t="s">
        <v>115</v>
      </c>
    </row>
    <row r="536" spans="1:17" ht="18.75" customHeight="1" x14ac:dyDescent="0.25">
      <c r="B536" s="1" t="s">
        <v>677</v>
      </c>
      <c r="H536" s="7" t="s">
        <v>696</v>
      </c>
      <c r="I536" s="36">
        <f>MAX(G527:G532)</f>
        <v>724.12481288466506</v>
      </c>
      <c r="J536" s="5" t="s">
        <v>145</v>
      </c>
    </row>
    <row r="538" spans="1:17" ht="18.75" customHeight="1" x14ac:dyDescent="0.25">
      <c r="B538" s="9" t="s">
        <v>684</v>
      </c>
    </row>
    <row r="539" spans="1:17" ht="18.75" customHeight="1" x14ac:dyDescent="0.25">
      <c r="B539" s="1" t="s">
        <v>676</v>
      </c>
      <c r="H539" s="7" t="s">
        <v>698</v>
      </c>
      <c r="I539" s="36">
        <f>MAX(H527:H532)</f>
        <v>581.45136857649595</v>
      </c>
      <c r="J539" s="5" t="s">
        <v>115</v>
      </c>
    </row>
    <row r="540" spans="1:17" ht="18.75" customHeight="1" x14ac:dyDescent="0.25">
      <c r="B540" s="1" t="s">
        <v>677</v>
      </c>
      <c r="H540" s="7" t="s">
        <v>697</v>
      </c>
      <c r="I540" s="36">
        <f>MAX(I527:I532)</f>
        <v>1321.943183703836</v>
      </c>
      <c r="J540" s="5" t="s">
        <v>145</v>
      </c>
    </row>
  </sheetData>
  <mergeCells count="50">
    <mergeCell ref="B408:E408"/>
    <mergeCell ref="C398:F398"/>
    <mergeCell ref="B398:B399"/>
    <mergeCell ref="C532:D532"/>
    <mergeCell ref="C527:D527"/>
    <mergeCell ref="C528:D528"/>
    <mergeCell ref="C529:D529"/>
    <mergeCell ref="C530:D530"/>
    <mergeCell ref="C531:D531"/>
    <mergeCell ref="B525:B526"/>
    <mergeCell ref="E525:I525"/>
    <mergeCell ref="C525:D526"/>
    <mergeCell ref="B513:F513"/>
    <mergeCell ref="H502:I502"/>
    <mergeCell ref="J502:K502"/>
    <mergeCell ref="G502:G503"/>
    <mergeCell ref="C502:F503"/>
    <mergeCell ref="B502:B504"/>
    <mergeCell ref="B18:B19"/>
    <mergeCell ref="C18:F18"/>
    <mergeCell ref="B27:F27"/>
    <mergeCell ref="B101:B102"/>
    <mergeCell ref="C101:F101"/>
    <mergeCell ref="B155:F155"/>
    <mergeCell ref="B110:F110"/>
    <mergeCell ref="B226:B227"/>
    <mergeCell ref="C226:F226"/>
    <mergeCell ref="B230:F230"/>
    <mergeCell ref="B236:B237"/>
    <mergeCell ref="C236:C237"/>
    <mergeCell ref="M99:M100"/>
    <mergeCell ref="N99:N100"/>
    <mergeCell ref="O99:Q99"/>
    <mergeCell ref="N101:Q101"/>
    <mergeCell ref="N112:Q112"/>
    <mergeCell ref="M120:M121"/>
    <mergeCell ref="N120:N121"/>
    <mergeCell ref="O120:Q120"/>
    <mergeCell ref="B151:B152"/>
    <mergeCell ref="C151:F151"/>
    <mergeCell ref="D236:F236"/>
    <mergeCell ref="B342:F342"/>
    <mergeCell ref="B348:B349"/>
    <mergeCell ref="C348:C349"/>
    <mergeCell ref="D348:F348"/>
    <mergeCell ref="B263:B264"/>
    <mergeCell ref="C263:F263"/>
    <mergeCell ref="B267:F267"/>
    <mergeCell ref="B338:B339"/>
    <mergeCell ref="C338:F338"/>
  </mergeCells>
  <pageMargins left="0.7" right="0.7" top="0.75" bottom="0.75" header="0.3" footer="0.3"/>
  <pageSetup orientation="portrait" r:id="rId1"/>
  <ignoredErrors>
    <ignoredError sqref="I173 I285 I437 I445 I472:I474 I481 I506:I509 H510 I510:I512 H511:H512 J510:J512 I477:I479" formula="1"/>
    <ignoredError sqref="P122 Q122 P123:P127 Q123:Q127 Q113 E238" evalErro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4224A-04AB-4D7F-8248-EA9532950A5D}">
  <sheetPr>
    <tabColor theme="7" tint="0.79998168889431442"/>
  </sheetPr>
  <dimension ref="A1:O490"/>
  <sheetViews>
    <sheetView showGridLines="0" workbookViewId="0"/>
  </sheetViews>
  <sheetFormatPr defaultRowHeight="18.75" customHeight="1" x14ac:dyDescent="0.25"/>
  <cols>
    <col min="1" max="1" width="6.7109375" style="254" customWidth="1"/>
    <col min="2" max="9" width="13.5703125" customWidth="1"/>
  </cols>
  <sheetData>
    <row r="1" spans="1:15" ht="18.75" customHeight="1" x14ac:dyDescent="0.25">
      <c r="A1" s="159" t="s">
        <v>474</v>
      </c>
      <c r="B1" s="619" t="s">
        <v>475</v>
      </c>
      <c r="C1" s="619"/>
      <c r="D1" s="619"/>
      <c r="E1" s="619"/>
      <c r="F1" s="619"/>
      <c r="G1" s="292" t="s">
        <v>476</v>
      </c>
      <c r="H1" s="292" t="s">
        <v>477</v>
      </c>
      <c r="I1" s="292" t="s">
        <v>478</v>
      </c>
    </row>
    <row r="2" spans="1:15" s="1" customFormat="1" ht="18.75" customHeight="1" x14ac:dyDescent="0.25">
      <c r="A2" s="161" t="s">
        <v>847</v>
      </c>
      <c r="B2" s="199" t="s">
        <v>701</v>
      </c>
      <c r="C2" s="200"/>
      <c r="D2" s="200"/>
      <c r="E2" s="200"/>
      <c r="F2" s="200"/>
      <c r="G2" s="200"/>
      <c r="H2" s="200"/>
      <c r="I2" s="205"/>
    </row>
    <row r="3" spans="1:15" s="1" customFormat="1" ht="18.75" customHeight="1" x14ac:dyDescent="0.25">
      <c r="A3" s="165"/>
      <c r="B3" s="206" t="s">
        <v>704</v>
      </c>
      <c r="C3" s="207"/>
      <c r="D3" s="207"/>
      <c r="E3" s="207"/>
      <c r="F3" s="207"/>
      <c r="G3" s="207"/>
      <c r="H3" s="207"/>
      <c r="I3" s="208"/>
    </row>
    <row r="4" spans="1:15" s="1" customFormat="1" ht="18.75" customHeight="1" x14ac:dyDescent="0.25">
      <c r="A4" s="168"/>
      <c r="B4" s="2" t="s">
        <v>539</v>
      </c>
      <c r="C4" s="2"/>
      <c r="D4" s="2"/>
      <c r="E4" s="2"/>
      <c r="F4" s="2"/>
      <c r="G4" s="3" t="s">
        <v>702</v>
      </c>
      <c r="H4" s="170">
        <f>'Process (3)'!I134</f>
        <v>24689.398702802995</v>
      </c>
      <c r="I4" s="171" t="s">
        <v>417</v>
      </c>
    </row>
    <row r="5" spans="1:15" s="1" customFormat="1" ht="18.75" customHeight="1" x14ac:dyDescent="0.25">
      <c r="A5" s="168"/>
      <c r="B5" s="2" t="s">
        <v>541</v>
      </c>
      <c r="C5" s="2"/>
      <c r="D5" s="2"/>
      <c r="G5" s="3" t="s">
        <v>243</v>
      </c>
      <c r="H5" s="67">
        <f>'Input (1)'!$I$58*1000</f>
        <v>17300</v>
      </c>
      <c r="I5" s="171" t="s">
        <v>49</v>
      </c>
    </row>
    <row r="6" spans="1:15" s="1" customFormat="1" ht="18.75" customHeight="1" x14ac:dyDescent="0.25">
      <c r="A6" s="168"/>
      <c r="B6" s="2" t="s">
        <v>253</v>
      </c>
      <c r="C6" s="2"/>
      <c r="D6" s="2"/>
      <c r="G6" s="3" t="s">
        <v>703</v>
      </c>
      <c r="H6" s="67">
        <f>'Input (1)'!F42*1000</f>
        <v>1000</v>
      </c>
      <c r="I6" s="171" t="s">
        <v>49</v>
      </c>
    </row>
    <row r="7" spans="1:15" s="1" customFormat="1" ht="18.75" customHeight="1" x14ac:dyDescent="0.25">
      <c r="A7" s="168"/>
      <c r="B7" s="2" t="s">
        <v>542</v>
      </c>
      <c r="C7" s="2"/>
      <c r="D7" s="2"/>
      <c r="G7" s="3" t="s">
        <v>482</v>
      </c>
      <c r="H7" s="209">
        <f>'Input (1)'!$I$74+'Input (1)'!$I$11+0.5*'Input (1)'!$I$10</f>
        <v>125.5</v>
      </c>
      <c r="I7" s="171" t="s">
        <v>49</v>
      </c>
    </row>
    <row r="8" spans="1:15" s="1" customFormat="1" ht="18.75" customHeight="1" x14ac:dyDescent="0.25">
      <c r="A8" s="168"/>
      <c r="B8" s="2" t="s">
        <v>543</v>
      </c>
      <c r="C8" s="2"/>
      <c r="D8" s="2"/>
      <c r="G8" s="3" t="s">
        <v>484</v>
      </c>
      <c r="H8" s="209">
        <f>H6-H7</f>
        <v>874.5</v>
      </c>
      <c r="I8" s="171" t="s">
        <v>49</v>
      </c>
    </row>
    <row r="9" spans="1:15" s="1" customFormat="1" ht="18.75" customHeight="1" x14ac:dyDescent="0.25">
      <c r="A9" s="168"/>
      <c r="B9" s="2" t="s">
        <v>544</v>
      </c>
      <c r="C9" s="2"/>
      <c r="D9" s="2"/>
      <c r="G9" s="219" t="s">
        <v>545</v>
      </c>
      <c r="H9" s="209">
        <f>'Input (1)'!$I$3</f>
        <v>30</v>
      </c>
      <c r="I9" s="171" t="s">
        <v>7</v>
      </c>
    </row>
    <row r="10" spans="1:15" s="1" customFormat="1" ht="18.75" customHeight="1" x14ac:dyDescent="0.25">
      <c r="A10" s="168"/>
      <c r="B10" s="2" t="s">
        <v>546</v>
      </c>
      <c r="C10" s="2"/>
      <c r="D10" s="2"/>
      <c r="G10" s="3" t="s">
        <v>447</v>
      </c>
      <c r="H10" s="209">
        <f>'Input (1)'!$I$4</f>
        <v>400</v>
      </c>
      <c r="I10" s="171" t="s">
        <v>7</v>
      </c>
    </row>
    <row r="11" spans="1:15" s="1" customFormat="1" ht="18.75" customHeight="1" x14ac:dyDescent="0.25">
      <c r="A11" s="168"/>
      <c r="B11" s="220" t="s">
        <v>9</v>
      </c>
      <c r="C11" s="2"/>
      <c r="D11" s="2"/>
      <c r="G11" s="3" t="s">
        <v>547</v>
      </c>
      <c r="H11" s="221">
        <v>200000</v>
      </c>
      <c r="I11" s="171" t="s">
        <v>7</v>
      </c>
    </row>
    <row r="12" spans="1:15" s="12" customFormat="1" ht="18.75" customHeight="1" x14ac:dyDescent="0.25">
      <c r="A12" s="222"/>
      <c r="B12" s="12" t="s">
        <v>548</v>
      </c>
      <c r="G12" s="31" t="s">
        <v>549</v>
      </c>
      <c r="H12" s="153" t="str">
        <f>IF(H9&gt;=17,IF(H9&lt;=28,0.85,"-"),"-")</f>
        <v>-</v>
      </c>
      <c r="I12" s="223"/>
      <c r="J12" s="33"/>
      <c r="K12" s="33"/>
      <c r="L12" s="33"/>
      <c r="M12" s="33"/>
      <c r="N12" s="33"/>
      <c r="O12" s="33"/>
    </row>
    <row r="13" spans="1:15" s="12" customFormat="1" ht="18.75" customHeight="1" x14ac:dyDescent="0.25">
      <c r="A13" s="222"/>
      <c r="B13" s="12" t="s">
        <v>550</v>
      </c>
      <c r="G13" s="31" t="s">
        <v>551</v>
      </c>
      <c r="H13" s="154">
        <f>IF(H9&gt;28,IF(H9&lt;55,0.85-0.05*(H9-28)/7,"-"),"-")</f>
        <v>0.83571428571428574</v>
      </c>
      <c r="I13" s="223"/>
      <c r="J13" s="33"/>
      <c r="K13" s="33"/>
      <c r="L13" s="33"/>
      <c r="M13" s="33"/>
      <c r="N13" s="33"/>
      <c r="O13" s="33"/>
    </row>
    <row r="14" spans="1:15" s="12" customFormat="1" ht="18.75" customHeight="1" x14ac:dyDescent="0.25">
      <c r="A14" s="222"/>
      <c r="B14" s="12" t="s">
        <v>552</v>
      </c>
      <c r="G14" s="31" t="s">
        <v>549</v>
      </c>
      <c r="H14" s="154" t="str">
        <f>IF(H9&gt;=55,0.65,"-")</f>
        <v>-</v>
      </c>
      <c r="I14" s="223"/>
      <c r="J14" s="33"/>
      <c r="K14" s="33"/>
      <c r="L14" s="33"/>
      <c r="M14" s="33"/>
      <c r="N14" s="33"/>
      <c r="O14" s="33"/>
    </row>
    <row r="15" spans="1:15" s="12" customFormat="1" ht="18.75" customHeight="1" x14ac:dyDescent="0.25">
      <c r="A15" s="222"/>
      <c r="B15" s="12" t="s">
        <v>427</v>
      </c>
      <c r="F15" s="29" t="s">
        <v>338</v>
      </c>
      <c r="G15" s="31" t="s">
        <v>549</v>
      </c>
      <c r="H15" s="154">
        <f>MAX(H12:H14)</f>
        <v>0.83571428571428574</v>
      </c>
      <c r="I15" s="223"/>
      <c r="J15" s="33"/>
      <c r="K15" s="33"/>
      <c r="L15" s="33"/>
      <c r="M15" s="33"/>
      <c r="N15" s="33"/>
      <c r="O15" s="33"/>
    </row>
    <row r="16" spans="1:15" s="12" customFormat="1" ht="18.75" customHeight="1" x14ac:dyDescent="0.25">
      <c r="A16" s="222"/>
      <c r="B16" s="12" t="s">
        <v>428</v>
      </c>
      <c r="F16" s="29"/>
      <c r="G16" s="31"/>
      <c r="H16" s="28"/>
      <c r="I16" s="223"/>
      <c r="J16" s="33"/>
      <c r="K16" s="33"/>
      <c r="L16" s="33"/>
      <c r="M16" s="33"/>
      <c r="N16" s="33"/>
      <c r="O16" s="33"/>
    </row>
    <row r="17" spans="1:15" s="12" customFormat="1" ht="18.75" customHeight="1" x14ac:dyDescent="0.25">
      <c r="A17" s="222"/>
      <c r="C17" s="147"/>
      <c r="G17" s="31" t="s">
        <v>429</v>
      </c>
      <c r="H17" s="224">
        <f>H15*0.85*H9/H10*(600/(600+H10))</f>
        <v>3.1966071428571427E-2</v>
      </c>
      <c r="I17" s="223"/>
      <c r="J17" s="33"/>
      <c r="K17" s="33"/>
      <c r="L17" s="33"/>
      <c r="M17" s="33"/>
      <c r="N17" s="33"/>
      <c r="O17" s="33"/>
    </row>
    <row r="18" spans="1:15" s="12" customFormat="1" ht="18.75" customHeight="1" x14ac:dyDescent="0.25">
      <c r="A18" s="222"/>
      <c r="B18" s="12" t="s">
        <v>430</v>
      </c>
      <c r="D18" s="148"/>
      <c r="E18" s="28"/>
      <c r="F18" s="146"/>
      <c r="G18" s="31" t="s">
        <v>431</v>
      </c>
      <c r="H18" s="224">
        <f>0.75*H17</f>
        <v>2.397455357142857E-2</v>
      </c>
      <c r="I18" s="223"/>
      <c r="J18" s="33"/>
      <c r="K18" s="33"/>
      <c r="L18" s="33"/>
      <c r="M18" s="33"/>
      <c r="N18" s="33"/>
      <c r="O18" s="33"/>
    </row>
    <row r="19" spans="1:15" s="12" customFormat="1" ht="18.75" customHeight="1" x14ac:dyDescent="0.25">
      <c r="A19" s="222"/>
      <c r="B19" s="12" t="s">
        <v>432</v>
      </c>
      <c r="E19" s="146"/>
      <c r="G19" s="3" t="s">
        <v>594</v>
      </c>
      <c r="H19" s="224">
        <v>2E-3</v>
      </c>
      <c r="I19" s="223"/>
      <c r="J19" s="33"/>
      <c r="K19" s="33"/>
      <c r="L19" s="33"/>
      <c r="M19" s="33"/>
      <c r="N19" s="33"/>
      <c r="O19" s="33"/>
    </row>
    <row r="20" spans="1:15" s="12" customFormat="1" ht="18.75" customHeight="1" x14ac:dyDescent="0.25">
      <c r="A20" s="222"/>
      <c r="G20" s="31"/>
      <c r="H20" s="225"/>
      <c r="I20" s="223"/>
      <c r="J20" s="33"/>
      <c r="K20" s="33"/>
      <c r="L20" s="33"/>
      <c r="M20" s="33"/>
      <c r="N20" s="33"/>
      <c r="O20" s="33"/>
    </row>
    <row r="21" spans="1:15" s="12" customFormat="1" ht="18.75" customHeight="1" x14ac:dyDescent="0.25">
      <c r="A21" s="222"/>
      <c r="B21" s="12" t="s">
        <v>553</v>
      </c>
      <c r="F21" s="31"/>
      <c r="G21" s="31" t="s">
        <v>554</v>
      </c>
      <c r="H21" s="155">
        <v>0.85</v>
      </c>
      <c r="I21" s="223"/>
      <c r="J21" s="33"/>
      <c r="K21" s="33"/>
      <c r="L21" s="33"/>
      <c r="M21" s="33"/>
      <c r="N21" s="33"/>
      <c r="O21" s="33"/>
    </row>
    <row r="22" spans="1:15" s="12" customFormat="1" ht="18.75" customHeight="1" x14ac:dyDescent="0.25">
      <c r="A22" s="222"/>
      <c r="B22" s="12" t="s">
        <v>555</v>
      </c>
      <c r="F22" s="31"/>
      <c r="G22" s="31" t="s">
        <v>556</v>
      </c>
      <c r="H22" s="154">
        <f>H4/H21</f>
        <v>29046.351415062349</v>
      </c>
      <c r="I22" s="223" t="s">
        <v>145</v>
      </c>
      <c r="J22" s="33"/>
      <c r="K22" s="33"/>
      <c r="L22" s="33"/>
      <c r="M22" s="33"/>
      <c r="N22" s="33"/>
      <c r="O22" s="33"/>
    </row>
    <row r="23" spans="1:15" s="12" customFormat="1" ht="18.75" customHeight="1" x14ac:dyDescent="0.25">
      <c r="A23" s="222"/>
      <c r="B23" s="12" t="s">
        <v>557</v>
      </c>
      <c r="C23" s="147"/>
      <c r="G23" s="226" t="s">
        <v>558</v>
      </c>
      <c r="H23" s="154">
        <f>H22*10^6/(H5*H8^2)</f>
        <v>2.1954616563795026</v>
      </c>
      <c r="I23" s="227"/>
      <c r="J23" s="33"/>
      <c r="K23" s="33"/>
      <c r="L23" s="33"/>
      <c r="M23" s="33"/>
      <c r="N23" s="33"/>
      <c r="O23" s="33"/>
    </row>
    <row r="24" spans="1:15" s="12" customFormat="1" ht="18.75" customHeight="1" x14ac:dyDescent="0.25">
      <c r="A24" s="222"/>
      <c r="B24" s="12" t="s">
        <v>559</v>
      </c>
      <c r="G24" s="31" t="s">
        <v>560</v>
      </c>
      <c r="H24" s="154">
        <f>H10/(0.85*H9)</f>
        <v>15.686274509803921</v>
      </c>
      <c r="I24" s="228"/>
      <c r="J24" s="33"/>
      <c r="K24" s="33"/>
      <c r="L24" s="33"/>
      <c r="M24" s="33"/>
      <c r="N24" s="33"/>
      <c r="O24" s="33"/>
    </row>
    <row r="25" spans="1:15" s="12" customFormat="1" ht="18.75" customHeight="1" x14ac:dyDescent="0.25">
      <c r="A25" s="222"/>
      <c r="B25" s="12" t="s">
        <v>561</v>
      </c>
      <c r="C25" s="147"/>
      <c r="G25" s="226" t="s">
        <v>562</v>
      </c>
      <c r="H25" s="224">
        <f>1/H24*(1-(1-2*H24*H23/H10)^0.5)</f>
        <v>5.7477664479286287E-3</v>
      </c>
      <c r="I25" s="227"/>
      <c r="J25" s="33"/>
      <c r="K25" s="33"/>
      <c r="L25" s="33"/>
      <c r="M25" s="33"/>
      <c r="N25" s="33"/>
      <c r="O25" s="33"/>
    </row>
    <row r="26" spans="1:15" s="12" customFormat="1" ht="18.75" customHeight="1" x14ac:dyDescent="0.25">
      <c r="A26" s="222"/>
      <c r="B26" s="12" t="s">
        <v>434</v>
      </c>
      <c r="G26" s="149"/>
      <c r="H26" s="32"/>
      <c r="I26" s="229"/>
      <c r="J26" s="33"/>
      <c r="K26" s="33"/>
      <c r="L26" s="33"/>
      <c r="M26" s="33"/>
      <c r="N26" s="33"/>
      <c r="O26" s="33"/>
    </row>
    <row r="27" spans="1:15" s="12" customFormat="1" ht="18.75" customHeight="1" x14ac:dyDescent="0.25">
      <c r="A27" s="222"/>
      <c r="C27" s="12" t="s">
        <v>334</v>
      </c>
      <c r="D27" s="28" t="s">
        <v>435</v>
      </c>
      <c r="E27" s="28" t="s">
        <v>436</v>
      </c>
      <c r="F27" s="28" t="s">
        <v>437</v>
      </c>
      <c r="G27" s="31"/>
      <c r="H27" s="149"/>
      <c r="I27" s="230"/>
      <c r="J27" s="33"/>
      <c r="K27" s="33"/>
      <c r="L27" s="33"/>
      <c r="M27" s="33"/>
      <c r="N27" s="33"/>
      <c r="O27" s="33"/>
    </row>
    <row r="28" spans="1:15" s="12" customFormat="1" ht="18.75" customHeight="1" x14ac:dyDescent="0.25">
      <c r="A28" s="222"/>
      <c r="D28" s="149">
        <f>H19</f>
        <v>2E-3</v>
      </c>
      <c r="E28" s="149">
        <f>H25</f>
        <v>5.7477664479286287E-3</v>
      </c>
      <c r="F28" s="149">
        <f>H18</f>
        <v>2.397455357142857E-2</v>
      </c>
      <c r="G28" s="29" t="s">
        <v>338</v>
      </c>
      <c r="H28" s="156" t="str">
        <f>IF(D28&lt;E28,(IF(E28&lt;F28,"[ OK ]","[ NOT OK ]")),"[ Pakai ρmin ]")</f>
        <v>[ OK ]</v>
      </c>
      <c r="I28" s="230"/>
      <c r="J28" s="33"/>
      <c r="K28" s="33"/>
      <c r="L28" s="33"/>
      <c r="M28" s="33"/>
      <c r="N28" s="33"/>
      <c r="O28" s="33"/>
    </row>
    <row r="29" spans="1:15" s="12" customFormat="1" ht="18.75" customHeight="1" x14ac:dyDescent="0.25">
      <c r="A29" s="222"/>
      <c r="G29" s="31"/>
      <c r="H29" s="28"/>
      <c r="I29" s="229"/>
      <c r="J29" s="33"/>
      <c r="K29" s="33"/>
      <c r="L29" s="33"/>
      <c r="M29" s="33"/>
      <c r="N29" s="33"/>
      <c r="O29" s="33"/>
    </row>
    <row r="30" spans="1:15" s="12" customFormat="1" ht="18.75" customHeight="1" x14ac:dyDescent="0.25">
      <c r="A30" s="222"/>
      <c r="B30" s="12" t="s">
        <v>563</v>
      </c>
      <c r="G30" s="31" t="s">
        <v>564</v>
      </c>
      <c r="H30" s="224">
        <f>IF(D28&lt;E28,(IF(E28&lt;F28,E28,"[ NOT OK ]")),D28)</f>
        <v>5.7477664479286287E-3</v>
      </c>
      <c r="I30" s="228"/>
      <c r="J30" s="33"/>
      <c r="K30" s="33"/>
      <c r="L30" s="33"/>
      <c r="M30" s="33"/>
      <c r="N30" s="33"/>
      <c r="O30" s="33"/>
    </row>
    <row r="31" spans="1:15" s="12" customFormat="1" ht="18.75" customHeight="1" x14ac:dyDescent="0.25">
      <c r="A31" s="222"/>
      <c r="D31" s="149"/>
      <c r="E31" s="149"/>
      <c r="F31" s="149"/>
      <c r="G31" s="156"/>
      <c r="H31" s="32"/>
      <c r="I31" s="229"/>
      <c r="J31" s="33"/>
      <c r="K31" s="33"/>
      <c r="L31" s="33"/>
      <c r="M31" s="33"/>
      <c r="N31" s="33"/>
      <c r="O31" s="33"/>
    </row>
    <row r="32" spans="1:15" s="12" customFormat="1" ht="18.75" customHeight="1" x14ac:dyDescent="0.25">
      <c r="A32" s="222"/>
      <c r="B32" s="12" t="s">
        <v>438</v>
      </c>
      <c r="G32" s="31" t="s">
        <v>565</v>
      </c>
      <c r="H32" s="231">
        <f>H30*H5*H8</f>
        <v>86957.09642574504</v>
      </c>
      <c r="I32" s="223" t="s">
        <v>439</v>
      </c>
    </row>
    <row r="33" spans="1:15" s="12" customFormat="1" ht="18.75" customHeight="1" x14ac:dyDescent="0.25">
      <c r="A33" s="222"/>
      <c r="B33" s="12" t="s">
        <v>440</v>
      </c>
      <c r="G33" s="31" t="s">
        <v>566</v>
      </c>
      <c r="H33" s="157">
        <f>PI()/4*'Input (1)'!$I$10^2*H5/H32</f>
        <v>56.407669431035259</v>
      </c>
      <c r="I33" s="223" t="s">
        <v>49</v>
      </c>
    </row>
    <row r="34" spans="1:15" s="12" customFormat="1" ht="18.75" customHeight="1" x14ac:dyDescent="0.25">
      <c r="A34" s="222"/>
      <c r="B34" s="12" t="s">
        <v>441</v>
      </c>
      <c r="G34" s="31" t="s">
        <v>567</v>
      </c>
      <c r="H34" s="157">
        <f>3*H6</f>
        <v>3000</v>
      </c>
      <c r="I34" s="223" t="s">
        <v>49</v>
      </c>
    </row>
    <row r="35" spans="1:15" s="12" customFormat="1" ht="18.75" customHeight="1" x14ac:dyDescent="0.25">
      <c r="A35" s="222"/>
      <c r="B35" s="12" t="s">
        <v>441</v>
      </c>
      <c r="G35" s="31" t="s">
        <v>442</v>
      </c>
      <c r="H35" s="157">
        <v>450</v>
      </c>
      <c r="I35" s="223" t="s">
        <v>49</v>
      </c>
    </row>
    <row r="36" spans="1:15" s="12" customFormat="1" ht="18.75" customHeight="1" x14ac:dyDescent="0.25">
      <c r="A36" s="222"/>
      <c r="B36" s="12" t="s">
        <v>443</v>
      </c>
      <c r="G36" s="31" t="s">
        <v>245</v>
      </c>
      <c r="H36" s="157">
        <f>MIN(H33:H35)</f>
        <v>56.407669431035259</v>
      </c>
      <c r="I36" s="223" t="s">
        <v>49</v>
      </c>
    </row>
    <row r="37" spans="1:15" s="12" customFormat="1" ht="18.75" customHeight="1" x14ac:dyDescent="0.25">
      <c r="A37" s="222"/>
      <c r="B37" s="12" t="s">
        <v>444</v>
      </c>
      <c r="G37" s="31" t="s">
        <v>245</v>
      </c>
      <c r="H37" s="232">
        <f>ROUNDDOWN(H36/25,0)*25</f>
        <v>50</v>
      </c>
      <c r="I37" s="223" t="s">
        <v>49</v>
      </c>
    </row>
    <row r="38" spans="1:15" s="12" customFormat="1" ht="18.75" customHeight="1" x14ac:dyDescent="0.25">
      <c r="A38" s="222"/>
      <c r="B38" s="12" t="s">
        <v>445</v>
      </c>
      <c r="G38" s="233">
        <f>'Input (1)'!$I$10</f>
        <v>19</v>
      </c>
      <c r="H38" s="234">
        <f>H37</f>
        <v>50</v>
      </c>
      <c r="I38" s="223"/>
    </row>
    <row r="39" spans="1:15" s="12" customFormat="1" ht="18.75" customHeight="1" x14ac:dyDescent="0.25">
      <c r="A39" s="222"/>
      <c r="B39" s="12" t="s">
        <v>568</v>
      </c>
      <c r="G39" s="31" t="s">
        <v>569</v>
      </c>
      <c r="H39" s="235">
        <f>PI()/4*G38^2*H5/H38</f>
        <v>98100.942997321676</v>
      </c>
      <c r="I39" s="223" t="s">
        <v>439</v>
      </c>
    </row>
    <row r="40" spans="1:15" s="12" customFormat="1" ht="18.75" customHeight="1" x14ac:dyDescent="0.25">
      <c r="A40" s="222"/>
      <c r="I40" s="223"/>
    </row>
    <row r="41" spans="1:15" s="12" customFormat="1" ht="18.75" customHeight="1" x14ac:dyDescent="0.25">
      <c r="A41" s="222"/>
      <c r="B41" s="12" t="s">
        <v>570</v>
      </c>
      <c r="G41" s="31" t="s">
        <v>571</v>
      </c>
      <c r="H41" s="154">
        <f>H39*H10/1000</f>
        <v>39240.377198928669</v>
      </c>
      <c r="I41" s="236" t="s">
        <v>115</v>
      </c>
      <c r="J41" s="33"/>
      <c r="K41" s="33"/>
      <c r="L41" s="33"/>
      <c r="M41" s="33"/>
      <c r="N41" s="33"/>
      <c r="O41" s="33"/>
    </row>
    <row r="42" spans="1:15" s="12" customFormat="1" ht="18.75" customHeight="1" x14ac:dyDescent="0.25">
      <c r="A42" s="222"/>
      <c r="B42" s="12" t="s">
        <v>572</v>
      </c>
      <c r="F42" s="28"/>
      <c r="G42" s="31" t="s">
        <v>573</v>
      </c>
      <c r="H42" s="237">
        <f>0.85*H9*H15*H5/1000</f>
        <v>368.67535714285714</v>
      </c>
      <c r="I42" s="223" t="s">
        <v>115</v>
      </c>
      <c r="J42" s="33"/>
      <c r="K42" s="33"/>
      <c r="L42" s="33"/>
      <c r="M42" s="33"/>
      <c r="N42" s="33"/>
      <c r="O42" s="33"/>
    </row>
    <row r="43" spans="1:15" s="12" customFormat="1" ht="18.75" customHeight="1" x14ac:dyDescent="0.25">
      <c r="A43" s="222"/>
      <c r="B43" s="146"/>
      <c r="C43" s="147"/>
      <c r="D43" s="28"/>
      <c r="F43" s="238"/>
      <c r="I43" s="230"/>
      <c r="J43" s="33"/>
      <c r="K43" s="33"/>
      <c r="L43" s="33"/>
      <c r="M43" s="33"/>
      <c r="N43" s="33"/>
      <c r="O43" s="33"/>
    </row>
    <row r="44" spans="1:15" s="12" customFormat="1" ht="18.75" customHeight="1" x14ac:dyDescent="0.25">
      <c r="A44" s="222"/>
      <c r="B44" s="146" t="s">
        <v>574</v>
      </c>
      <c r="G44" s="31" t="s">
        <v>575</v>
      </c>
      <c r="H44" s="146" t="s">
        <v>576</v>
      </c>
      <c r="I44" s="230"/>
      <c r="J44" s="239"/>
      <c r="K44" s="33"/>
      <c r="L44" s="33"/>
      <c r="M44" s="33"/>
      <c r="N44" s="33"/>
      <c r="O44" s="33"/>
    </row>
    <row r="45" spans="1:15" s="12" customFormat="1" ht="18.75" customHeight="1" x14ac:dyDescent="0.25">
      <c r="A45" s="222"/>
      <c r="B45" s="146"/>
      <c r="G45" s="240">
        <f>H42</f>
        <v>368.67535714285714</v>
      </c>
      <c r="H45" s="152">
        <f>H41</f>
        <v>39240.377198928669</v>
      </c>
      <c r="I45" s="230"/>
      <c r="J45" s="241"/>
      <c r="K45" s="33"/>
      <c r="L45" s="33"/>
      <c r="M45" s="33"/>
      <c r="N45" s="33"/>
      <c r="O45" s="33"/>
    </row>
    <row r="46" spans="1:15" s="12" customFormat="1" ht="18.75" customHeight="1" x14ac:dyDescent="0.25">
      <c r="A46" s="222"/>
      <c r="G46" s="31"/>
      <c r="H46" s="152"/>
      <c r="I46" s="236"/>
      <c r="J46" s="33"/>
      <c r="K46" s="33"/>
      <c r="L46" s="33"/>
      <c r="M46" s="33"/>
      <c r="N46" s="33"/>
      <c r="O46" s="33"/>
    </row>
    <row r="47" spans="1:15" s="12" customFormat="1" ht="18.75" customHeight="1" x14ac:dyDescent="0.25">
      <c r="A47" s="222"/>
      <c r="B47" s="146" t="s">
        <v>577</v>
      </c>
      <c r="D47" s="31"/>
      <c r="F47" s="28"/>
      <c r="G47" s="31" t="s">
        <v>578</v>
      </c>
      <c r="H47" s="155">
        <f>H45/G45</f>
        <v>106.43612717441135</v>
      </c>
      <c r="I47" s="236" t="s">
        <v>49</v>
      </c>
      <c r="J47" s="33"/>
      <c r="K47" s="33"/>
      <c r="L47" s="33"/>
      <c r="M47" s="33"/>
      <c r="N47" s="33"/>
      <c r="O47" s="33"/>
    </row>
    <row r="48" spans="1:15" s="12" customFormat="1" ht="18.75" customHeight="1" x14ac:dyDescent="0.25">
      <c r="A48" s="222"/>
      <c r="B48" s="12" t="s">
        <v>572</v>
      </c>
      <c r="C48" s="31"/>
      <c r="D48" s="28"/>
      <c r="F48" s="28"/>
      <c r="G48" s="31" t="s">
        <v>579</v>
      </c>
      <c r="H48" s="154">
        <f>H42*H47</f>
        <v>39240.377198928669</v>
      </c>
      <c r="I48" s="236" t="s">
        <v>115</v>
      </c>
      <c r="J48" s="33"/>
      <c r="K48" s="33"/>
      <c r="L48" s="33"/>
      <c r="M48" s="33"/>
      <c r="N48" s="33"/>
      <c r="O48" s="33"/>
    </row>
    <row r="49" spans="1:15" s="12" customFormat="1" ht="18.75" customHeight="1" x14ac:dyDescent="0.25">
      <c r="A49" s="222"/>
      <c r="B49" s="12" t="s">
        <v>570</v>
      </c>
      <c r="C49" s="31"/>
      <c r="D49" s="28"/>
      <c r="F49" s="28"/>
      <c r="G49" s="31" t="s">
        <v>580</v>
      </c>
      <c r="H49" s="154">
        <f>H39*H10/1000</f>
        <v>39240.377198928669</v>
      </c>
      <c r="I49" s="236" t="s">
        <v>115</v>
      </c>
      <c r="J49" s="33"/>
      <c r="K49" s="33"/>
      <c r="L49" s="33"/>
      <c r="M49" s="33"/>
      <c r="N49" s="33"/>
      <c r="O49" s="33"/>
    </row>
    <row r="50" spans="1:15" s="12" customFormat="1" ht="18.75" customHeight="1" x14ac:dyDescent="0.25">
      <c r="A50" s="222"/>
      <c r="B50" s="146"/>
      <c r="G50" s="28"/>
      <c r="H50" s="32"/>
      <c r="I50" s="229"/>
      <c r="J50" s="33"/>
      <c r="K50" s="33"/>
      <c r="L50" s="33"/>
      <c r="M50" s="33"/>
      <c r="N50" s="33"/>
      <c r="O50" s="33"/>
    </row>
    <row r="51" spans="1:15" s="12" customFormat="1" ht="18.75" customHeight="1" x14ac:dyDescent="0.25">
      <c r="A51" s="222"/>
      <c r="B51" s="146" t="s">
        <v>581</v>
      </c>
      <c r="G51" s="28"/>
      <c r="H51" s="32"/>
      <c r="I51" s="229"/>
      <c r="J51" s="33"/>
      <c r="K51" s="33"/>
      <c r="L51" s="33"/>
      <c r="M51" s="33"/>
      <c r="N51" s="33"/>
      <c r="O51" s="33"/>
    </row>
    <row r="52" spans="1:15" s="12" customFormat="1" ht="18.75" customHeight="1" x14ac:dyDescent="0.25">
      <c r="A52" s="222"/>
      <c r="C52" s="146" t="s">
        <v>582</v>
      </c>
      <c r="E52" s="31"/>
      <c r="F52" s="28"/>
      <c r="G52" s="32"/>
      <c r="I52" s="230"/>
      <c r="J52" s="33"/>
      <c r="K52" s="33"/>
      <c r="L52" s="33"/>
      <c r="M52" s="33"/>
      <c r="N52" s="33"/>
      <c r="O52" s="33"/>
    </row>
    <row r="53" spans="1:15" s="12" customFormat="1" ht="18.75" customHeight="1" x14ac:dyDescent="0.25">
      <c r="A53" s="222"/>
      <c r="B53" s="146"/>
      <c r="D53" s="12" t="s">
        <v>583</v>
      </c>
      <c r="F53" s="12" t="s">
        <v>584</v>
      </c>
      <c r="G53" s="31"/>
      <c r="H53" s="28"/>
      <c r="I53" s="230"/>
      <c r="N53" s="33"/>
      <c r="O53" s="33"/>
    </row>
    <row r="54" spans="1:15" s="12" customFormat="1" ht="18.75" customHeight="1" x14ac:dyDescent="0.25">
      <c r="A54" s="222"/>
      <c r="D54" s="149">
        <f>(H8-H47)/H47*0.003</f>
        <v>2.1648585679005464E-2</v>
      </c>
      <c r="E54" s="28" t="str">
        <f>IF(D54&lt;F54,"&lt;","&gt;")</f>
        <v>&gt;</v>
      </c>
      <c r="F54" s="28">
        <f>H10/H11</f>
        <v>2E-3</v>
      </c>
      <c r="I54" s="230"/>
      <c r="N54" s="33"/>
      <c r="O54" s="33"/>
    </row>
    <row r="55" spans="1:15" s="12" customFormat="1" ht="18.75" customHeight="1" x14ac:dyDescent="0.25">
      <c r="A55" s="222"/>
      <c r="B55" s="146" t="s">
        <v>585</v>
      </c>
      <c r="G55" s="29" t="s">
        <v>338</v>
      </c>
      <c r="H55" s="150" t="str">
        <f>IF(D54&lt;=F54,"Tekanan Terkontrol",IF(D54&lt;0.005,"Transisi",IF(D54&gt;0.005,"Tegangan Terkontrol","EROR")))</f>
        <v>Tegangan Terkontrol</v>
      </c>
      <c r="I55" s="223"/>
      <c r="J55" s="33"/>
      <c r="K55" s="33"/>
      <c r="L55" s="33"/>
      <c r="M55" s="33"/>
      <c r="N55" s="33"/>
      <c r="O55" s="33"/>
    </row>
    <row r="56" spans="1:15" s="12" customFormat="1" ht="18.75" customHeight="1" x14ac:dyDescent="0.25">
      <c r="A56" s="222"/>
      <c r="B56" s="146"/>
      <c r="G56" s="29"/>
      <c r="H56" s="150"/>
      <c r="I56" s="223"/>
      <c r="J56" s="33"/>
      <c r="K56" s="33"/>
      <c r="L56" s="33"/>
      <c r="M56" s="33"/>
      <c r="N56" s="33"/>
      <c r="O56" s="33"/>
    </row>
    <row r="57" spans="1:15" s="12" customFormat="1" ht="18.75" customHeight="1" x14ac:dyDescent="0.25">
      <c r="A57" s="222"/>
      <c r="B57" s="146" t="s">
        <v>586</v>
      </c>
      <c r="G57" s="31" t="str">
        <f>IF(D54&lt;=F54,"φ =",IF(D54&lt;0.005,"φ = 0,65 + 0,25 * (εs' - εs-yield)/(0,005 - εs-yield) =",IF(D54&gt;0.005,"φ =","EROR")))</f>
        <v>φ =</v>
      </c>
      <c r="H57" s="155">
        <f>IF(D54&lt;=F54,0.65,IF(D54&lt;0.005,0.65+0.25*(D54-F54)/(0.005-F54),IF(D54&gt;0.005,0.9,"EROR")))</f>
        <v>0.9</v>
      </c>
      <c r="I57" s="223"/>
      <c r="J57" s="33"/>
      <c r="K57" s="33"/>
      <c r="L57" s="33"/>
      <c r="M57" s="33"/>
      <c r="N57" s="33"/>
      <c r="O57" s="33"/>
    </row>
    <row r="58" spans="1:15" s="12" customFormat="1" ht="18.75" customHeight="1" x14ac:dyDescent="0.25">
      <c r="A58" s="222"/>
      <c r="B58" s="146" t="s">
        <v>587</v>
      </c>
      <c r="G58" s="31" t="s">
        <v>588</v>
      </c>
      <c r="H58" s="154">
        <f>H48*(H8-H15*H47/2)/1000</f>
        <v>32570.490317547785</v>
      </c>
      <c r="I58" s="223" t="s">
        <v>145</v>
      </c>
      <c r="J58" s="33"/>
      <c r="K58" s="33"/>
      <c r="L58" s="33"/>
      <c r="M58" s="33"/>
      <c r="N58" s="33"/>
      <c r="O58" s="33"/>
    </row>
    <row r="59" spans="1:15" s="12" customFormat="1" ht="18.75" customHeight="1" x14ac:dyDescent="0.25">
      <c r="A59" s="222"/>
      <c r="B59" s="146"/>
      <c r="G59" s="31"/>
      <c r="H59" s="152"/>
      <c r="I59" s="223"/>
      <c r="J59" s="33"/>
      <c r="K59" s="33"/>
      <c r="L59" s="33"/>
      <c r="M59" s="33"/>
      <c r="N59" s="33"/>
      <c r="O59" s="33"/>
    </row>
    <row r="60" spans="1:15" s="12" customFormat="1" ht="18.75" customHeight="1" x14ac:dyDescent="0.25">
      <c r="A60" s="222"/>
      <c r="C60" s="12" t="s">
        <v>334</v>
      </c>
      <c r="D60" s="242" t="s">
        <v>589</v>
      </c>
      <c r="E60" s="28" t="s">
        <v>449</v>
      </c>
      <c r="F60" s="242" t="s">
        <v>590</v>
      </c>
      <c r="I60" s="230"/>
      <c r="J60" s="33"/>
      <c r="K60" s="33"/>
      <c r="L60" s="33"/>
      <c r="M60" s="33"/>
      <c r="N60" s="33"/>
      <c r="O60" s="33"/>
    </row>
    <row r="61" spans="1:15" s="12" customFormat="1" ht="18.75" customHeight="1" x14ac:dyDescent="0.25">
      <c r="A61" s="222"/>
      <c r="D61" s="154">
        <f>H57*H58</f>
        <v>29313.441285793007</v>
      </c>
      <c r="E61" s="28" t="str">
        <f>IF(D61&gt;F61,"&gt;","&lt;")</f>
        <v>&gt;</v>
      </c>
      <c r="F61" s="154">
        <f>H4</f>
        <v>24689.398702802995</v>
      </c>
      <c r="G61" s="29" t="s">
        <v>338</v>
      </c>
      <c r="H61" s="156" t="str">
        <f>IF(D61&gt;=F61,"[ OK ]","[ NOT OK ]")</f>
        <v>[ OK ]</v>
      </c>
      <c r="I61" s="230"/>
      <c r="J61" s="33"/>
      <c r="K61" s="33"/>
      <c r="L61" s="33"/>
      <c r="M61" s="33"/>
      <c r="N61" s="33"/>
      <c r="O61" s="33"/>
    </row>
    <row r="62" spans="1:15" s="1" customFormat="1" ht="18.75" customHeight="1" x14ac:dyDescent="0.25">
      <c r="A62" s="168"/>
      <c r="B62" s="61"/>
      <c r="C62" s="2"/>
      <c r="D62" s="2"/>
      <c r="H62" s="2"/>
      <c r="I62" s="211"/>
    </row>
    <row r="63" spans="1:15" s="1" customFormat="1" ht="18.75" customHeight="1" x14ac:dyDescent="0.25">
      <c r="A63" s="165"/>
      <c r="B63" s="206" t="s">
        <v>705</v>
      </c>
      <c r="C63" s="207"/>
      <c r="D63" s="207"/>
      <c r="E63" s="207"/>
      <c r="F63" s="207"/>
      <c r="G63" s="207"/>
      <c r="H63" s="207"/>
      <c r="I63" s="208"/>
    </row>
    <row r="64" spans="1:15" s="1" customFormat="1" ht="18.75" customHeight="1" x14ac:dyDescent="0.25">
      <c r="A64" s="168"/>
      <c r="B64" s="2" t="s">
        <v>494</v>
      </c>
      <c r="C64" s="2"/>
      <c r="D64" s="2"/>
      <c r="E64" s="2"/>
      <c r="G64" s="3" t="s">
        <v>706</v>
      </c>
      <c r="H64" s="170">
        <f>'Process (3)'!I133</f>
        <v>7178.5394379740947</v>
      </c>
      <c r="I64" s="171" t="s">
        <v>487</v>
      </c>
    </row>
    <row r="65" spans="1:9" s="1" customFormat="1" ht="18.75" customHeight="1" x14ac:dyDescent="0.25">
      <c r="A65" s="168"/>
      <c r="B65" s="2" t="s">
        <v>512</v>
      </c>
      <c r="C65" s="2"/>
      <c r="D65" s="2"/>
      <c r="E65" s="2"/>
      <c r="F65" s="2"/>
      <c r="G65" s="3" t="s">
        <v>604</v>
      </c>
      <c r="H65" s="67">
        <f>$H$5</f>
        <v>17300</v>
      </c>
      <c r="I65" s="171" t="s">
        <v>49</v>
      </c>
    </row>
    <row r="66" spans="1:9" s="1" customFormat="1" ht="18.75" customHeight="1" x14ac:dyDescent="0.25">
      <c r="A66" s="168"/>
      <c r="B66" s="2" t="s">
        <v>481</v>
      </c>
      <c r="C66" s="2"/>
      <c r="D66" s="2"/>
      <c r="E66" s="2"/>
      <c r="G66" s="3" t="s">
        <v>482</v>
      </c>
      <c r="H66" s="170">
        <f>H7</f>
        <v>125.5</v>
      </c>
      <c r="I66" s="171" t="s">
        <v>0</v>
      </c>
    </row>
    <row r="67" spans="1:9" s="1" customFormat="1" ht="18.75" customHeight="1" x14ac:dyDescent="0.25">
      <c r="A67" s="168"/>
      <c r="B67" s="2" t="s">
        <v>605</v>
      </c>
      <c r="C67" s="2"/>
      <c r="D67" s="2"/>
      <c r="E67" s="2"/>
      <c r="F67" s="2"/>
      <c r="G67" s="3" t="s">
        <v>707</v>
      </c>
      <c r="H67" s="170">
        <f>H8</f>
        <v>874.5</v>
      </c>
      <c r="I67" s="171" t="s">
        <v>49</v>
      </c>
    </row>
    <row r="68" spans="1:9" s="1" customFormat="1" ht="18.75" customHeight="1" x14ac:dyDescent="0.25">
      <c r="A68" s="168"/>
      <c r="B68" s="2" t="s">
        <v>513</v>
      </c>
      <c r="C68" s="2"/>
      <c r="D68" s="2"/>
      <c r="E68" s="2"/>
      <c r="F68" s="2"/>
      <c r="G68" s="3" t="s">
        <v>514</v>
      </c>
      <c r="H68" s="67">
        <f>MAX(H65/H6,H6/H65)</f>
        <v>17.3</v>
      </c>
      <c r="I68" s="171"/>
    </row>
    <row r="69" spans="1:9" s="1" customFormat="1" ht="18.75" customHeight="1" x14ac:dyDescent="0.25">
      <c r="A69" s="168"/>
      <c r="C69" s="2"/>
      <c r="D69" s="2"/>
      <c r="E69" s="2"/>
      <c r="F69" s="2"/>
      <c r="H69" s="210"/>
      <c r="I69" s="171"/>
    </row>
    <row r="70" spans="1:9" s="1" customFormat="1" ht="18.75" customHeight="1" x14ac:dyDescent="0.25">
      <c r="A70" s="168"/>
      <c r="B70" s="2" t="s">
        <v>515</v>
      </c>
      <c r="C70" s="2"/>
      <c r="D70" s="2"/>
      <c r="E70" s="2"/>
      <c r="F70" s="2"/>
      <c r="G70" s="3" t="s">
        <v>516</v>
      </c>
      <c r="H70" s="170">
        <f>(1+2/H68)*SQRT(H9)*H65*H67/6*0.001</f>
        <v>15407.298611980945</v>
      </c>
      <c r="I70" s="171" t="s">
        <v>115</v>
      </c>
    </row>
    <row r="71" spans="1:9" s="1" customFormat="1" ht="18.75" customHeight="1" x14ac:dyDescent="0.25">
      <c r="A71" s="168"/>
      <c r="B71" s="2"/>
      <c r="C71" s="2"/>
      <c r="D71" s="2"/>
      <c r="E71" s="2"/>
      <c r="F71" s="2"/>
      <c r="G71" s="3" t="s">
        <v>517</v>
      </c>
      <c r="H71" s="170">
        <f>(40*H67/H65+2)*SQRT(H9)*H65*H67/12*0.001</f>
        <v>27773.052782943894</v>
      </c>
      <c r="I71" s="171" t="s">
        <v>115</v>
      </c>
    </row>
    <row r="72" spans="1:9" s="1" customFormat="1" ht="18.75" customHeight="1" x14ac:dyDescent="0.25">
      <c r="A72" s="168"/>
      <c r="B72" s="2"/>
      <c r="C72" s="2"/>
      <c r="D72" s="2"/>
      <c r="E72" s="2"/>
      <c r="F72" s="2"/>
      <c r="G72" s="3" t="s">
        <v>518</v>
      </c>
      <c r="H72" s="170">
        <f>1/3*SQRT(H9)*H65*H67*0.001</f>
        <v>27621.374713706773</v>
      </c>
      <c r="I72" s="171" t="s">
        <v>115</v>
      </c>
    </row>
    <row r="73" spans="1:9" s="1" customFormat="1" ht="18.75" customHeight="1" x14ac:dyDescent="0.25">
      <c r="A73" s="168"/>
      <c r="B73" s="2" t="s">
        <v>519</v>
      </c>
      <c r="C73" s="2"/>
      <c r="D73" s="2"/>
      <c r="E73" s="2"/>
      <c r="F73" s="2"/>
      <c r="G73" s="3" t="s">
        <v>520</v>
      </c>
      <c r="H73" s="170">
        <f>MIN(H70:H72)</f>
        <v>15407.298611980945</v>
      </c>
      <c r="I73" s="171" t="s">
        <v>115</v>
      </c>
    </row>
    <row r="74" spans="1:9" s="1" customFormat="1" ht="18.75" customHeight="1" x14ac:dyDescent="0.25">
      <c r="A74" s="168"/>
      <c r="B74" s="2" t="s">
        <v>446</v>
      </c>
      <c r="C74" s="2"/>
      <c r="D74" s="2"/>
      <c r="E74" s="2"/>
      <c r="F74" s="2"/>
      <c r="G74" s="3" t="s">
        <v>433</v>
      </c>
      <c r="H74" s="67">
        <v>0.75</v>
      </c>
      <c r="I74" s="171"/>
    </row>
    <row r="75" spans="1:9" s="1" customFormat="1" ht="18.75" customHeight="1" x14ac:dyDescent="0.25">
      <c r="A75" s="168"/>
      <c r="B75" s="2" t="s">
        <v>521</v>
      </c>
      <c r="C75" s="2"/>
      <c r="D75" s="2"/>
      <c r="E75" s="2"/>
      <c r="F75" s="2"/>
      <c r="G75" s="3" t="s">
        <v>448</v>
      </c>
      <c r="H75" s="170">
        <f>H74*H73</f>
        <v>11555.473958985709</v>
      </c>
      <c r="I75" s="171" t="s">
        <v>115</v>
      </c>
    </row>
    <row r="76" spans="1:9" s="1" customFormat="1" ht="18.75" customHeight="1" x14ac:dyDescent="0.25">
      <c r="A76" s="168"/>
      <c r="B76" s="2" t="s">
        <v>522</v>
      </c>
      <c r="C76" s="2"/>
      <c r="D76" s="2"/>
      <c r="I76" s="211"/>
    </row>
    <row r="77" spans="1:9" s="1" customFormat="1" ht="18.75" customHeight="1" x14ac:dyDescent="0.25">
      <c r="A77" s="168"/>
      <c r="B77" s="2"/>
      <c r="C77" s="2" t="s">
        <v>523</v>
      </c>
      <c r="D77" s="212" t="s">
        <v>524</v>
      </c>
      <c r="E77" s="89" t="s">
        <v>449</v>
      </c>
      <c r="F77" s="212" t="s">
        <v>525</v>
      </c>
      <c r="G77" s="2"/>
      <c r="I77" s="198"/>
    </row>
    <row r="78" spans="1:9" s="1" customFormat="1" ht="18.75" customHeight="1" x14ac:dyDescent="0.25">
      <c r="A78" s="168"/>
      <c r="B78" s="2"/>
      <c r="C78" s="2"/>
      <c r="D78" s="170">
        <f>H75</f>
        <v>11555.473958985709</v>
      </c>
      <c r="E78" s="213" t="str">
        <f>IF(D78&lt;=F78,"&lt;","&gt;")</f>
        <v>&gt;</v>
      </c>
      <c r="F78" s="170">
        <f>H64</f>
        <v>7178.5394379740947</v>
      </c>
      <c r="G78" s="214" t="s">
        <v>338</v>
      </c>
      <c r="H78" s="25" t="str">
        <f>IF(D78&gt;F78,"[ OK ]","[ NOT OK ]")</f>
        <v>[ OK ]</v>
      </c>
      <c r="I78" s="198"/>
    </row>
    <row r="79" spans="1:9" s="1" customFormat="1" ht="18.75" customHeight="1" x14ac:dyDescent="0.25">
      <c r="A79" s="168"/>
      <c r="B79" s="2"/>
      <c r="C79" s="2"/>
      <c r="D79" s="2"/>
      <c r="E79" s="2"/>
      <c r="I79" s="198"/>
    </row>
    <row r="80" spans="1:9" s="1" customFormat="1" ht="18.75" customHeight="1" x14ac:dyDescent="0.25">
      <c r="A80" s="168"/>
      <c r="B80" s="2"/>
      <c r="C80" s="2"/>
      <c r="D80" s="2"/>
      <c r="E80" s="2"/>
      <c r="F80" s="2"/>
      <c r="I80" s="198"/>
    </row>
    <row r="81" spans="1:9" ht="18.75" customHeight="1" x14ac:dyDescent="0.25">
      <c r="A81" s="161" t="s">
        <v>848</v>
      </c>
      <c r="B81" s="199" t="s">
        <v>708</v>
      </c>
      <c r="C81" s="200"/>
      <c r="D81" s="200"/>
      <c r="E81" s="200"/>
      <c r="F81" s="200"/>
      <c r="G81" s="200"/>
      <c r="H81" s="200"/>
      <c r="I81" s="205"/>
    </row>
    <row r="82" spans="1:9" ht="18.75" customHeight="1" x14ac:dyDescent="0.25">
      <c r="A82" s="165"/>
      <c r="B82" s="206" t="s">
        <v>704</v>
      </c>
      <c r="C82" s="207"/>
      <c r="D82" s="207"/>
      <c r="E82" s="207"/>
      <c r="F82" s="207"/>
      <c r="G82" s="207"/>
      <c r="H82" s="207"/>
      <c r="I82" s="208"/>
    </row>
    <row r="83" spans="1:9" ht="18.75" customHeight="1" x14ac:dyDescent="0.25">
      <c r="A83" s="168"/>
      <c r="B83" s="2" t="s">
        <v>539</v>
      </c>
      <c r="C83" s="2"/>
      <c r="D83" s="2"/>
      <c r="E83" s="2"/>
      <c r="F83" s="2"/>
      <c r="G83" s="3" t="s">
        <v>702</v>
      </c>
      <c r="H83" s="170">
        <f>'Process (3)'!I246</f>
        <v>1429.5025264229694</v>
      </c>
      <c r="I83" s="171" t="s">
        <v>417</v>
      </c>
    </row>
    <row r="84" spans="1:9" ht="18.75" customHeight="1" x14ac:dyDescent="0.25">
      <c r="A84" s="168"/>
      <c r="B84" s="2" t="s">
        <v>541</v>
      </c>
      <c r="C84" s="2"/>
      <c r="D84" s="2"/>
      <c r="E84" s="1"/>
      <c r="F84" s="1"/>
      <c r="G84" s="3" t="s">
        <v>243</v>
      </c>
      <c r="H84" s="67">
        <f>'Input (1)'!$I$58*1000</f>
        <v>17300</v>
      </c>
      <c r="I84" s="171" t="s">
        <v>49</v>
      </c>
    </row>
    <row r="85" spans="1:9" ht="18.75" customHeight="1" x14ac:dyDescent="0.25">
      <c r="A85" s="168"/>
      <c r="B85" s="2" t="s">
        <v>253</v>
      </c>
      <c r="C85" s="2"/>
      <c r="D85" s="2"/>
      <c r="E85" s="1"/>
      <c r="F85" s="1"/>
      <c r="G85" s="3" t="s">
        <v>709</v>
      </c>
      <c r="H85" s="67">
        <f>'Input (1)'!F39*1000</f>
        <v>550</v>
      </c>
      <c r="I85" s="171" t="s">
        <v>49</v>
      </c>
    </row>
    <row r="86" spans="1:9" ht="18.75" customHeight="1" x14ac:dyDescent="0.25">
      <c r="A86" s="168"/>
      <c r="B86" s="2" t="s">
        <v>542</v>
      </c>
      <c r="C86" s="2"/>
      <c r="D86" s="2"/>
      <c r="E86" s="1"/>
      <c r="F86" s="1"/>
      <c r="G86" s="3" t="s">
        <v>482</v>
      </c>
      <c r="H86" s="209">
        <f>'Input (1)'!$I$74+'Input (1)'!$I$13+0.5*'Input (1)'!$I$12</f>
        <v>121</v>
      </c>
      <c r="I86" s="171" t="s">
        <v>49</v>
      </c>
    </row>
    <row r="87" spans="1:9" ht="18.75" customHeight="1" x14ac:dyDescent="0.25">
      <c r="A87" s="168"/>
      <c r="B87" s="2" t="s">
        <v>543</v>
      </c>
      <c r="C87" s="2"/>
      <c r="D87" s="2"/>
      <c r="E87" s="1"/>
      <c r="F87" s="1"/>
      <c r="G87" s="3" t="s">
        <v>484</v>
      </c>
      <c r="H87" s="209">
        <f>H85-H86</f>
        <v>429</v>
      </c>
      <c r="I87" s="171" t="s">
        <v>49</v>
      </c>
    </row>
    <row r="88" spans="1:9" ht="18.75" customHeight="1" x14ac:dyDescent="0.25">
      <c r="A88" s="168"/>
      <c r="B88" s="2" t="s">
        <v>544</v>
      </c>
      <c r="C88" s="2"/>
      <c r="D88" s="2"/>
      <c r="E88" s="1"/>
      <c r="F88" s="1"/>
      <c r="G88" s="219" t="s">
        <v>545</v>
      </c>
      <c r="H88" s="209">
        <f>'Input (1)'!$I$3</f>
        <v>30</v>
      </c>
      <c r="I88" s="171" t="s">
        <v>7</v>
      </c>
    </row>
    <row r="89" spans="1:9" ht="18.75" customHeight="1" x14ac:dyDescent="0.25">
      <c r="A89" s="168"/>
      <c r="B89" s="2" t="s">
        <v>546</v>
      </c>
      <c r="C89" s="2"/>
      <c r="D89" s="2"/>
      <c r="E89" s="1"/>
      <c r="F89" s="1"/>
      <c r="G89" s="3" t="s">
        <v>447</v>
      </c>
      <c r="H89" s="209">
        <f>'Input (1)'!$I$4</f>
        <v>400</v>
      </c>
      <c r="I89" s="171" t="s">
        <v>7</v>
      </c>
    </row>
    <row r="90" spans="1:9" ht="18.75" customHeight="1" x14ac:dyDescent="0.25">
      <c r="A90" s="168"/>
      <c r="B90" s="220" t="s">
        <v>9</v>
      </c>
      <c r="C90" s="2"/>
      <c r="D90" s="2"/>
      <c r="E90" s="1"/>
      <c r="F90" s="1"/>
      <c r="G90" s="3" t="s">
        <v>547</v>
      </c>
      <c r="H90" s="221">
        <v>200000</v>
      </c>
      <c r="I90" s="171" t="s">
        <v>7</v>
      </c>
    </row>
    <row r="91" spans="1:9" ht="18.75" customHeight="1" x14ac:dyDescent="0.25">
      <c r="A91" s="222"/>
      <c r="B91" s="12" t="s">
        <v>548</v>
      </c>
      <c r="C91" s="12"/>
      <c r="D91" s="12"/>
      <c r="E91" s="12"/>
      <c r="F91" s="12"/>
      <c r="G91" s="31" t="s">
        <v>549</v>
      </c>
      <c r="H91" s="153" t="str">
        <f>IF(H88&gt;=17,IF(H88&lt;=28,0.85,"-"),"-")</f>
        <v>-</v>
      </c>
      <c r="I91" s="223"/>
    </row>
    <row r="92" spans="1:9" ht="18.75" customHeight="1" x14ac:dyDescent="0.25">
      <c r="A92" s="222"/>
      <c r="B92" s="12" t="s">
        <v>550</v>
      </c>
      <c r="C92" s="12"/>
      <c r="D92" s="12"/>
      <c r="E92" s="12"/>
      <c r="F92" s="12"/>
      <c r="G92" s="31" t="s">
        <v>551</v>
      </c>
      <c r="H92" s="154">
        <f>IF(H88&gt;28,IF(H88&lt;55,0.85-0.05*(H88-28)/7,"-"),"-")</f>
        <v>0.83571428571428574</v>
      </c>
      <c r="I92" s="223"/>
    </row>
    <row r="93" spans="1:9" ht="18.75" customHeight="1" x14ac:dyDescent="0.25">
      <c r="A93" s="222"/>
      <c r="B93" s="12" t="s">
        <v>552</v>
      </c>
      <c r="C93" s="12"/>
      <c r="D93" s="12"/>
      <c r="E93" s="12"/>
      <c r="F93" s="12"/>
      <c r="G93" s="31" t="s">
        <v>549</v>
      </c>
      <c r="H93" s="154" t="str">
        <f>IF(H88&gt;=55,0.65,"-")</f>
        <v>-</v>
      </c>
      <c r="I93" s="223"/>
    </row>
    <row r="94" spans="1:9" ht="18.75" customHeight="1" x14ac:dyDescent="0.25">
      <c r="A94" s="222"/>
      <c r="B94" s="12" t="s">
        <v>427</v>
      </c>
      <c r="C94" s="12"/>
      <c r="D94" s="12"/>
      <c r="E94" s="12"/>
      <c r="F94" s="29" t="s">
        <v>338</v>
      </c>
      <c r="G94" s="31" t="s">
        <v>549</v>
      </c>
      <c r="H94" s="154">
        <f>MAX(H91:H93)</f>
        <v>0.83571428571428574</v>
      </c>
      <c r="I94" s="223"/>
    </row>
    <row r="95" spans="1:9" ht="18.75" customHeight="1" x14ac:dyDescent="0.25">
      <c r="A95" s="222"/>
      <c r="B95" s="12" t="s">
        <v>428</v>
      </c>
      <c r="C95" s="12"/>
      <c r="D95" s="12"/>
      <c r="E95" s="12"/>
      <c r="F95" s="29"/>
      <c r="G95" s="31"/>
      <c r="H95" s="28"/>
      <c r="I95" s="223"/>
    </row>
    <row r="96" spans="1:9" ht="18.75" customHeight="1" x14ac:dyDescent="0.25">
      <c r="A96" s="222"/>
      <c r="B96" s="12"/>
      <c r="C96" s="147"/>
      <c r="D96" s="12"/>
      <c r="E96" s="12"/>
      <c r="F96" s="12"/>
      <c r="G96" s="31" t="s">
        <v>429</v>
      </c>
      <c r="H96" s="224">
        <f>H94*0.85*H88/H89*(600/(600+H89))</f>
        <v>3.1966071428571427E-2</v>
      </c>
      <c r="I96" s="223"/>
    </row>
    <row r="97" spans="1:9" ht="18.75" customHeight="1" x14ac:dyDescent="0.25">
      <c r="A97" s="222"/>
      <c r="B97" s="12" t="s">
        <v>430</v>
      </c>
      <c r="C97" s="12"/>
      <c r="D97" s="148"/>
      <c r="E97" s="28"/>
      <c r="F97" s="146"/>
      <c r="G97" s="31" t="s">
        <v>431</v>
      </c>
      <c r="H97" s="224">
        <f>0.75*H96</f>
        <v>2.397455357142857E-2</v>
      </c>
      <c r="I97" s="223"/>
    </row>
    <row r="98" spans="1:9" ht="18.75" customHeight="1" x14ac:dyDescent="0.25">
      <c r="A98" s="222"/>
      <c r="B98" s="12" t="s">
        <v>432</v>
      </c>
      <c r="C98" s="12"/>
      <c r="D98" s="12"/>
      <c r="E98" s="146"/>
      <c r="F98" s="12"/>
      <c r="G98" s="3" t="s">
        <v>594</v>
      </c>
      <c r="H98" s="224">
        <v>2E-3</v>
      </c>
      <c r="I98" s="223"/>
    </row>
    <row r="99" spans="1:9" ht="18.75" customHeight="1" x14ac:dyDescent="0.25">
      <c r="A99" s="222"/>
      <c r="B99" s="12"/>
      <c r="C99" s="12"/>
      <c r="D99" s="12"/>
      <c r="E99" s="12"/>
      <c r="F99" s="12"/>
      <c r="G99" s="31"/>
      <c r="H99" s="225"/>
      <c r="I99" s="223"/>
    </row>
    <row r="100" spans="1:9" ht="18.75" customHeight="1" x14ac:dyDescent="0.25">
      <c r="A100" s="222"/>
      <c r="B100" s="12" t="s">
        <v>553</v>
      </c>
      <c r="C100" s="12"/>
      <c r="D100" s="12"/>
      <c r="E100" s="12"/>
      <c r="F100" s="31"/>
      <c r="G100" s="31" t="s">
        <v>554</v>
      </c>
      <c r="H100" s="155">
        <v>0.85</v>
      </c>
      <c r="I100" s="223"/>
    </row>
    <row r="101" spans="1:9" ht="18.75" customHeight="1" x14ac:dyDescent="0.25">
      <c r="A101" s="222"/>
      <c r="B101" s="12" t="s">
        <v>555</v>
      </c>
      <c r="C101" s="12"/>
      <c r="D101" s="12"/>
      <c r="E101" s="12"/>
      <c r="F101" s="31"/>
      <c r="G101" s="31" t="s">
        <v>556</v>
      </c>
      <c r="H101" s="154">
        <f>H83/H100</f>
        <v>1681.7676781446698</v>
      </c>
      <c r="I101" s="223" t="s">
        <v>145</v>
      </c>
    </row>
    <row r="102" spans="1:9" ht="18.75" customHeight="1" x14ac:dyDescent="0.25">
      <c r="A102" s="222"/>
      <c r="B102" s="12" t="s">
        <v>557</v>
      </c>
      <c r="C102" s="147"/>
      <c r="D102" s="12"/>
      <c r="E102" s="12"/>
      <c r="F102" s="12"/>
      <c r="G102" s="226" t="s">
        <v>558</v>
      </c>
      <c r="H102" s="154">
        <f>H101*10^6/(H84*H87^2)</f>
        <v>0.52820841289187159</v>
      </c>
      <c r="I102" s="227"/>
    </row>
    <row r="103" spans="1:9" ht="18.75" customHeight="1" x14ac:dyDescent="0.25">
      <c r="A103" s="222"/>
      <c r="B103" s="12" t="s">
        <v>559</v>
      </c>
      <c r="C103" s="12"/>
      <c r="D103" s="12"/>
      <c r="E103" s="12"/>
      <c r="F103" s="12"/>
      <c r="G103" s="31" t="s">
        <v>560</v>
      </c>
      <c r="H103" s="154">
        <f>H89/(0.85*H88)</f>
        <v>15.686274509803921</v>
      </c>
      <c r="I103" s="228"/>
    </row>
    <row r="104" spans="1:9" ht="18.75" customHeight="1" x14ac:dyDescent="0.25">
      <c r="A104" s="222"/>
      <c r="B104" s="12" t="s">
        <v>561</v>
      </c>
      <c r="C104" s="147"/>
      <c r="D104" s="12"/>
      <c r="E104" s="12"/>
      <c r="F104" s="12"/>
      <c r="G104" s="226" t="s">
        <v>562</v>
      </c>
      <c r="H104" s="224">
        <f>1/H103*(1-(1-2*H103*H102/H89)^0.5)</f>
        <v>1.3344885594076348E-3</v>
      </c>
      <c r="I104" s="227"/>
    </row>
    <row r="105" spans="1:9" ht="18.75" customHeight="1" x14ac:dyDescent="0.25">
      <c r="A105" s="222"/>
      <c r="B105" s="12" t="s">
        <v>434</v>
      </c>
      <c r="C105" s="12"/>
      <c r="D105" s="12"/>
      <c r="E105" s="12"/>
      <c r="F105" s="12"/>
      <c r="G105" s="149"/>
      <c r="H105" s="32"/>
      <c r="I105" s="229"/>
    </row>
    <row r="106" spans="1:9" ht="18.75" customHeight="1" x14ac:dyDescent="0.25">
      <c r="A106" s="222"/>
      <c r="B106" s="12"/>
      <c r="C106" s="12" t="s">
        <v>334</v>
      </c>
      <c r="D106" s="28" t="s">
        <v>435</v>
      </c>
      <c r="E106" s="28" t="s">
        <v>436</v>
      </c>
      <c r="F106" s="28" t="s">
        <v>437</v>
      </c>
      <c r="G106" s="31"/>
      <c r="H106" s="149"/>
      <c r="I106" s="230"/>
    </row>
    <row r="107" spans="1:9" ht="18.75" customHeight="1" x14ac:dyDescent="0.25">
      <c r="A107" s="222"/>
      <c r="B107" s="12"/>
      <c r="C107" s="12"/>
      <c r="D107" s="149">
        <f>H98</f>
        <v>2E-3</v>
      </c>
      <c r="E107" s="149">
        <f>H104</f>
        <v>1.3344885594076348E-3</v>
      </c>
      <c r="F107" s="149">
        <f>H97</f>
        <v>2.397455357142857E-2</v>
      </c>
      <c r="G107" s="29" t="s">
        <v>338</v>
      </c>
      <c r="H107" s="156" t="str">
        <f>IF(D107&lt;E107,(IF(E107&lt;F107,"[ OK ]","[ NOT OK ]")),"[ Pakai ρmin ]")</f>
        <v>[ Pakai ρmin ]</v>
      </c>
      <c r="I107" s="230"/>
    </row>
    <row r="108" spans="1:9" ht="18.75" customHeight="1" x14ac:dyDescent="0.25">
      <c r="A108" s="222"/>
      <c r="B108" s="12"/>
      <c r="C108" s="12"/>
      <c r="D108" s="12"/>
      <c r="E108" s="12"/>
      <c r="F108" s="12"/>
      <c r="G108" s="31"/>
      <c r="H108" s="28"/>
      <c r="I108" s="229"/>
    </row>
    <row r="109" spans="1:9" ht="18.75" customHeight="1" x14ac:dyDescent="0.25">
      <c r="A109" s="222"/>
      <c r="B109" s="12" t="s">
        <v>563</v>
      </c>
      <c r="C109" s="12"/>
      <c r="D109" s="12"/>
      <c r="E109" s="12"/>
      <c r="F109" s="12"/>
      <c r="G109" s="31" t="s">
        <v>564</v>
      </c>
      <c r="H109" s="224">
        <f>IF(D107&lt;E107,(IF(E107&lt;F107,E107,"[ NOT OK ]")),D107)</f>
        <v>2E-3</v>
      </c>
      <c r="I109" s="228"/>
    </row>
    <row r="110" spans="1:9" ht="18.75" customHeight="1" x14ac:dyDescent="0.25">
      <c r="A110" s="222"/>
      <c r="B110" s="12"/>
      <c r="C110" s="12"/>
      <c r="D110" s="149"/>
      <c r="E110" s="149"/>
      <c r="F110" s="149"/>
      <c r="G110" s="156"/>
      <c r="H110" s="32"/>
      <c r="I110" s="229"/>
    </row>
    <row r="111" spans="1:9" ht="18.75" customHeight="1" x14ac:dyDescent="0.25">
      <c r="A111" s="222"/>
      <c r="B111" s="12" t="s">
        <v>438</v>
      </c>
      <c r="C111" s="12"/>
      <c r="D111" s="12"/>
      <c r="E111" s="12"/>
      <c r="F111" s="12"/>
      <c r="G111" s="31" t="s">
        <v>565</v>
      </c>
      <c r="H111" s="231">
        <f>H109*H84*H87</f>
        <v>14843.400000000001</v>
      </c>
      <c r="I111" s="223" t="s">
        <v>439</v>
      </c>
    </row>
    <row r="112" spans="1:9" ht="18.75" customHeight="1" x14ac:dyDescent="0.25">
      <c r="A112" s="222"/>
      <c r="B112" s="12" t="s">
        <v>440</v>
      </c>
      <c r="C112" s="12"/>
      <c r="D112" s="12"/>
      <c r="E112" s="12"/>
      <c r="F112" s="12"/>
      <c r="G112" s="31" t="s">
        <v>566</v>
      </c>
      <c r="H112" s="157">
        <f>PI()/4*'Input (1)'!$I$12^2*H84/H111</f>
        <v>234.33791355448338</v>
      </c>
      <c r="I112" s="223" t="s">
        <v>49</v>
      </c>
    </row>
    <row r="113" spans="1:9" ht="18.75" customHeight="1" x14ac:dyDescent="0.25">
      <c r="A113" s="222"/>
      <c r="B113" s="12" t="s">
        <v>441</v>
      </c>
      <c r="C113" s="12"/>
      <c r="D113" s="12"/>
      <c r="E113" s="12"/>
      <c r="F113" s="12"/>
      <c r="G113" s="31" t="s">
        <v>567</v>
      </c>
      <c r="H113" s="157">
        <f>3*H85</f>
        <v>1650</v>
      </c>
      <c r="I113" s="223" t="s">
        <v>49</v>
      </c>
    </row>
    <row r="114" spans="1:9" ht="18.75" customHeight="1" x14ac:dyDescent="0.25">
      <c r="A114" s="222"/>
      <c r="B114" s="12" t="s">
        <v>441</v>
      </c>
      <c r="C114" s="12"/>
      <c r="D114" s="12"/>
      <c r="E114" s="12"/>
      <c r="F114" s="12"/>
      <c r="G114" s="31" t="s">
        <v>442</v>
      </c>
      <c r="H114" s="157">
        <v>450</v>
      </c>
      <c r="I114" s="223" t="s">
        <v>49</v>
      </c>
    </row>
    <row r="115" spans="1:9" ht="18.75" customHeight="1" x14ac:dyDescent="0.25">
      <c r="A115" s="222"/>
      <c r="B115" s="12" t="s">
        <v>443</v>
      </c>
      <c r="C115" s="12"/>
      <c r="D115" s="12"/>
      <c r="E115" s="12"/>
      <c r="F115" s="12"/>
      <c r="G115" s="31" t="s">
        <v>245</v>
      </c>
      <c r="H115" s="157">
        <f>MIN(H112:H114)</f>
        <v>234.33791355448338</v>
      </c>
      <c r="I115" s="223" t="s">
        <v>49</v>
      </c>
    </row>
    <row r="116" spans="1:9" ht="18.75" customHeight="1" x14ac:dyDescent="0.25">
      <c r="A116" s="222"/>
      <c r="B116" s="12" t="s">
        <v>444</v>
      </c>
      <c r="C116" s="12"/>
      <c r="D116" s="12"/>
      <c r="E116" s="12"/>
      <c r="F116" s="12"/>
      <c r="G116" s="31" t="s">
        <v>245</v>
      </c>
      <c r="H116" s="232">
        <f>ROUNDDOWN(H115/25,0)*25</f>
        <v>225</v>
      </c>
      <c r="I116" s="223" t="s">
        <v>49</v>
      </c>
    </row>
    <row r="117" spans="1:9" ht="18.75" customHeight="1" x14ac:dyDescent="0.25">
      <c r="A117" s="222"/>
      <c r="B117" s="12" t="s">
        <v>445</v>
      </c>
      <c r="C117" s="12"/>
      <c r="D117" s="12"/>
      <c r="E117" s="12"/>
      <c r="F117" s="12"/>
      <c r="G117" s="233">
        <f>'Input (1)'!$I$12</f>
        <v>16</v>
      </c>
      <c r="H117" s="234">
        <f>H116</f>
        <v>225</v>
      </c>
      <c r="I117" s="223"/>
    </row>
    <row r="118" spans="1:9" ht="18.75" customHeight="1" x14ac:dyDescent="0.25">
      <c r="A118" s="222"/>
      <c r="B118" s="12" t="s">
        <v>568</v>
      </c>
      <c r="C118" s="12"/>
      <c r="D118" s="12"/>
      <c r="E118" s="12"/>
      <c r="F118" s="12"/>
      <c r="G118" s="31" t="s">
        <v>569</v>
      </c>
      <c r="H118" s="235">
        <f>PI()/4*G117^2*H84/H117</f>
        <v>15459.428382464972</v>
      </c>
      <c r="I118" s="223" t="s">
        <v>439</v>
      </c>
    </row>
    <row r="119" spans="1:9" ht="18.75" customHeight="1" x14ac:dyDescent="0.25">
      <c r="A119" s="222"/>
      <c r="B119" s="12"/>
      <c r="C119" s="12"/>
      <c r="D119" s="12"/>
      <c r="E119" s="12"/>
      <c r="F119" s="12"/>
      <c r="G119" s="12"/>
      <c r="H119" s="12"/>
      <c r="I119" s="223"/>
    </row>
    <row r="120" spans="1:9" ht="18.75" customHeight="1" x14ac:dyDescent="0.25">
      <c r="A120" s="222"/>
      <c r="B120" s="12" t="s">
        <v>570</v>
      </c>
      <c r="C120" s="12"/>
      <c r="D120" s="12"/>
      <c r="E120" s="12"/>
      <c r="F120" s="12"/>
      <c r="G120" s="31" t="s">
        <v>571</v>
      </c>
      <c r="H120" s="154">
        <f>H118*H89/1000</f>
        <v>6183.7713529859884</v>
      </c>
      <c r="I120" s="236" t="s">
        <v>115</v>
      </c>
    </row>
    <row r="121" spans="1:9" ht="18.75" customHeight="1" x14ac:dyDescent="0.25">
      <c r="A121" s="222"/>
      <c r="B121" s="12" t="s">
        <v>572</v>
      </c>
      <c r="C121" s="12"/>
      <c r="D121" s="12"/>
      <c r="E121" s="12"/>
      <c r="F121" s="28"/>
      <c r="G121" s="31" t="s">
        <v>573</v>
      </c>
      <c r="H121" s="237">
        <f>0.85*H88*H94*H84/1000</f>
        <v>368.67535714285714</v>
      </c>
      <c r="I121" s="223" t="s">
        <v>115</v>
      </c>
    </row>
    <row r="122" spans="1:9" ht="18.75" customHeight="1" x14ac:dyDescent="0.25">
      <c r="A122" s="222"/>
      <c r="B122" s="146"/>
      <c r="C122" s="147"/>
      <c r="D122" s="28"/>
      <c r="E122" s="12"/>
      <c r="F122" s="238"/>
      <c r="G122" s="12"/>
      <c r="H122" s="12"/>
      <c r="I122" s="230"/>
    </row>
    <row r="123" spans="1:9" ht="18.75" customHeight="1" x14ac:dyDescent="0.25">
      <c r="A123" s="222"/>
      <c r="B123" s="146" t="s">
        <v>574</v>
      </c>
      <c r="C123" s="12"/>
      <c r="D123" s="12"/>
      <c r="E123" s="12"/>
      <c r="F123" s="12"/>
      <c r="G123" s="31" t="s">
        <v>575</v>
      </c>
      <c r="H123" s="146" t="s">
        <v>576</v>
      </c>
      <c r="I123" s="230"/>
    </row>
    <row r="124" spans="1:9" ht="18.75" customHeight="1" x14ac:dyDescent="0.25">
      <c r="A124" s="222"/>
      <c r="B124" s="146"/>
      <c r="C124" s="12"/>
      <c r="D124" s="12"/>
      <c r="E124" s="12"/>
      <c r="F124" s="12"/>
      <c r="G124" s="240">
        <f>H121</f>
        <v>368.67535714285714</v>
      </c>
      <c r="H124" s="152">
        <f>H120</f>
        <v>6183.7713529859884</v>
      </c>
      <c r="I124" s="230"/>
    </row>
    <row r="125" spans="1:9" ht="18.75" customHeight="1" x14ac:dyDescent="0.25">
      <c r="A125" s="222"/>
      <c r="B125" s="12"/>
      <c r="C125" s="12"/>
      <c r="D125" s="12"/>
      <c r="E125" s="12"/>
      <c r="F125" s="12"/>
      <c r="G125" s="31"/>
      <c r="H125" s="152"/>
      <c r="I125" s="236"/>
    </row>
    <row r="126" spans="1:9" ht="18.75" customHeight="1" x14ac:dyDescent="0.25">
      <c r="A126" s="222"/>
      <c r="B126" s="146" t="s">
        <v>577</v>
      </c>
      <c r="C126" s="12"/>
      <c r="D126" s="31"/>
      <c r="E126" s="12"/>
      <c r="F126" s="28"/>
      <c r="G126" s="31" t="s">
        <v>578</v>
      </c>
      <c r="H126" s="155">
        <f>H124/G124</f>
        <v>16.772944633209789</v>
      </c>
      <c r="I126" s="236" t="s">
        <v>49</v>
      </c>
    </row>
    <row r="127" spans="1:9" ht="18.75" customHeight="1" x14ac:dyDescent="0.25">
      <c r="A127" s="222"/>
      <c r="B127" s="12" t="s">
        <v>572</v>
      </c>
      <c r="C127" s="31"/>
      <c r="D127" s="28"/>
      <c r="E127" s="12"/>
      <c r="F127" s="28"/>
      <c r="G127" s="31" t="s">
        <v>579</v>
      </c>
      <c r="H127" s="154">
        <f>H121*H126</f>
        <v>6183.7713529859884</v>
      </c>
      <c r="I127" s="236" t="s">
        <v>115</v>
      </c>
    </row>
    <row r="128" spans="1:9" ht="18.75" customHeight="1" x14ac:dyDescent="0.25">
      <c r="A128" s="222"/>
      <c r="B128" s="12" t="s">
        <v>570</v>
      </c>
      <c r="C128" s="31"/>
      <c r="D128" s="28"/>
      <c r="E128" s="12"/>
      <c r="F128" s="28"/>
      <c r="G128" s="31" t="s">
        <v>580</v>
      </c>
      <c r="H128" s="154">
        <f>H118*H89/1000</f>
        <v>6183.7713529859884</v>
      </c>
      <c r="I128" s="236" t="s">
        <v>115</v>
      </c>
    </row>
    <row r="129" spans="1:9" ht="18.75" customHeight="1" x14ac:dyDescent="0.25">
      <c r="A129" s="222"/>
      <c r="B129" s="146"/>
      <c r="C129" s="12"/>
      <c r="D129" s="12"/>
      <c r="E129" s="12"/>
      <c r="F129" s="12"/>
      <c r="G129" s="28"/>
      <c r="H129" s="32"/>
      <c r="I129" s="229"/>
    </row>
    <row r="130" spans="1:9" ht="18.75" customHeight="1" x14ac:dyDescent="0.25">
      <c r="A130" s="222"/>
      <c r="B130" s="146" t="s">
        <v>581</v>
      </c>
      <c r="C130" s="12"/>
      <c r="D130" s="12"/>
      <c r="E130" s="12"/>
      <c r="F130" s="12"/>
      <c r="G130" s="28"/>
      <c r="H130" s="32"/>
      <c r="I130" s="229"/>
    </row>
    <row r="131" spans="1:9" ht="18.75" customHeight="1" x14ac:dyDescent="0.25">
      <c r="A131" s="222"/>
      <c r="B131" s="12"/>
      <c r="C131" s="146" t="s">
        <v>582</v>
      </c>
      <c r="D131" s="12"/>
      <c r="E131" s="31"/>
      <c r="F131" s="28"/>
      <c r="G131" s="32"/>
      <c r="H131" s="12"/>
      <c r="I131" s="230"/>
    </row>
    <row r="132" spans="1:9" ht="18.75" customHeight="1" x14ac:dyDescent="0.25">
      <c r="A132" s="222"/>
      <c r="B132" s="146"/>
      <c r="C132" s="12"/>
      <c r="D132" s="12" t="s">
        <v>583</v>
      </c>
      <c r="E132" s="12"/>
      <c r="F132" s="12" t="s">
        <v>584</v>
      </c>
      <c r="G132" s="31"/>
      <c r="H132" s="28"/>
      <c r="I132" s="230"/>
    </row>
    <row r="133" spans="1:9" ht="18.75" customHeight="1" x14ac:dyDescent="0.25">
      <c r="A133" s="222"/>
      <c r="B133" s="12"/>
      <c r="C133" s="12"/>
      <c r="D133" s="149">
        <f>(H87-H126)/H126*0.003</f>
        <v>7.3730712951367475E-2</v>
      </c>
      <c r="E133" s="28" t="str">
        <f>IF(D133&lt;F133,"&lt;","&gt;")</f>
        <v>&gt;</v>
      </c>
      <c r="F133" s="28">
        <f>H89/H90</f>
        <v>2E-3</v>
      </c>
      <c r="G133" s="12"/>
      <c r="H133" s="12"/>
      <c r="I133" s="230"/>
    </row>
    <row r="134" spans="1:9" ht="18.75" customHeight="1" x14ac:dyDescent="0.25">
      <c r="A134" s="222"/>
      <c r="B134" s="146" t="s">
        <v>585</v>
      </c>
      <c r="C134" s="12"/>
      <c r="D134" s="12"/>
      <c r="E134" s="12"/>
      <c r="F134" s="12"/>
      <c r="G134" s="29" t="s">
        <v>338</v>
      </c>
      <c r="H134" s="150" t="str">
        <f>IF(D133&lt;=F133,"Tekanan Terkontrol",IF(D133&lt;0.005,"Transisi",IF(D133&gt;0.005,"Tegangan Terkontrol","EROR")))</f>
        <v>Tegangan Terkontrol</v>
      </c>
      <c r="I134" s="223"/>
    </row>
    <row r="135" spans="1:9" ht="18.75" customHeight="1" x14ac:dyDescent="0.25">
      <c r="A135" s="222"/>
      <c r="B135" s="146"/>
      <c r="C135" s="12"/>
      <c r="D135" s="12"/>
      <c r="E135" s="12"/>
      <c r="F135" s="12"/>
      <c r="G135" s="29"/>
      <c r="H135" s="150"/>
      <c r="I135" s="223"/>
    </row>
    <row r="136" spans="1:9" ht="18.75" customHeight="1" x14ac:dyDescent="0.25">
      <c r="A136" s="222"/>
      <c r="B136" s="146" t="s">
        <v>586</v>
      </c>
      <c r="C136" s="12"/>
      <c r="D136" s="12"/>
      <c r="E136" s="12"/>
      <c r="F136" s="12"/>
      <c r="G136" s="31" t="str">
        <f>IF(D133&lt;=F133,"φ =",IF(D133&lt;0.005,"φ = 0,65 + 0,25 * (εs' - εs-yield)/(0,005 - εs-yield) =",IF(D133&gt;0.005,"φ =","EROR")))</f>
        <v>φ =</v>
      </c>
      <c r="H136" s="155">
        <f>IF(D133&lt;=F133,0.65,IF(D133&lt;0.005,0.65+0.25*(D133-F133)/(0.005-F133),IF(D133&gt;0.005,0.9,"EROR")))</f>
        <v>0.9</v>
      </c>
      <c r="I136" s="223"/>
    </row>
    <row r="137" spans="1:9" ht="18.75" customHeight="1" x14ac:dyDescent="0.25">
      <c r="A137" s="222"/>
      <c r="B137" s="146" t="s">
        <v>587</v>
      </c>
      <c r="C137" s="12"/>
      <c r="D137" s="12"/>
      <c r="E137" s="12"/>
      <c r="F137" s="12"/>
      <c r="G137" s="31" t="s">
        <v>588</v>
      </c>
      <c r="H137" s="154">
        <f>H127*(H87-H94*H126/2)/1000</f>
        <v>2609.4977447889055</v>
      </c>
      <c r="I137" s="223" t="s">
        <v>145</v>
      </c>
    </row>
    <row r="138" spans="1:9" ht="18.75" customHeight="1" x14ac:dyDescent="0.25">
      <c r="A138" s="222"/>
      <c r="B138" s="146"/>
      <c r="C138" s="12"/>
      <c r="D138" s="12"/>
      <c r="E138" s="12"/>
      <c r="F138" s="12"/>
      <c r="G138" s="31"/>
      <c r="H138" s="152"/>
      <c r="I138" s="223"/>
    </row>
    <row r="139" spans="1:9" ht="18.75" customHeight="1" x14ac:dyDescent="0.25">
      <c r="A139" s="222"/>
      <c r="B139" s="12"/>
      <c r="C139" s="12" t="s">
        <v>334</v>
      </c>
      <c r="D139" s="242" t="s">
        <v>589</v>
      </c>
      <c r="E139" s="28" t="s">
        <v>449</v>
      </c>
      <c r="F139" s="242" t="s">
        <v>590</v>
      </c>
      <c r="G139" s="12"/>
      <c r="H139" s="12"/>
      <c r="I139" s="230"/>
    </row>
    <row r="140" spans="1:9" ht="18.75" customHeight="1" x14ac:dyDescent="0.25">
      <c r="A140" s="222"/>
      <c r="B140" s="12"/>
      <c r="C140" s="12"/>
      <c r="D140" s="154">
        <f>H136*H137</f>
        <v>2348.547970310015</v>
      </c>
      <c r="E140" s="28" t="str">
        <f>IF(D140&gt;F140,"&gt;","&lt;")</f>
        <v>&gt;</v>
      </c>
      <c r="F140" s="154">
        <f>H83</f>
        <v>1429.5025264229694</v>
      </c>
      <c r="G140" s="29" t="s">
        <v>338</v>
      </c>
      <c r="H140" s="156" t="str">
        <f>IF(D140&gt;=F140,"[ OK ]","[ NOT OK ]")</f>
        <v>[ OK ]</v>
      </c>
      <c r="I140" s="230"/>
    </row>
    <row r="141" spans="1:9" ht="18.75" customHeight="1" x14ac:dyDescent="0.25">
      <c r="A141" s="168"/>
      <c r="B141" s="61"/>
      <c r="C141" s="2"/>
      <c r="D141" s="2"/>
      <c r="E141" s="1"/>
      <c r="F141" s="1"/>
      <c r="G141" s="1"/>
      <c r="H141" s="2"/>
      <c r="I141" s="211"/>
    </row>
    <row r="142" spans="1:9" ht="18.75" customHeight="1" x14ac:dyDescent="0.25">
      <c r="A142" s="165"/>
      <c r="B142" s="206" t="s">
        <v>705</v>
      </c>
      <c r="C142" s="207"/>
      <c r="D142" s="207"/>
      <c r="E142" s="207"/>
      <c r="F142" s="207"/>
      <c r="G142" s="207"/>
      <c r="H142" s="207"/>
      <c r="I142" s="208"/>
    </row>
    <row r="143" spans="1:9" ht="18.75" customHeight="1" x14ac:dyDescent="0.25">
      <c r="A143" s="168"/>
      <c r="B143" s="2" t="s">
        <v>494</v>
      </c>
      <c r="C143" s="2"/>
      <c r="D143" s="2"/>
      <c r="E143" s="2"/>
      <c r="F143" s="1"/>
      <c r="G143" s="3" t="s">
        <v>706</v>
      </c>
      <c r="H143" s="170">
        <f>'Process (3)'!I245</f>
        <v>1186.3415677816974</v>
      </c>
      <c r="I143" s="171" t="s">
        <v>487</v>
      </c>
    </row>
    <row r="144" spans="1:9" ht="18.75" customHeight="1" x14ac:dyDescent="0.25">
      <c r="A144" s="168"/>
      <c r="B144" s="2" t="s">
        <v>512</v>
      </c>
      <c r="C144" s="2"/>
      <c r="D144" s="2"/>
      <c r="E144" s="2"/>
      <c r="F144" s="2"/>
      <c r="G144" s="3" t="s">
        <v>604</v>
      </c>
      <c r="H144" s="67">
        <f>$H$5</f>
        <v>17300</v>
      </c>
      <c r="I144" s="171" t="s">
        <v>49</v>
      </c>
    </row>
    <row r="145" spans="1:9" ht="18.75" customHeight="1" x14ac:dyDescent="0.25">
      <c r="A145" s="168"/>
      <c r="B145" s="2" t="s">
        <v>481</v>
      </c>
      <c r="C145" s="2"/>
      <c r="D145" s="2"/>
      <c r="E145" s="2"/>
      <c r="F145" s="1"/>
      <c r="G145" s="3" t="s">
        <v>482</v>
      </c>
      <c r="H145" s="170">
        <f>H86</f>
        <v>121</v>
      </c>
      <c r="I145" s="171" t="s">
        <v>0</v>
      </c>
    </row>
    <row r="146" spans="1:9" ht="18.75" customHeight="1" x14ac:dyDescent="0.25">
      <c r="A146" s="168"/>
      <c r="B146" s="2" t="s">
        <v>605</v>
      </c>
      <c r="C146" s="2"/>
      <c r="D146" s="2"/>
      <c r="E146" s="2"/>
      <c r="F146" s="2"/>
      <c r="G146" s="3" t="s">
        <v>707</v>
      </c>
      <c r="H146" s="170">
        <f>H87</f>
        <v>429</v>
      </c>
      <c r="I146" s="171" t="s">
        <v>49</v>
      </c>
    </row>
    <row r="147" spans="1:9" ht="18.75" customHeight="1" x14ac:dyDescent="0.25">
      <c r="A147" s="168"/>
      <c r="B147" s="2" t="s">
        <v>513</v>
      </c>
      <c r="C147" s="2"/>
      <c r="D147" s="2"/>
      <c r="E147" s="2"/>
      <c r="F147" s="2"/>
      <c r="G147" s="3" t="s">
        <v>514</v>
      </c>
      <c r="H147" s="67">
        <f>MAX(H144/H85,H85/H144)</f>
        <v>31.454545454545453</v>
      </c>
      <c r="I147" s="171"/>
    </row>
    <row r="148" spans="1:9" ht="18.75" customHeight="1" x14ac:dyDescent="0.25">
      <c r="A148" s="168"/>
      <c r="B148" s="1"/>
      <c r="C148" s="2"/>
      <c r="D148" s="2"/>
      <c r="E148" s="2"/>
      <c r="F148" s="2"/>
      <c r="G148" s="1"/>
      <c r="H148" s="210"/>
      <c r="I148" s="171"/>
    </row>
    <row r="149" spans="1:9" ht="18.75" customHeight="1" x14ac:dyDescent="0.25">
      <c r="A149" s="168"/>
      <c r="B149" s="2" t="s">
        <v>515</v>
      </c>
      <c r="C149" s="2"/>
      <c r="D149" s="2"/>
      <c r="E149" s="2"/>
      <c r="F149" s="2"/>
      <c r="G149" s="3" t="s">
        <v>516</v>
      </c>
      <c r="H149" s="170">
        <f>(1+2/H147)*SQRT(H88)*H144*H146/6*0.001</f>
        <v>7205.8379665379643</v>
      </c>
      <c r="I149" s="171" t="s">
        <v>115</v>
      </c>
    </row>
    <row r="150" spans="1:9" ht="18.75" customHeight="1" x14ac:dyDescent="0.25">
      <c r="A150" s="168"/>
      <c r="B150" s="2"/>
      <c r="C150" s="2"/>
      <c r="D150" s="2"/>
      <c r="E150" s="2"/>
      <c r="F150" s="2"/>
      <c r="G150" s="3" t="s">
        <v>517</v>
      </c>
      <c r="H150" s="170">
        <f>(40*H146/H144+2)*SQRT(H88)*H144*H146/12*0.001</f>
        <v>10135.167748587097</v>
      </c>
      <c r="I150" s="171" t="s">
        <v>115</v>
      </c>
    </row>
    <row r="151" spans="1:9" ht="18.75" customHeight="1" x14ac:dyDescent="0.25">
      <c r="A151" s="168"/>
      <c r="B151" s="2"/>
      <c r="C151" s="2"/>
      <c r="D151" s="2"/>
      <c r="E151" s="2"/>
      <c r="F151" s="2"/>
      <c r="G151" s="3" t="s">
        <v>518</v>
      </c>
      <c r="H151" s="170">
        <f>1/3*SQRT(H88)*H144*H146*0.001</f>
        <v>13550.108350120303</v>
      </c>
      <c r="I151" s="171" t="s">
        <v>115</v>
      </c>
    </row>
    <row r="152" spans="1:9" ht="18.75" customHeight="1" x14ac:dyDescent="0.25">
      <c r="A152" s="168"/>
      <c r="B152" s="2" t="s">
        <v>519</v>
      </c>
      <c r="C152" s="2"/>
      <c r="D152" s="2"/>
      <c r="E152" s="2"/>
      <c r="F152" s="2"/>
      <c r="G152" s="3" t="s">
        <v>520</v>
      </c>
      <c r="H152" s="170">
        <f>MIN(H149:H151)</f>
        <v>7205.8379665379643</v>
      </c>
      <c r="I152" s="171" t="s">
        <v>115</v>
      </c>
    </row>
    <row r="153" spans="1:9" ht="18.75" customHeight="1" x14ac:dyDescent="0.25">
      <c r="A153" s="168"/>
      <c r="B153" s="2" t="s">
        <v>446</v>
      </c>
      <c r="C153" s="2"/>
      <c r="D153" s="2"/>
      <c r="E153" s="2"/>
      <c r="F153" s="2"/>
      <c r="G153" s="3" t="s">
        <v>433</v>
      </c>
      <c r="H153" s="67">
        <v>0.75</v>
      </c>
      <c r="I153" s="171"/>
    </row>
    <row r="154" spans="1:9" ht="18.75" customHeight="1" x14ac:dyDescent="0.25">
      <c r="A154" s="168"/>
      <c r="B154" s="2" t="s">
        <v>521</v>
      </c>
      <c r="C154" s="2"/>
      <c r="D154" s="2"/>
      <c r="E154" s="2"/>
      <c r="F154" s="2"/>
      <c r="G154" s="3" t="s">
        <v>448</v>
      </c>
      <c r="H154" s="170">
        <f>H153*H152</f>
        <v>5404.378474903473</v>
      </c>
      <c r="I154" s="171" t="s">
        <v>115</v>
      </c>
    </row>
    <row r="155" spans="1:9" ht="18.75" customHeight="1" x14ac:dyDescent="0.25">
      <c r="A155" s="168"/>
      <c r="B155" s="2" t="s">
        <v>522</v>
      </c>
      <c r="C155" s="2"/>
      <c r="D155" s="2"/>
      <c r="E155" s="1"/>
      <c r="F155" s="1"/>
      <c r="G155" s="1"/>
      <c r="H155" s="1"/>
      <c r="I155" s="211"/>
    </row>
    <row r="156" spans="1:9" ht="18.75" customHeight="1" x14ac:dyDescent="0.25">
      <c r="A156" s="168"/>
      <c r="B156" s="2"/>
      <c r="C156" s="2" t="s">
        <v>523</v>
      </c>
      <c r="D156" s="212" t="s">
        <v>524</v>
      </c>
      <c r="E156" s="89" t="s">
        <v>449</v>
      </c>
      <c r="F156" s="212" t="s">
        <v>525</v>
      </c>
      <c r="G156" s="2"/>
      <c r="H156" s="1"/>
      <c r="I156" s="198"/>
    </row>
    <row r="157" spans="1:9" ht="18.75" customHeight="1" x14ac:dyDescent="0.25">
      <c r="A157" s="168"/>
      <c r="B157" s="2"/>
      <c r="C157" s="2"/>
      <c r="D157" s="170">
        <f>H154</f>
        <v>5404.378474903473</v>
      </c>
      <c r="E157" s="213" t="str">
        <f>IF(D157&lt;=F157,"&lt;","&gt;")</f>
        <v>&gt;</v>
      </c>
      <c r="F157" s="170">
        <f>H143</f>
        <v>1186.3415677816974</v>
      </c>
      <c r="G157" s="214" t="s">
        <v>338</v>
      </c>
      <c r="H157" s="25" t="str">
        <f>IF(D157&gt;F157,"[ OK ]","[ NOT OK ]")</f>
        <v>[ OK ]</v>
      </c>
      <c r="I157" s="198"/>
    </row>
    <row r="158" spans="1:9" ht="18.75" customHeight="1" x14ac:dyDescent="0.25">
      <c r="A158" s="168"/>
      <c r="B158" s="2"/>
      <c r="C158" s="2"/>
      <c r="D158" s="2"/>
      <c r="E158" s="2"/>
      <c r="F158" s="1"/>
      <c r="G158" s="1"/>
      <c r="H158" s="1"/>
      <c r="I158" s="198"/>
    </row>
    <row r="159" spans="1:9" ht="18.75" customHeight="1" x14ac:dyDescent="0.25">
      <c r="A159" s="168"/>
      <c r="B159" s="2"/>
      <c r="C159" s="2"/>
      <c r="D159" s="2"/>
      <c r="E159" s="2"/>
      <c r="F159" s="2"/>
      <c r="G159" s="1"/>
      <c r="H159" s="1"/>
      <c r="I159" s="198"/>
    </row>
    <row r="160" spans="1:9" ht="18.75" customHeight="1" x14ac:dyDescent="0.25">
      <c r="A160" s="161" t="s">
        <v>849</v>
      </c>
      <c r="B160" s="199" t="s">
        <v>712</v>
      </c>
      <c r="C160" s="200"/>
      <c r="D160" s="200"/>
      <c r="E160" s="200"/>
      <c r="F160" s="200"/>
      <c r="G160" s="200"/>
      <c r="H160" s="200"/>
      <c r="I160" s="205"/>
    </row>
    <row r="161" spans="1:9" ht="18.75" customHeight="1" x14ac:dyDescent="0.25">
      <c r="A161" s="165"/>
      <c r="B161" s="206" t="s">
        <v>704</v>
      </c>
      <c r="C161" s="207"/>
      <c r="D161" s="207"/>
      <c r="E161" s="207"/>
      <c r="F161" s="207"/>
      <c r="G161" s="207"/>
      <c r="H161" s="207"/>
      <c r="I161" s="208"/>
    </row>
    <row r="162" spans="1:9" ht="18.75" customHeight="1" x14ac:dyDescent="0.25">
      <c r="A162" s="168"/>
      <c r="B162" s="2" t="s">
        <v>539</v>
      </c>
      <c r="C162" s="2"/>
      <c r="D162" s="2"/>
      <c r="E162" s="2"/>
      <c r="F162" s="2"/>
      <c r="G162" s="3" t="s">
        <v>702</v>
      </c>
      <c r="H162" s="170">
        <f>'Process (3)'!I358</f>
        <v>161.87734059757756</v>
      </c>
      <c r="I162" s="171" t="s">
        <v>417</v>
      </c>
    </row>
    <row r="163" spans="1:9" ht="18.75" customHeight="1" x14ac:dyDescent="0.25">
      <c r="A163" s="168"/>
      <c r="B163" s="2" t="s">
        <v>541</v>
      </c>
      <c r="C163" s="2"/>
      <c r="D163" s="2"/>
      <c r="E163" s="1"/>
      <c r="F163" s="1"/>
      <c r="G163" s="3" t="s">
        <v>243</v>
      </c>
      <c r="H163" s="67">
        <f>'Input (1)'!$I$58*1000</f>
        <v>17300</v>
      </c>
      <c r="I163" s="171" t="s">
        <v>49</v>
      </c>
    </row>
    <row r="164" spans="1:9" ht="18.75" customHeight="1" x14ac:dyDescent="0.25">
      <c r="A164" s="168"/>
      <c r="B164" s="2" t="s">
        <v>253</v>
      </c>
      <c r="C164" s="2"/>
      <c r="D164" s="2"/>
      <c r="E164" s="1"/>
      <c r="F164" s="1"/>
      <c r="G164" s="3" t="s">
        <v>713</v>
      </c>
      <c r="H164" s="67">
        <f>'Input (1)'!F38*1000</f>
        <v>350</v>
      </c>
      <c r="I164" s="171" t="s">
        <v>49</v>
      </c>
    </row>
    <row r="165" spans="1:9" ht="18.75" customHeight="1" x14ac:dyDescent="0.25">
      <c r="A165" s="168"/>
      <c r="B165" s="2" t="s">
        <v>542</v>
      </c>
      <c r="C165" s="2"/>
      <c r="D165" s="2"/>
      <c r="E165" s="1"/>
      <c r="F165" s="1"/>
      <c r="G165" s="3" t="s">
        <v>482</v>
      </c>
      <c r="H165" s="209">
        <f>'Input (1)'!$I$74+'Input (1)'!$I$15+0.5*'Input (1)'!$I$14</f>
        <v>116.5</v>
      </c>
      <c r="I165" s="171" t="s">
        <v>49</v>
      </c>
    </row>
    <row r="166" spans="1:9" ht="18.75" customHeight="1" x14ac:dyDescent="0.25">
      <c r="A166" s="168"/>
      <c r="B166" s="2" t="s">
        <v>543</v>
      </c>
      <c r="C166" s="2"/>
      <c r="D166" s="2"/>
      <c r="E166" s="1"/>
      <c r="F166" s="1"/>
      <c r="G166" s="3" t="s">
        <v>484</v>
      </c>
      <c r="H166" s="209">
        <f>H164-H165</f>
        <v>233.5</v>
      </c>
      <c r="I166" s="171" t="s">
        <v>49</v>
      </c>
    </row>
    <row r="167" spans="1:9" ht="18.75" customHeight="1" x14ac:dyDescent="0.25">
      <c r="A167" s="168"/>
      <c r="B167" s="2" t="s">
        <v>544</v>
      </c>
      <c r="C167" s="2"/>
      <c r="D167" s="2"/>
      <c r="E167" s="1"/>
      <c r="F167" s="1"/>
      <c r="G167" s="219" t="s">
        <v>545</v>
      </c>
      <c r="H167" s="209">
        <f>'Input (1)'!$I$3</f>
        <v>30</v>
      </c>
      <c r="I167" s="171" t="s">
        <v>7</v>
      </c>
    </row>
    <row r="168" spans="1:9" ht="18.75" customHeight="1" x14ac:dyDescent="0.25">
      <c r="A168" s="168"/>
      <c r="B168" s="2" t="s">
        <v>546</v>
      </c>
      <c r="C168" s="2"/>
      <c r="D168" s="2"/>
      <c r="E168" s="1"/>
      <c r="F168" s="1"/>
      <c r="G168" s="3" t="s">
        <v>447</v>
      </c>
      <c r="H168" s="209">
        <f>'Input (1)'!$I$4</f>
        <v>400</v>
      </c>
      <c r="I168" s="171" t="s">
        <v>7</v>
      </c>
    </row>
    <row r="169" spans="1:9" ht="18.75" customHeight="1" x14ac:dyDescent="0.25">
      <c r="A169" s="168"/>
      <c r="B169" s="220" t="s">
        <v>9</v>
      </c>
      <c r="C169" s="2"/>
      <c r="D169" s="2"/>
      <c r="E169" s="1"/>
      <c r="F169" s="1"/>
      <c r="G169" s="3" t="s">
        <v>547</v>
      </c>
      <c r="H169" s="221">
        <v>200000</v>
      </c>
      <c r="I169" s="171" t="s">
        <v>7</v>
      </c>
    </row>
    <row r="170" spans="1:9" ht="18.75" customHeight="1" x14ac:dyDescent="0.25">
      <c r="A170" s="222"/>
      <c r="B170" s="12" t="s">
        <v>548</v>
      </c>
      <c r="C170" s="12"/>
      <c r="D170" s="12"/>
      <c r="E170" s="12"/>
      <c r="F170" s="12"/>
      <c r="G170" s="31" t="s">
        <v>549</v>
      </c>
      <c r="H170" s="153" t="str">
        <f>IF(H167&gt;=17,IF(H167&lt;=28,0.85,"-"),"-")</f>
        <v>-</v>
      </c>
      <c r="I170" s="223"/>
    </row>
    <row r="171" spans="1:9" ht="18.75" customHeight="1" x14ac:dyDescent="0.25">
      <c r="A171" s="222"/>
      <c r="B171" s="12" t="s">
        <v>550</v>
      </c>
      <c r="C171" s="12"/>
      <c r="D171" s="12"/>
      <c r="E171" s="12"/>
      <c r="F171" s="12"/>
      <c r="G171" s="31" t="s">
        <v>551</v>
      </c>
      <c r="H171" s="154">
        <f>IF(H167&gt;28,IF(H167&lt;55,0.85-0.05*(H167-28)/7,"-"),"-")</f>
        <v>0.83571428571428574</v>
      </c>
      <c r="I171" s="223"/>
    </row>
    <row r="172" spans="1:9" ht="18.75" customHeight="1" x14ac:dyDescent="0.25">
      <c r="A172" s="222"/>
      <c r="B172" s="12" t="s">
        <v>552</v>
      </c>
      <c r="C172" s="12"/>
      <c r="D172" s="12"/>
      <c r="E172" s="12"/>
      <c r="F172" s="12"/>
      <c r="G172" s="31" t="s">
        <v>549</v>
      </c>
      <c r="H172" s="154" t="str">
        <f>IF(H167&gt;=55,0.65,"-")</f>
        <v>-</v>
      </c>
      <c r="I172" s="223"/>
    </row>
    <row r="173" spans="1:9" ht="18.75" customHeight="1" x14ac:dyDescent="0.25">
      <c r="A173" s="222"/>
      <c r="B173" s="12" t="s">
        <v>427</v>
      </c>
      <c r="C173" s="12"/>
      <c r="D173" s="12"/>
      <c r="E173" s="12"/>
      <c r="F173" s="29" t="s">
        <v>338</v>
      </c>
      <c r="G173" s="31" t="s">
        <v>549</v>
      </c>
      <c r="H173" s="154">
        <f>MAX(H170:H172)</f>
        <v>0.83571428571428574</v>
      </c>
      <c r="I173" s="223"/>
    </row>
    <row r="174" spans="1:9" ht="18.75" customHeight="1" x14ac:dyDescent="0.25">
      <c r="A174" s="222"/>
      <c r="B174" s="12" t="s">
        <v>428</v>
      </c>
      <c r="C174" s="12"/>
      <c r="D174" s="12"/>
      <c r="E174" s="12"/>
      <c r="F174" s="29"/>
      <c r="G174" s="31"/>
      <c r="H174" s="28"/>
      <c r="I174" s="223"/>
    </row>
    <row r="175" spans="1:9" ht="18.75" customHeight="1" x14ac:dyDescent="0.25">
      <c r="A175" s="222"/>
      <c r="B175" s="12"/>
      <c r="C175" s="147"/>
      <c r="D175" s="12"/>
      <c r="E175" s="12"/>
      <c r="F175" s="12"/>
      <c r="G175" s="31" t="s">
        <v>429</v>
      </c>
      <c r="H175" s="224">
        <f>H173*0.85*H167/H168*(600/(600+H168))</f>
        <v>3.1966071428571427E-2</v>
      </c>
      <c r="I175" s="223"/>
    </row>
    <row r="176" spans="1:9" ht="18.75" customHeight="1" x14ac:dyDescent="0.25">
      <c r="A176" s="222"/>
      <c r="B176" s="12" t="s">
        <v>430</v>
      </c>
      <c r="C176" s="12"/>
      <c r="D176" s="148"/>
      <c r="E176" s="28"/>
      <c r="F176" s="146"/>
      <c r="G176" s="31" t="s">
        <v>431</v>
      </c>
      <c r="H176" s="224">
        <f>0.75*H175</f>
        <v>2.397455357142857E-2</v>
      </c>
      <c r="I176" s="223"/>
    </row>
    <row r="177" spans="1:9" ht="18.75" customHeight="1" x14ac:dyDescent="0.25">
      <c r="A177" s="222"/>
      <c r="B177" s="12" t="s">
        <v>432</v>
      </c>
      <c r="C177" s="12"/>
      <c r="D177" s="12"/>
      <c r="E177" s="146"/>
      <c r="F177" s="12"/>
      <c r="G177" s="3" t="s">
        <v>594</v>
      </c>
      <c r="H177" s="224">
        <v>2E-3</v>
      </c>
      <c r="I177" s="223"/>
    </row>
    <row r="178" spans="1:9" ht="18.75" customHeight="1" x14ac:dyDescent="0.25">
      <c r="A178" s="222"/>
      <c r="B178" s="12"/>
      <c r="C178" s="12"/>
      <c r="D178" s="12"/>
      <c r="E178" s="12"/>
      <c r="F178" s="12"/>
      <c r="G178" s="31"/>
      <c r="H178" s="225"/>
      <c r="I178" s="223"/>
    </row>
    <row r="179" spans="1:9" ht="18.75" customHeight="1" x14ac:dyDescent="0.25">
      <c r="A179" s="222"/>
      <c r="B179" s="12" t="s">
        <v>553</v>
      </c>
      <c r="C179" s="12"/>
      <c r="D179" s="12"/>
      <c r="E179" s="12"/>
      <c r="F179" s="31"/>
      <c r="G179" s="31" t="s">
        <v>554</v>
      </c>
      <c r="H179" s="155">
        <v>0.85</v>
      </c>
      <c r="I179" s="223"/>
    </row>
    <row r="180" spans="1:9" ht="18.75" customHeight="1" x14ac:dyDescent="0.25">
      <c r="A180" s="222"/>
      <c r="B180" s="12" t="s">
        <v>555</v>
      </c>
      <c r="C180" s="12"/>
      <c r="D180" s="12"/>
      <c r="E180" s="12"/>
      <c r="F180" s="31"/>
      <c r="G180" s="31" t="s">
        <v>556</v>
      </c>
      <c r="H180" s="154">
        <f>H162/H179</f>
        <v>190.44393011479713</v>
      </c>
      <c r="I180" s="223" t="s">
        <v>145</v>
      </c>
    </row>
    <row r="181" spans="1:9" ht="18.75" customHeight="1" x14ac:dyDescent="0.25">
      <c r="A181" s="222"/>
      <c r="B181" s="12" t="s">
        <v>557</v>
      </c>
      <c r="C181" s="147"/>
      <c r="D181" s="12"/>
      <c r="E181" s="12"/>
      <c r="F181" s="12"/>
      <c r="G181" s="226" t="s">
        <v>558</v>
      </c>
      <c r="H181" s="154">
        <f>H180*10^6/(H163*H166^2)</f>
        <v>0.20190508755260214</v>
      </c>
      <c r="I181" s="227"/>
    </row>
    <row r="182" spans="1:9" ht="18.75" customHeight="1" x14ac:dyDescent="0.25">
      <c r="A182" s="222"/>
      <c r="B182" s="12" t="s">
        <v>559</v>
      </c>
      <c r="C182" s="12"/>
      <c r="D182" s="12"/>
      <c r="E182" s="12"/>
      <c r="F182" s="12"/>
      <c r="G182" s="31" t="s">
        <v>560</v>
      </c>
      <c r="H182" s="154">
        <f>H168/(0.85*H167)</f>
        <v>15.686274509803921</v>
      </c>
      <c r="I182" s="228"/>
    </row>
    <row r="183" spans="1:9" ht="18.75" customHeight="1" x14ac:dyDescent="0.25">
      <c r="A183" s="222"/>
      <c r="B183" s="12" t="s">
        <v>561</v>
      </c>
      <c r="C183" s="147"/>
      <c r="D183" s="12"/>
      <c r="E183" s="12"/>
      <c r="F183" s="12"/>
      <c r="G183" s="226" t="s">
        <v>562</v>
      </c>
      <c r="H183" s="224">
        <f>1/H182*(1-(1-2*H182*H181/H168)^0.5)</f>
        <v>5.0677701648493628E-4</v>
      </c>
      <c r="I183" s="227"/>
    </row>
    <row r="184" spans="1:9" ht="18.75" customHeight="1" x14ac:dyDescent="0.25">
      <c r="A184" s="222"/>
      <c r="B184" s="12" t="s">
        <v>434</v>
      </c>
      <c r="C184" s="12"/>
      <c r="D184" s="12"/>
      <c r="E184" s="12"/>
      <c r="F184" s="12"/>
      <c r="G184" s="149"/>
      <c r="H184" s="32"/>
      <c r="I184" s="229"/>
    </row>
    <row r="185" spans="1:9" ht="18.75" customHeight="1" x14ac:dyDescent="0.25">
      <c r="A185" s="222"/>
      <c r="B185" s="12"/>
      <c r="C185" s="12" t="s">
        <v>334</v>
      </c>
      <c r="D185" s="28" t="s">
        <v>435</v>
      </c>
      <c r="E185" s="28" t="s">
        <v>436</v>
      </c>
      <c r="F185" s="28" t="s">
        <v>437</v>
      </c>
      <c r="G185" s="31"/>
      <c r="H185" s="149"/>
      <c r="I185" s="230"/>
    </row>
    <row r="186" spans="1:9" ht="18.75" customHeight="1" x14ac:dyDescent="0.25">
      <c r="A186" s="222"/>
      <c r="B186" s="12"/>
      <c r="C186" s="12"/>
      <c r="D186" s="149">
        <f>H177</f>
        <v>2E-3</v>
      </c>
      <c r="E186" s="149">
        <f>H183</f>
        <v>5.0677701648493628E-4</v>
      </c>
      <c r="F186" s="149">
        <f>H176</f>
        <v>2.397455357142857E-2</v>
      </c>
      <c r="G186" s="29" t="s">
        <v>338</v>
      </c>
      <c r="H186" s="156" t="str">
        <f>IF(D186&lt;E186,(IF(E186&lt;F186,"[ OK ]","[ NOT OK ]")),"[ Pakai ρmin ]")</f>
        <v>[ Pakai ρmin ]</v>
      </c>
      <c r="I186" s="230"/>
    </row>
    <row r="187" spans="1:9" ht="18.75" customHeight="1" x14ac:dyDescent="0.25">
      <c r="A187" s="222"/>
      <c r="B187" s="12"/>
      <c r="C187" s="12"/>
      <c r="D187" s="12"/>
      <c r="E187" s="12"/>
      <c r="F187" s="12"/>
      <c r="G187" s="31"/>
      <c r="H187" s="28"/>
      <c r="I187" s="229"/>
    </row>
    <row r="188" spans="1:9" ht="18.75" customHeight="1" x14ac:dyDescent="0.25">
      <c r="A188" s="222"/>
      <c r="B188" s="12" t="s">
        <v>563</v>
      </c>
      <c r="C188" s="12"/>
      <c r="D188" s="12"/>
      <c r="E188" s="12"/>
      <c r="F188" s="12"/>
      <c r="G188" s="31" t="s">
        <v>564</v>
      </c>
      <c r="H188" s="224">
        <f>IF(D186&lt;E186,(IF(E186&lt;F186,E186,"[ NOT OK ]")),D186)</f>
        <v>2E-3</v>
      </c>
      <c r="I188" s="228"/>
    </row>
    <row r="189" spans="1:9" ht="18.75" customHeight="1" x14ac:dyDescent="0.25">
      <c r="A189" s="222"/>
      <c r="B189" s="12"/>
      <c r="C189" s="12"/>
      <c r="D189" s="149"/>
      <c r="E189" s="149"/>
      <c r="F189" s="149"/>
      <c r="G189" s="156"/>
      <c r="H189" s="32"/>
      <c r="I189" s="229"/>
    </row>
    <row r="190" spans="1:9" ht="18.75" customHeight="1" x14ac:dyDescent="0.25">
      <c r="A190" s="222"/>
      <c r="B190" s="12" t="s">
        <v>438</v>
      </c>
      <c r="C190" s="12"/>
      <c r="D190" s="12"/>
      <c r="E190" s="12"/>
      <c r="F190" s="12"/>
      <c r="G190" s="31" t="s">
        <v>565</v>
      </c>
      <c r="H190" s="231">
        <f>H188*H163*H166</f>
        <v>8079.1</v>
      </c>
      <c r="I190" s="223" t="s">
        <v>439</v>
      </c>
    </row>
    <row r="191" spans="1:9" ht="18.75" customHeight="1" x14ac:dyDescent="0.25">
      <c r="A191" s="222"/>
      <c r="B191" s="12" t="s">
        <v>440</v>
      </c>
      <c r="C191" s="12"/>
      <c r="D191" s="12"/>
      <c r="E191" s="12"/>
      <c r="F191" s="12"/>
      <c r="G191" s="31" t="s">
        <v>566</v>
      </c>
      <c r="H191" s="157">
        <f>PI()/4*'Input (1)'!I14^2*H163/H190</f>
        <v>284.22331823162472</v>
      </c>
      <c r="I191" s="223" t="s">
        <v>49</v>
      </c>
    </row>
    <row r="192" spans="1:9" ht="18.75" customHeight="1" x14ac:dyDescent="0.25">
      <c r="A192" s="222"/>
      <c r="B192" s="12" t="s">
        <v>441</v>
      </c>
      <c r="C192" s="12"/>
      <c r="D192" s="12"/>
      <c r="E192" s="12"/>
      <c r="F192" s="12"/>
      <c r="G192" s="31" t="s">
        <v>567</v>
      </c>
      <c r="H192" s="157">
        <f>3*H164</f>
        <v>1050</v>
      </c>
      <c r="I192" s="223" t="s">
        <v>49</v>
      </c>
    </row>
    <row r="193" spans="1:9" ht="18.75" customHeight="1" x14ac:dyDescent="0.25">
      <c r="A193" s="222"/>
      <c r="B193" s="12" t="s">
        <v>441</v>
      </c>
      <c r="C193" s="12"/>
      <c r="D193" s="12"/>
      <c r="E193" s="12"/>
      <c r="F193" s="12"/>
      <c r="G193" s="31" t="s">
        <v>442</v>
      </c>
      <c r="H193" s="157">
        <v>450</v>
      </c>
      <c r="I193" s="223" t="s">
        <v>49</v>
      </c>
    </row>
    <row r="194" spans="1:9" ht="18.75" customHeight="1" x14ac:dyDescent="0.25">
      <c r="A194" s="222"/>
      <c r="B194" s="12" t="s">
        <v>443</v>
      </c>
      <c r="C194" s="12"/>
      <c r="D194" s="12"/>
      <c r="E194" s="12"/>
      <c r="F194" s="12"/>
      <c r="G194" s="31" t="s">
        <v>245</v>
      </c>
      <c r="H194" s="157">
        <f>MIN(H191:H193)</f>
        <v>284.22331823162472</v>
      </c>
      <c r="I194" s="223" t="s">
        <v>49</v>
      </c>
    </row>
    <row r="195" spans="1:9" ht="18.75" customHeight="1" x14ac:dyDescent="0.25">
      <c r="A195" s="222"/>
      <c r="B195" s="12" t="s">
        <v>444</v>
      </c>
      <c r="C195" s="12"/>
      <c r="D195" s="12"/>
      <c r="E195" s="12"/>
      <c r="F195" s="12"/>
      <c r="G195" s="31" t="s">
        <v>245</v>
      </c>
      <c r="H195" s="232">
        <f>ROUNDDOWN(H194/25,0)*25</f>
        <v>275</v>
      </c>
      <c r="I195" s="223" t="s">
        <v>49</v>
      </c>
    </row>
    <row r="196" spans="1:9" ht="18.75" customHeight="1" x14ac:dyDescent="0.25">
      <c r="A196" s="222"/>
      <c r="B196" s="12" t="s">
        <v>445</v>
      </c>
      <c r="C196" s="12"/>
      <c r="D196" s="12"/>
      <c r="E196" s="12"/>
      <c r="F196" s="12"/>
      <c r="G196" s="233">
        <f>'Input (1)'!I14</f>
        <v>13</v>
      </c>
      <c r="H196" s="234">
        <f>H195</f>
        <v>275</v>
      </c>
      <c r="I196" s="223"/>
    </row>
    <row r="197" spans="1:9" ht="18.75" customHeight="1" x14ac:dyDescent="0.25">
      <c r="A197" s="222"/>
      <c r="B197" s="12" t="s">
        <v>568</v>
      </c>
      <c r="C197" s="12"/>
      <c r="D197" s="12"/>
      <c r="E197" s="12"/>
      <c r="F197" s="12"/>
      <c r="G197" s="31" t="s">
        <v>569</v>
      </c>
      <c r="H197" s="235">
        <f>PI()/4*G196^2*H163/H196</f>
        <v>8350.0676739095252</v>
      </c>
      <c r="I197" s="223" t="s">
        <v>439</v>
      </c>
    </row>
    <row r="198" spans="1:9" ht="18.75" customHeight="1" x14ac:dyDescent="0.25">
      <c r="A198" s="222"/>
      <c r="B198" s="12"/>
      <c r="C198" s="12"/>
      <c r="D198" s="12"/>
      <c r="E198" s="12"/>
      <c r="F198" s="12"/>
      <c r="G198" s="12"/>
      <c r="H198" s="12"/>
      <c r="I198" s="223"/>
    </row>
    <row r="199" spans="1:9" ht="18.75" customHeight="1" x14ac:dyDescent="0.25">
      <c r="A199" s="222"/>
      <c r="B199" s="12" t="s">
        <v>570</v>
      </c>
      <c r="C199" s="12"/>
      <c r="D199" s="12"/>
      <c r="E199" s="12"/>
      <c r="F199" s="12"/>
      <c r="G199" s="31" t="s">
        <v>571</v>
      </c>
      <c r="H199" s="154">
        <f>H197*H168/1000</f>
        <v>3340.0270695638101</v>
      </c>
      <c r="I199" s="236" t="s">
        <v>115</v>
      </c>
    </row>
    <row r="200" spans="1:9" ht="18.75" customHeight="1" x14ac:dyDescent="0.25">
      <c r="A200" s="222"/>
      <c r="B200" s="12" t="s">
        <v>572</v>
      </c>
      <c r="C200" s="12"/>
      <c r="D200" s="12"/>
      <c r="E200" s="12"/>
      <c r="F200" s="28"/>
      <c r="G200" s="31" t="s">
        <v>573</v>
      </c>
      <c r="H200" s="237">
        <f>0.85*H167*H173*H163/1000</f>
        <v>368.67535714285714</v>
      </c>
      <c r="I200" s="223" t="s">
        <v>115</v>
      </c>
    </row>
    <row r="201" spans="1:9" ht="18.75" customHeight="1" x14ac:dyDescent="0.25">
      <c r="A201" s="222"/>
      <c r="B201" s="146"/>
      <c r="C201" s="147"/>
      <c r="D201" s="28"/>
      <c r="E201" s="12"/>
      <c r="F201" s="238"/>
      <c r="G201" s="12"/>
      <c r="H201" s="12"/>
      <c r="I201" s="230"/>
    </row>
    <row r="202" spans="1:9" ht="18.75" customHeight="1" x14ac:dyDescent="0.25">
      <c r="A202" s="222"/>
      <c r="B202" s="146" t="s">
        <v>574</v>
      </c>
      <c r="C202" s="12"/>
      <c r="D202" s="12"/>
      <c r="E202" s="12"/>
      <c r="F202" s="12"/>
      <c r="G202" s="31" t="s">
        <v>575</v>
      </c>
      <c r="H202" s="146" t="s">
        <v>576</v>
      </c>
      <c r="I202" s="230"/>
    </row>
    <row r="203" spans="1:9" ht="18.75" customHeight="1" x14ac:dyDescent="0.25">
      <c r="A203" s="222"/>
      <c r="B203" s="146"/>
      <c r="C203" s="12"/>
      <c r="D203" s="12"/>
      <c r="E203" s="12"/>
      <c r="F203" s="12"/>
      <c r="G203" s="240">
        <f>H200</f>
        <v>368.67535714285714</v>
      </c>
      <c r="H203" s="152">
        <f>H199</f>
        <v>3340.0270695638101</v>
      </c>
      <c r="I203" s="230"/>
    </row>
    <row r="204" spans="1:9" ht="18.75" customHeight="1" x14ac:dyDescent="0.25">
      <c r="A204" s="222"/>
      <c r="B204" s="12"/>
      <c r="C204" s="12"/>
      <c r="D204" s="12"/>
      <c r="E204" s="12"/>
      <c r="F204" s="12"/>
      <c r="G204" s="31"/>
      <c r="H204" s="152"/>
      <c r="I204" s="236"/>
    </row>
    <row r="205" spans="1:9" ht="18.75" customHeight="1" x14ac:dyDescent="0.25">
      <c r="A205" s="222"/>
      <c r="B205" s="146" t="s">
        <v>577</v>
      </c>
      <c r="C205" s="12"/>
      <c r="D205" s="31"/>
      <c r="E205" s="12"/>
      <c r="F205" s="28"/>
      <c r="G205" s="31" t="s">
        <v>578</v>
      </c>
      <c r="H205" s="155">
        <f>H203/G203</f>
        <v>9.0595343704233287</v>
      </c>
      <c r="I205" s="236" t="s">
        <v>49</v>
      </c>
    </row>
    <row r="206" spans="1:9" ht="18.75" customHeight="1" x14ac:dyDescent="0.25">
      <c r="A206" s="222"/>
      <c r="B206" s="12" t="s">
        <v>572</v>
      </c>
      <c r="C206" s="31"/>
      <c r="D206" s="28"/>
      <c r="E206" s="12"/>
      <c r="F206" s="28"/>
      <c r="G206" s="31" t="s">
        <v>579</v>
      </c>
      <c r="H206" s="154">
        <f>H200*H205</f>
        <v>3340.0270695638101</v>
      </c>
      <c r="I206" s="236" t="s">
        <v>115</v>
      </c>
    </row>
    <row r="207" spans="1:9" ht="18.75" customHeight="1" x14ac:dyDescent="0.25">
      <c r="A207" s="222"/>
      <c r="B207" s="12" t="s">
        <v>570</v>
      </c>
      <c r="C207" s="31"/>
      <c r="D207" s="28"/>
      <c r="E207" s="12"/>
      <c r="F207" s="28"/>
      <c r="G207" s="31" t="s">
        <v>580</v>
      </c>
      <c r="H207" s="154">
        <f>H197*H168/1000</f>
        <v>3340.0270695638101</v>
      </c>
      <c r="I207" s="236" t="s">
        <v>115</v>
      </c>
    </row>
    <row r="208" spans="1:9" ht="18.75" customHeight="1" x14ac:dyDescent="0.25">
      <c r="A208" s="222"/>
      <c r="B208" s="146"/>
      <c r="C208" s="12"/>
      <c r="D208" s="12"/>
      <c r="E208" s="12"/>
      <c r="F208" s="12"/>
      <c r="G208" s="28"/>
      <c r="H208" s="32"/>
      <c r="I208" s="229"/>
    </row>
    <row r="209" spans="1:9" ht="18.75" customHeight="1" x14ac:dyDescent="0.25">
      <c r="A209" s="222"/>
      <c r="B209" s="146" t="s">
        <v>581</v>
      </c>
      <c r="C209" s="12"/>
      <c r="D209" s="12"/>
      <c r="E209" s="12"/>
      <c r="F209" s="12"/>
      <c r="G209" s="28"/>
      <c r="H209" s="32"/>
      <c r="I209" s="229"/>
    </row>
    <row r="210" spans="1:9" ht="18.75" customHeight="1" x14ac:dyDescent="0.25">
      <c r="A210" s="222"/>
      <c r="B210" s="12"/>
      <c r="C210" s="146" t="s">
        <v>582</v>
      </c>
      <c r="D210" s="12"/>
      <c r="E210" s="31"/>
      <c r="F210" s="28"/>
      <c r="G210" s="32"/>
      <c r="H210" s="12"/>
      <c r="I210" s="230"/>
    </row>
    <row r="211" spans="1:9" ht="18.75" customHeight="1" x14ac:dyDescent="0.25">
      <c r="A211" s="222"/>
      <c r="B211" s="146"/>
      <c r="C211" s="12"/>
      <c r="D211" s="12" t="s">
        <v>583</v>
      </c>
      <c r="E211" s="12"/>
      <c r="F211" s="12" t="s">
        <v>584</v>
      </c>
      <c r="G211" s="31"/>
      <c r="H211" s="28"/>
      <c r="I211" s="230"/>
    </row>
    <row r="212" spans="1:9" ht="18.75" customHeight="1" x14ac:dyDescent="0.25">
      <c r="A212" s="222"/>
      <c r="B212" s="12"/>
      <c r="C212" s="12"/>
      <c r="D212" s="149">
        <f>(H166-H205)/H205*0.003</f>
        <v>7.4321854673560617E-2</v>
      </c>
      <c r="E212" s="28" t="str">
        <f>IF(D212&lt;F212,"&lt;","&gt;")</f>
        <v>&gt;</v>
      </c>
      <c r="F212" s="28">
        <f>H168/H169</f>
        <v>2E-3</v>
      </c>
      <c r="G212" s="12"/>
      <c r="H212" s="12"/>
      <c r="I212" s="230"/>
    </row>
    <row r="213" spans="1:9" ht="18.75" customHeight="1" x14ac:dyDescent="0.25">
      <c r="A213" s="222"/>
      <c r="B213" s="146" t="s">
        <v>585</v>
      </c>
      <c r="C213" s="12"/>
      <c r="D213" s="12"/>
      <c r="E213" s="12"/>
      <c r="F213" s="12"/>
      <c r="G213" s="29" t="s">
        <v>338</v>
      </c>
      <c r="H213" s="150" t="str">
        <f>IF(D212&lt;=F212,"Tekanan Terkontrol",IF(D212&lt;0.005,"Transisi",IF(D212&gt;0.005,"Tegangan Terkontrol","EROR")))</f>
        <v>Tegangan Terkontrol</v>
      </c>
      <c r="I213" s="223"/>
    </row>
    <row r="214" spans="1:9" ht="18.75" customHeight="1" x14ac:dyDescent="0.25">
      <c r="A214" s="222"/>
      <c r="B214" s="146"/>
      <c r="C214" s="12"/>
      <c r="D214" s="12"/>
      <c r="E214" s="12"/>
      <c r="F214" s="12"/>
      <c r="G214" s="29"/>
      <c r="H214" s="150"/>
      <c r="I214" s="223"/>
    </row>
    <row r="215" spans="1:9" ht="18.75" customHeight="1" x14ac:dyDescent="0.25">
      <c r="A215" s="222"/>
      <c r="B215" s="146" t="s">
        <v>586</v>
      </c>
      <c r="C215" s="12"/>
      <c r="D215" s="12"/>
      <c r="E215" s="12"/>
      <c r="F215" s="12"/>
      <c r="G215" s="31" t="str">
        <f>IF(D212&lt;=F212,"φ =",IF(D212&lt;0.005,"φ = 0,65 + 0,25 * (εs' - εs-yield)/(0,005 - εs-yield) =",IF(D212&gt;0.005,"φ =","EROR")))</f>
        <v>φ =</v>
      </c>
      <c r="H215" s="155">
        <f>IF(D212&lt;=F212,0.65,IF(D212&lt;0.005,0.65+0.25*(D212-F212)/(0.005-F212),IF(D212&gt;0.005,0.9,"EROR")))</f>
        <v>0.9</v>
      </c>
      <c r="I215" s="223"/>
    </row>
    <row r="216" spans="1:9" ht="18.75" customHeight="1" x14ac:dyDescent="0.25">
      <c r="A216" s="222"/>
      <c r="B216" s="146" t="s">
        <v>587</v>
      </c>
      <c r="C216" s="12"/>
      <c r="D216" s="12"/>
      <c r="E216" s="12"/>
      <c r="F216" s="12"/>
      <c r="G216" s="31" t="s">
        <v>588</v>
      </c>
      <c r="H216" s="154">
        <f>H206*(H166-H173*H205/2)/1000</f>
        <v>767.25234383572695</v>
      </c>
      <c r="I216" s="223" t="s">
        <v>145</v>
      </c>
    </row>
    <row r="217" spans="1:9" ht="18.75" customHeight="1" x14ac:dyDescent="0.25">
      <c r="A217" s="222"/>
      <c r="B217" s="146"/>
      <c r="C217" s="12"/>
      <c r="D217" s="12"/>
      <c r="E217" s="12"/>
      <c r="F217" s="12"/>
      <c r="G217" s="31"/>
      <c r="H217" s="152"/>
      <c r="I217" s="223"/>
    </row>
    <row r="218" spans="1:9" ht="18.75" customHeight="1" x14ac:dyDescent="0.25">
      <c r="A218" s="222"/>
      <c r="B218" s="12"/>
      <c r="C218" s="12" t="s">
        <v>334</v>
      </c>
      <c r="D218" s="242" t="s">
        <v>589</v>
      </c>
      <c r="E218" s="28" t="s">
        <v>449</v>
      </c>
      <c r="F218" s="242" t="s">
        <v>590</v>
      </c>
      <c r="G218" s="12"/>
      <c r="H218" s="12"/>
      <c r="I218" s="230"/>
    </row>
    <row r="219" spans="1:9" ht="18.75" customHeight="1" x14ac:dyDescent="0.25">
      <c r="A219" s="222"/>
      <c r="B219" s="12"/>
      <c r="C219" s="12"/>
      <c r="D219" s="154">
        <f>H215*H216</f>
        <v>690.52710945215426</v>
      </c>
      <c r="E219" s="28" t="str">
        <f>IF(D219&gt;F219,"&gt;","&lt;")</f>
        <v>&gt;</v>
      </c>
      <c r="F219" s="154">
        <f>H162</f>
        <v>161.87734059757756</v>
      </c>
      <c r="G219" s="29" t="s">
        <v>338</v>
      </c>
      <c r="H219" s="156" t="str">
        <f>IF(D219&gt;=F219,"[ OK ]","[ NOT OK ]")</f>
        <v>[ OK ]</v>
      </c>
      <c r="I219" s="230"/>
    </row>
    <row r="220" spans="1:9" ht="18.75" customHeight="1" x14ac:dyDescent="0.25">
      <c r="A220" s="168"/>
      <c r="B220" s="61"/>
      <c r="C220" s="2"/>
      <c r="D220" s="2"/>
      <c r="E220" s="1"/>
      <c r="F220" s="1"/>
      <c r="G220" s="1"/>
      <c r="H220" s="2"/>
      <c r="I220" s="211"/>
    </row>
    <row r="221" spans="1:9" ht="18.75" customHeight="1" x14ac:dyDescent="0.25">
      <c r="A221" s="165"/>
      <c r="B221" s="206" t="s">
        <v>705</v>
      </c>
      <c r="C221" s="207"/>
      <c r="D221" s="207"/>
      <c r="E221" s="207"/>
      <c r="F221" s="207"/>
      <c r="G221" s="207"/>
      <c r="H221" s="207"/>
      <c r="I221" s="208"/>
    </row>
    <row r="222" spans="1:9" ht="18.75" customHeight="1" x14ac:dyDescent="0.25">
      <c r="A222" s="168"/>
      <c r="B222" s="2" t="s">
        <v>494</v>
      </c>
      <c r="C222" s="2"/>
      <c r="D222" s="2"/>
      <c r="E222" s="2"/>
      <c r="F222" s="1"/>
      <c r="G222" s="3" t="s">
        <v>706</v>
      </c>
      <c r="H222" s="170">
        <f>'Process (3)'!I357</f>
        <v>369.51287863194693</v>
      </c>
      <c r="I222" s="171" t="s">
        <v>487</v>
      </c>
    </row>
    <row r="223" spans="1:9" ht="18.75" customHeight="1" x14ac:dyDescent="0.25">
      <c r="A223" s="168"/>
      <c r="B223" s="2" t="s">
        <v>512</v>
      </c>
      <c r="C223" s="2"/>
      <c r="D223" s="2"/>
      <c r="E223" s="2"/>
      <c r="F223" s="2"/>
      <c r="G223" s="3" t="s">
        <v>604</v>
      </c>
      <c r="H223" s="67">
        <f>$H$5</f>
        <v>17300</v>
      </c>
      <c r="I223" s="171" t="s">
        <v>49</v>
      </c>
    </row>
    <row r="224" spans="1:9" ht="18.75" customHeight="1" x14ac:dyDescent="0.25">
      <c r="A224" s="168"/>
      <c r="B224" s="2" t="s">
        <v>481</v>
      </c>
      <c r="C224" s="2"/>
      <c r="D224" s="2"/>
      <c r="E224" s="2"/>
      <c r="F224" s="1"/>
      <c r="G224" s="3" t="s">
        <v>482</v>
      </c>
      <c r="H224" s="170">
        <f>H165</f>
        <v>116.5</v>
      </c>
      <c r="I224" s="171" t="s">
        <v>0</v>
      </c>
    </row>
    <row r="225" spans="1:9" ht="18.75" customHeight="1" x14ac:dyDescent="0.25">
      <c r="A225" s="168"/>
      <c r="B225" s="2" t="s">
        <v>605</v>
      </c>
      <c r="C225" s="2"/>
      <c r="D225" s="2"/>
      <c r="E225" s="2"/>
      <c r="F225" s="2"/>
      <c r="G225" s="3" t="s">
        <v>707</v>
      </c>
      <c r="H225" s="170">
        <f>H166</f>
        <v>233.5</v>
      </c>
      <c r="I225" s="171" t="s">
        <v>49</v>
      </c>
    </row>
    <row r="226" spans="1:9" ht="18.75" customHeight="1" x14ac:dyDescent="0.25">
      <c r="A226" s="168"/>
      <c r="B226" s="2" t="s">
        <v>513</v>
      </c>
      <c r="C226" s="2"/>
      <c r="D226" s="2"/>
      <c r="E226" s="2"/>
      <c r="F226" s="2"/>
      <c r="G226" s="3" t="s">
        <v>514</v>
      </c>
      <c r="H226" s="67">
        <f>MAX(H223/H164,H164/H223)</f>
        <v>49.428571428571431</v>
      </c>
      <c r="I226" s="171"/>
    </row>
    <row r="227" spans="1:9" ht="18.75" customHeight="1" x14ac:dyDescent="0.25">
      <c r="A227" s="168"/>
      <c r="B227" s="1"/>
      <c r="C227" s="2"/>
      <c r="D227" s="2"/>
      <c r="E227" s="2"/>
      <c r="F227" s="2"/>
      <c r="G227" s="1"/>
      <c r="H227" s="210"/>
      <c r="I227" s="171"/>
    </row>
    <row r="228" spans="1:9" ht="18.75" customHeight="1" x14ac:dyDescent="0.25">
      <c r="A228" s="168"/>
      <c r="B228" s="2" t="s">
        <v>515</v>
      </c>
      <c r="C228" s="2"/>
      <c r="D228" s="2"/>
      <c r="E228" s="2"/>
      <c r="F228" s="2"/>
      <c r="G228" s="3" t="s">
        <v>516</v>
      </c>
      <c r="H228" s="170">
        <f>(1+2/H226)*SQRT(H167)*H223*H225/6*0.001</f>
        <v>3836.7965153236887</v>
      </c>
      <c r="I228" s="171" t="s">
        <v>115</v>
      </c>
    </row>
    <row r="229" spans="1:9" ht="18.75" customHeight="1" x14ac:dyDescent="0.25">
      <c r="A229" s="168"/>
      <c r="B229" s="2"/>
      <c r="C229" s="2"/>
      <c r="D229" s="2"/>
      <c r="E229" s="2"/>
      <c r="F229" s="2"/>
      <c r="G229" s="3" t="s">
        <v>517</v>
      </c>
      <c r="H229" s="170">
        <f>(40*H225/H223+2)*SQRT(H167)*H223*H225/12*0.001</f>
        <v>4683.0233023145247</v>
      </c>
      <c r="I229" s="171" t="s">
        <v>115</v>
      </c>
    </row>
    <row r="230" spans="1:9" ht="18.75" customHeight="1" x14ac:dyDescent="0.25">
      <c r="A230" s="168"/>
      <c r="B230" s="2"/>
      <c r="C230" s="2"/>
      <c r="D230" s="2"/>
      <c r="E230" s="2"/>
      <c r="F230" s="2"/>
      <c r="G230" s="3" t="s">
        <v>518</v>
      </c>
      <c r="H230" s="170">
        <f>1/3*SQRT(H167)*H223*H225*0.001</f>
        <v>7375.1755238999785</v>
      </c>
      <c r="I230" s="171" t="s">
        <v>115</v>
      </c>
    </row>
    <row r="231" spans="1:9" ht="18.75" customHeight="1" x14ac:dyDescent="0.25">
      <c r="A231" s="168"/>
      <c r="B231" s="2" t="s">
        <v>519</v>
      </c>
      <c r="C231" s="2"/>
      <c r="D231" s="2"/>
      <c r="E231" s="2"/>
      <c r="F231" s="2"/>
      <c r="G231" s="3" t="s">
        <v>520</v>
      </c>
      <c r="H231" s="170">
        <f>MIN(H228:H230)</f>
        <v>3836.7965153236887</v>
      </c>
      <c r="I231" s="171" t="s">
        <v>115</v>
      </c>
    </row>
    <row r="232" spans="1:9" ht="18.75" customHeight="1" x14ac:dyDescent="0.25">
      <c r="A232" s="168"/>
      <c r="B232" s="2" t="s">
        <v>446</v>
      </c>
      <c r="C232" s="2"/>
      <c r="D232" s="2"/>
      <c r="E232" s="2"/>
      <c r="F232" s="2"/>
      <c r="G232" s="3" t="s">
        <v>433</v>
      </c>
      <c r="H232" s="67">
        <v>0.75</v>
      </c>
      <c r="I232" s="171"/>
    </row>
    <row r="233" spans="1:9" ht="18.75" customHeight="1" x14ac:dyDescent="0.25">
      <c r="A233" s="168"/>
      <c r="B233" s="2" t="s">
        <v>521</v>
      </c>
      <c r="C233" s="2"/>
      <c r="D233" s="2"/>
      <c r="E233" s="2"/>
      <c r="F233" s="2"/>
      <c r="G233" s="3" t="s">
        <v>448</v>
      </c>
      <c r="H233" s="170">
        <f>H232*H231</f>
        <v>2877.5973864927664</v>
      </c>
      <c r="I233" s="171" t="s">
        <v>115</v>
      </c>
    </row>
    <row r="234" spans="1:9" ht="18.75" customHeight="1" x14ac:dyDescent="0.25">
      <c r="A234" s="168"/>
      <c r="B234" s="2" t="s">
        <v>522</v>
      </c>
      <c r="C234" s="2"/>
      <c r="D234" s="2"/>
      <c r="E234" s="1"/>
      <c r="F234" s="1"/>
      <c r="G234" s="1"/>
      <c r="H234" s="1"/>
      <c r="I234" s="211"/>
    </row>
    <row r="235" spans="1:9" ht="18.75" customHeight="1" x14ac:dyDescent="0.25">
      <c r="A235" s="168"/>
      <c r="B235" s="2"/>
      <c r="C235" s="2" t="s">
        <v>523</v>
      </c>
      <c r="D235" s="212" t="s">
        <v>524</v>
      </c>
      <c r="E235" s="89" t="s">
        <v>449</v>
      </c>
      <c r="F235" s="212" t="s">
        <v>525</v>
      </c>
      <c r="G235" s="2"/>
      <c r="H235" s="1"/>
      <c r="I235" s="198"/>
    </row>
    <row r="236" spans="1:9" ht="18.75" customHeight="1" x14ac:dyDescent="0.25">
      <c r="A236" s="168"/>
      <c r="B236" s="2"/>
      <c r="C236" s="2"/>
      <c r="D236" s="170">
        <f>H233</f>
        <v>2877.5973864927664</v>
      </c>
      <c r="E236" s="213" t="str">
        <f>IF(D236&lt;=F236,"&lt;","&gt;")</f>
        <v>&gt;</v>
      </c>
      <c r="F236" s="170">
        <f>H222</f>
        <v>369.51287863194693</v>
      </c>
      <c r="G236" s="214" t="s">
        <v>338</v>
      </c>
      <c r="H236" s="25" t="str">
        <f>IF(D236&gt;F236,"[ OK ]","[ NOT OK ]")</f>
        <v>[ OK ]</v>
      </c>
      <c r="I236" s="198"/>
    </row>
    <row r="237" spans="1:9" ht="18.75" customHeight="1" x14ac:dyDescent="0.25">
      <c r="A237" s="168"/>
      <c r="B237" s="2"/>
      <c r="C237" s="2"/>
      <c r="D237" s="2"/>
      <c r="E237" s="2"/>
      <c r="F237" s="1"/>
      <c r="G237" s="1"/>
      <c r="H237" s="1"/>
      <c r="I237" s="198"/>
    </row>
    <row r="238" spans="1:9" ht="18.75" customHeight="1" x14ac:dyDescent="0.25">
      <c r="A238" s="168"/>
      <c r="B238" s="2"/>
      <c r="C238" s="2"/>
      <c r="D238" s="2"/>
      <c r="E238" s="2"/>
      <c r="F238" s="2"/>
      <c r="G238" s="1"/>
      <c r="H238" s="1"/>
      <c r="I238" s="198"/>
    </row>
    <row r="239" spans="1:9" ht="18.75" customHeight="1" x14ac:dyDescent="0.25">
      <c r="A239" s="161" t="s">
        <v>850</v>
      </c>
      <c r="B239" s="199" t="s">
        <v>718</v>
      </c>
      <c r="C239" s="200"/>
      <c r="D239" s="200"/>
      <c r="E239" s="200"/>
      <c r="F239" s="200"/>
      <c r="G239" s="200"/>
      <c r="H239" s="200"/>
      <c r="I239" s="205"/>
    </row>
    <row r="240" spans="1:9" ht="18.75" customHeight="1" x14ac:dyDescent="0.25">
      <c r="A240" s="165"/>
      <c r="B240" s="206" t="s">
        <v>704</v>
      </c>
      <c r="C240" s="207"/>
      <c r="D240" s="207"/>
      <c r="E240" s="207"/>
      <c r="F240" s="207"/>
      <c r="G240" s="207"/>
      <c r="H240" s="207"/>
      <c r="I240" s="208"/>
    </row>
    <row r="241" spans="1:9" ht="18.75" customHeight="1" x14ac:dyDescent="0.25">
      <c r="A241" s="168"/>
      <c r="B241" s="2" t="s">
        <v>539</v>
      </c>
      <c r="C241" s="2"/>
      <c r="D241" s="2"/>
      <c r="E241" s="2"/>
      <c r="F241" s="2"/>
      <c r="G241" s="3" t="s">
        <v>702</v>
      </c>
      <c r="H241" s="170">
        <f>'Process (3)'!I536</f>
        <v>724.12481288466506</v>
      </c>
      <c r="I241" s="171" t="s">
        <v>417</v>
      </c>
    </row>
    <row r="242" spans="1:9" ht="18.75" customHeight="1" x14ac:dyDescent="0.25">
      <c r="A242" s="168"/>
      <c r="B242" s="2" t="s">
        <v>541</v>
      </c>
      <c r="C242" s="2"/>
      <c r="D242" s="2"/>
      <c r="E242" s="1"/>
      <c r="F242" s="1"/>
      <c r="G242" s="3" t="s">
        <v>734</v>
      </c>
      <c r="H242" s="67">
        <f>'Process (3)'!I396*1000</f>
        <v>3000</v>
      </c>
      <c r="I242" s="171" t="s">
        <v>49</v>
      </c>
    </row>
    <row r="243" spans="1:9" ht="18.75" customHeight="1" x14ac:dyDescent="0.25">
      <c r="A243" s="168"/>
      <c r="B243" s="2" t="s">
        <v>253</v>
      </c>
      <c r="C243" s="2"/>
      <c r="D243" s="2"/>
      <c r="E243" s="1"/>
      <c r="F243" s="1"/>
      <c r="G243" s="3" t="s">
        <v>720</v>
      </c>
      <c r="H243" s="67">
        <f>'Input (1)'!C55*1000</f>
        <v>500</v>
      </c>
      <c r="I243" s="171" t="s">
        <v>49</v>
      </c>
    </row>
    <row r="244" spans="1:9" ht="18.75" customHeight="1" x14ac:dyDescent="0.25">
      <c r="A244" s="168"/>
      <c r="B244" s="2" t="s">
        <v>542</v>
      </c>
      <c r="C244" s="2"/>
      <c r="D244" s="2"/>
      <c r="E244" s="1"/>
      <c r="F244" s="1"/>
      <c r="G244" s="3" t="s">
        <v>482</v>
      </c>
      <c r="H244" s="209">
        <f>'Input (1)'!$I$74+3/2*'Input (1)'!$I$16</f>
        <v>119.5</v>
      </c>
      <c r="I244" s="171" t="s">
        <v>49</v>
      </c>
    </row>
    <row r="245" spans="1:9" ht="18.75" customHeight="1" x14ac:dyDescent="0.25">
      <c r="A245" s="168"/>
      <c r="B245" s="2" t="s">
        <v>543</v>
      </c>
      <c r="C245" s="2"/>
      <c r="D245" s="2"/>
      <c r="E245" s="1"/>
      <c r="F245" s="1"/>
      <c r="G245" s="3" t="s">
        <v>484</v>
      </c>
      <c r="H245" s="209">
        <f>H243-H244</f>
        <v>380.5</v>
      </c>
      <c r="I245" s="171" t="s">
        <v>49</v>
      </c>
    </row>
    <row r="246" spans="1:9" ht="18.75" customHeight="1" x14ac:dyDescent="0.25">
      <c r="A246" s="168"/>
      <c r="B246" s="2" t="s">
        <v>544</v>
      </c>
      <c r="C246" s="2"/>
      <c r="D246" s="2"/>
      <c r="E246" s="1"/>
      <c r="F246" s="1"/>
      <c r="G246" s="219" t="s">
        <v>545</v>
      </c>
      <c r="H246" s="209">
        <f>'Input (1)'!$I$3</f>
        <v>30</v>
      </c>
      <c r="I246" s="171" t="s">
        <v>7</v>
      </c>
    </row>
    <row r="247" spans="1:9" ht="18.75" customHeight="1" x14ac:dyDescent="0.25">
      <c r="A247" s="168"/>
      <c r="B247" s="2" t="s">
        <v>546</v>
      </c>
      <c r="C247" s="2"/>
      <c r="D247" s="2"/>
      <c r="E247" s="1"/>
      <c r="F247" s="1"/>
      <c r="G247" s="3" t="s">
        <v>447</v>
      </c>
      <c r="H247" s="209">
        <f>'Input (1)'!$I$4</f>
        <v>400</v>
      </c>
      <c r="I247" s="171" t="s">
        <v>7</v>
      </c>
    </row>
    <row r="248" spans="1:9" ht="18.75" customHeight="1" x14ac:dyDescent="0.25">
      <c r="A248" s="168"/>
      <c r="B248" s="220" t="s">
        <v>9</v>
      </c>
      <c r="C248" s="2"/>
      <c r="D248" s="2"/>
      <c r="E248" s="1"/>
      <c r="F248" s="1"/>
      <c r="G248" s="3" t="s">
        <v>547</v>
      </c>
      <c r="H248" s="221">
        <v>200000</v>
      </c>
      <c r="I248" s="171" t="s">
        <v>7</v>
      </c>
    </row>
    <row r="249" spans="1:9" ht="18.75" customHeight="1" x14ac:dyDescent="0.25">
      <c r="A249" s="222"/>
      <c r="B249" s="12" t="s">
        <v>548</v>
      </c>
      <c r="C249" s="12"/>
      <c r="D249" s="12"/>
      <c r="E249" s="12"/>
      <c r="F249" s="12"/>
      <c r="G249" s="31" t="s">
        <v>549</v>
      </c>
      <c r="H249" s="153" t="str">
        <f>IF(H246&gt;=17,IF(H246&lt;=28,0.85,"-"),"-")</f>
        <v>-</v>
      </c>
      <c r="I249" s="223"/>
    </row>
    <row r="250" spans="1:9" ht="18.75" customHeight="1" x14ac:dyDescent="0.25">
      <c r="A250" s="222"/>
      <c r="B250" s="12" t="s">
        <v>550</v>
      </c>
      <c r="C250" s="12"/>
      <c r="D250" s="12"/>
      <c r="E250" s="12"/>
      <c r="F250" s="12"/>
      <c r="G250" s="31" t="s">
        <v>551</v>
      </c>
      <c r="H250" s="154">
        <f>IF(H246&gt;28,IF(H246&lt;55,0.85-0.05*(H246-28)/7,"-"),"-")</f>
        <v>0.83571428571428574</v>
      </c>
      <c r="I250" s="223"/>
    </row>
    <row r="251" spans="1:9" ht="18.75" customHeight="1" x14ac:dyDescent="0.25">
      <c r="A251" s="222"/>
      <c r="B251" s="12" t="s">
        <v>552</v>
      </c>
      <c r="C251" s="12"/>
      <c r="D251" s="12"/>
      <c r="E251" s="12"/>
      <c r="F251" s="12"/>
      <c r="G251" s="31" t="s">
        <v>549</v>
      </c>
      <c r="H251" s="154" t="str">
        <f>IF(H246&gt;=55,0.65,"-")</f>
        <v>-</v>
      </c>
      <c r="I251" s="223"/>
    </row>
    <row r="252" spans="1:9" ht="18.75" customHeight="1" x14ac:dyDescent="0.25">
      <c r="A252" s="222"/>
      <c r="B252" s="12" t="s">
        <v>427</v>
      </c>
      <c r="C252" s="12"/>
      <c r="D252" s="12"/>
      <c r="E252" s="12"/>
      <c r="F252" s="29" t="s">
        <v>338</v>
      </c>
      <c r="G252" s="31" t="s">
        <v>549</v>
      </c>
      <c r="H252" s="154">
        <f>MAX(H249:H251)</f>
        <v>0.83571428571428574</v>
      </c>
      <c r="I252" s="223"/>
    </row>
    <row r="253" spans="1:9" ht="18.75" customHeight="1" x14ac:dyDescent="0.25">
      <c r="A253" s="222"/>
      <c r="B253" s="12" t="s">
        <v>428</v>
      </c>
      <c r="C253" s="12"/>
      <c r="D253" s="12"/>
      <c r="E253" s="12"/>
      <c r="F253" s="29"/>
      <c r="G253" s="31"/>
      <c r="H253" s="28"/>
      <c r="I253" s="223"/>
    </row>
    <row r="254" spans="1:9" ht="18.75" customHeight="1" x14ac:dyDescent="0.25">
      <c r="A254" s="222"/>
      <c r="B254" s="12"/>
      <c r="C254" s="147"/>
      <c r="D254" s="12"/>
      <c r="E254" s="12"/>
      <c r="F254" s="12"/>
      <c r="G254" s="31" t="s">
        <v>429</v>
      </c>
      <c r="H254" s="224">
        <f>H252*0.85*H246/H247*(600/(600+H247))</f>
        <v>3.1966071428571427E-2</v>
      </c>
      <c r="I254" s="223"/>
    </row>
    <row r="255" spans="1:9" ht="18.75" customHeight="1" x14ac:dyDescent="0.25">
      <c r="A255" s="222"/>
      <c r="B255" s="12" t="s">
        <v>430</v>
      </c>
      <c r="C255" s="12"/>
      <c r="D255" s="148"/>
      <c r="E255" s="28"/>
      <c r="F255" s="146"/>
      <c r="G255" s="31" t="s">
        <v>431</v>
      </c>
      <c r="H255" s="224">
        <f>0.75*H254</f>
        <v>2.397455357142857E-2</v>
      </c>
      <c r="I255" s="223"/>
    </row>
    <row r="256" spans="1:9" ht="18.75" customHeight="1" x14ac:dyDescent="0.25">
      <c r="A256" s="222"/>
      <c r="B256" s="12" t="s">
        <v>432</v>
      </c>
      <c r="C256" s="12"/>
      <c r="D256" s="12"/>
      <c r="E256" s="146"/>
      <c r="F256" s="12"/>
      <c r="G256" s="3" t="s">
        <v>594</v>
      </c>
      <c r="H256" s="224">
        <v>2E-3</v>
      </c>
      <c r="I256" s="223"/>
    </row>
    <row r="257" spans="1:9" ht="18.75" customHeight="1" x14ac:dyDescent="0.25">
      <c r="A257" s="222"/>
      <c r="B257" s="12"/>
      <c r="C257" s="12"/>
      <c r="D257" s="12"/>
      <c r="E257" s="12"/>
      <c r="F257" s="12"/>
      <c r="G257" s="31"/>
      <c r="H257" s="225"/>
      <c r="I257" s="223"/>
    </row>
    <row r="258" spans="1:9" ht="18.75" customHeight="1" x14ac:dyDescent="0.25">
      <c r="A258" s="222"/>
      <c r="B258" s="12" t="s">
        <v>553</v>
      </c>
      <c r="C258" s="12"/>
      <c r="D258" s="12"/>
      <c r="E258" s="12"/>
      <c r="F258" s="31"/>
      <c r="G258" s="31" t="s">
        <v>554</v>
      </c>
      <c r="H258" s="155">
        <v>0.85</v>
      </c>
      <c r="I258" s="223"/>
    </row>
    <row r="259" spans="1:9" ht="18.75" customHeight="1" x14ac:dyDescent="0.25">
      <c r="A259" s="222"/>
      <c r="B259" s="12" t="s">
        <v>555</v>
      </c>
      <c r="C259" s="12"/>
      <c r="D259" s="12"/>
      <c r="E259" s="12"/>
      <c r="F259" s="31"/>
      <c r="G259" s="31" t="s">
        <v>556</v>
      </c>
      <c r="H259" s="154">
        <f>H241/H258</f>
        <v>851.91154457019422</v>
      </c>
      <c r="I259" s="223" t="s">
        <v>145</v>
      </c>
    </row>
    <row r="260" spans="1:9" ht="18.75" customHeight="1" x14ac:dyDescent="0.25">
      <c r="A260" s="222"/>
      <c r="B260" s="12" t="s">
        <v>557</v>
      </c>
      <c r="C260" s="147"/>
      <c r="D260" s="12"/>
      <c r="E260" s="12"/>
      <c r="F260" s="12"/>
      <c r="G260" s="226" t="s">
        <v>558</v>
      </c>
      <c r="H260" s="154">
        <f>H259*10^6/(H242*H245^2)</f>
        <v>1.9613898639954788</v>
      </c>
      <c r="I260" s="227"/>
    </row>
    <row r="261" spans="1:9" ht="18.75" customHeight="1" x14ac:dyDescent="0.25">
      <c r="A261" s="222"/>
      <c r="B261" s="12" t="s">
        <v>559</v>
      </c>
      <c r="C261" s="12"/>
      <c r="D261" s="12"/>
      <c r="E261" s="12"/>
      <c r="F261" s="12"/>
      <c r="G261" s="31" t="s">
        <v>560</v>
      </c>
      <c r="H261" s="154">
        <f>H247/(0.85*H246)</f>
        <v>15.686274509803921</v>
      </c>
      <c r="I261" s="228"/>
    </row>
    <row r="262" spans="1:9" ht="18.75" customHeight="1" x14ac:dyDescent="0.25">
      <c r="A262" s="222"/>
      <c r="B262" s="12" t="s">
        <v>561</v>
      </c>
      <c r="C262" s="147"/>
      <c r="D262" s="12"/>
      <c r="E262" s="12"/>
      <c r="F262" s="12"/>
      <c r="G262" s="226" t="s">
        <v>562</v>
      </c>
      <c r="H262" s="224">
        <f>1/H261*(1-(1-2*H261*H260/H247)^0.5)</f>
        <v>5.1081251932423195E-3</v>
      </c>
      <c r="I262" s="227"/>
    </row>
    <row r="263" spans="1:9" ht="18.75" customHeight="1" x14ac:dyDescent="0.25">
      <c r="A263" s="222"/>
      <c r="B263" s="12" t="s">
        <v>434</v>
      </c>
      <c r="C263" s="12"/>
      <c r="D263" s="12"/>
      <c r="E263" s="12"/>
      <c r="F263" s="12"/>
      <c r="G263" s="149"/>
      <c r="H263" s="32"/>
      <c r="I263" s="229"/>
    </row>
    <row r="264" spans="1:9" ht="18.75" customHeight="1" x14ac:dyDescent="0.25">
      <c r="A264" s="222"/>
      <c r="B264" s="12"/>
      <c r="C264" s="12" t="s">
        <v>334</v>
      </c>
      <c r="D264" s="28" t="s">
        <v>435</v>
      </c>
      <c r="E264" s="28" t="s">
        <v>436</v>
      </c>
      <c r="F264" s="28" t="s">
        <v>437</v>
      </c>
      <c r="G264" s="31"/>
      <c r="H264" s="149"/>
      <c r="I264" s="230"/>
    </row>
    <row r="265" spans="1:9" ht="18.75" customHeight="1" x14ac:dyDescent="0.25">
      <c r="A265" s="222"/>
      <c r="B265" s="12"/>
      <c r="C265" s="12"/>
      <c r="D265" s="149">
        <f>H256</f>
        <v>2E-3</v>
      </c>
      <c r="E265" s="149">
        <f>H262</f>
        <v>5.1081251932423195E-3</v>
      </c>
      <c r="F265" s="149">
        <f>H255</f>
        <v>2.397455357142857E-2</v>
      </c>
      <c r="G265" s="29" t="s">
        <v>338</v>
      </c>
      <c r="H265" s="156" t="str">
        <f>IF(D265&lt;E265,(IF(E265&lt;F265,"[ OK ]","[ NOT OK ]")),"[ Pakai ρmin ]")</f>
        <v>[ OK ]</v>
      </c>
      <c r="I265" s="230"/>
    </row>
    <row r="266" spans="1:9" ht="18.75" customHeight="1" x14ac:dyDescent="0.25">
      <c r="A266" s="222"/>
      <c r="B266" s="12"/>
      <c r="C266" s="12"/>
      <c r="D266" s="12"/>
      <c r="E266" s="12"/>
      <c r="F266" s="12"/>
      <c r="G266" s="31"/>
      <c r="H266" s="28"/>
      <c r="I266" s="229"/>
    </row>
    <row r="267" spans="1:9" ht="18.75" customHeight="1" x14ac:dyDescent="0.25">
      <c r="A267" s="222"/>
      <c r="B267" s="12" t="s">
        <v>563</v>
      </c>
      <c r="C267" s="12"/>
      <c r="D267" s="12"/>
      <c r="E267" s="12"/>
      <c r="F267" s="12"/>
      <c r="G267" s="31" t="s">
        <v>564</v>
      </c>
      <c r="H267" s="224">
        <f>IF(D265&lt;E265,(IF(E265&lt;F265,E265,"[ NOT OK ]")),D265)</f>
        <v>5.1081251932423195E-3</v>
      </c>
      <c r="I267" s="228"/>
    </row>
    <row r="268" spans="1:9" ht="18.75" customHeight="1" x14ac:dyDescent="0.25">
      <c r="A268" s="222"/>
      <c r="B268" s="12"/>
      <c r="C268" s="12"/>
      <c r="D268" s="149"/>
      <c r="E268" s="149"/>
      <c r="F268" s="149"/>
      <c r="G268" s="156"/>
      <c r="H268" s="32"/>
      <c r="I268" s="229"/>
    </row>
    <row r="269" spans="1:9" ht="18.75" customHeight="1" x14ac:dyDescent="0.25">
      <c r="A269" s="222"/>
      <c r="B269" s="12" t="s">
        <v>438</v>
      </c>
      <c r="C269" s="12"/>
      <c r="D269" s="12"/>
      <c r="E269" s="12"/>
      <c r="F269" s="12"/>
      <c r="G269" s="31" t="s">
        <v>565</v>
      </c>
      <c r="H269" s="231">
        <f>H267*H242*H245</f>
        <v>5830.9249080861073</v>
      </c>
      <c r="I269" s="223" t="s">
        <v>439</v>
      </c>
    </row>
    <row r="270" spans="1:9" ht="18.75" customHeight="1" x14ac:dyDescent="0.25">
      <c r="A270" s="222"/>
      <c r="B270" s="12" t="s">
        <v>440</v>
      </c>
      <c r="C270" s="12"/>
      <c r="D270" s="12"/>
      <c r="E270" s="12"/>
      <c r="F270" s="12"/>
      <c r="G270" s="31" t="s">
        <v>566</v>
      </c>
      <c r="H270" s="157">
        <f>PI()/4*'Input (1)'!I16^2*H242/H269</f>
        <v>68.290515676218348</v>
      </c>
      <c r="I270" s="223" t="s">
        <v>49</v>
      </c>
    </row>
    <row r="271" spans="1:9" ht="18.75" customHeight="1" x14ac:dyDescent="0.25">
      <c r="A271" s="222"/>
      <c r="B271" s="12" t="s">
        <v>441</v>
      </c>
      <c r="C271" s="12"/>
      <c r="D271" s="12"/>
      <c r="E271" s="12"/>
      <c r="F271" s="12"/>
      <c r="G271" s="31" t="s">
        <v>567</v>
      </c>
      <c r="H271" s="157">
        <f>3*H243</f>
        <v>1500</v>
      </c>
      <c r="I271" s="223" t="s">
        <v>49</v>
      </c>
    </row>
    <row r="272" spans="1:9" ht="18.75" customHeight="1" x14ac:dyDescent="0.25">
      <c r="A272" s="222"/>
      <c r="B272" s="12" t="s">
        <v>441</v>
      </c>
      <c r="C272" s="12"/>
      <c r="D272" s="12"/>
      <c r="E272" s="12"/>
      <c r="F272" s="12"/>
      <c r="G272" s="31" t="s">
        <v>442</v>
      </c>
      <c r="H272" s="157">
        <v>450</v>
      </c>
      <c r="I272" s="223" t="s">
        <v>49</v>
      </c>
    </row>
    <row r="273" spans="1:9" ht="18.75" customHeight="1" x14ac:dyDescent="0.25">
      <c r="A273" s="222"/>
      <c r="B273" s="12" t="s">
        <v>443</v>
      </c>
      <c r="C273" s="12"/>
      <c r="D273" s="12"/>
      <c r="E273" s="12"/>
      <c r="F273" s="12"/>
      <c r="G273" s="31" t="s">
        <v>245</v>
      </c>
      <c r="H273" s="157">
        <f>MIN(H270:H272)</f>
        <v>68.290515676218348</v>
      </c>
      <c r="I273" s="223" t="s">
        <v>49</v>
      </c>
    </row>
    <row r="274" spans="1:9" ht="18.75" customHeight="1" x14ac:dyDescent="0.25">
      <c r="A274" s="222"/>
      <c r="B274" s="12" t="s">
        <v>444</v>
      </c>
      <c r="C274" s="12"/>
      <c r="D274" s="12"/>
      <c r="E274" s="12"/>
      <c r="F274" s="12"/>
      <c r="G274" s="31" t="s">
        <v>245</v>
      </c>
      <c r="H274" s="232">
        <f>ROUNDDOWN(H273/25,0)*25</f>
        <v>50</v>
      </c>
      <c r="I274" s="223" t="s">
        <v>49</v>
      </c>
    </row>
    <row r="275" spans="1:9" ht="18.75" customHeight="1" x14ac:dyDescent="0.25">
      <c r="A275" s="222"/>
      <c r="B275" s="12" t="s">
        <v>445</v>
      </c>
      <c r="C275" s="12"/>
      <c r="D275" s="12"/>
      <c r="E275" s="12"/>
      <c r="F275" s="12"/>
      <c r="G275" s="233">
        <f>'Input (1)'!I16</f>
        <v>13</v>
      </c>
      <c r="H275" s="234">
        <f>H274</f>
        <v>50</v>
      </c>
      <c r="I275" s="223"/>
    </row>
    <row r="276" spans="1:9" ht="18.75" customHeight="1" x14ac:dyDescent="0.25">
      <c r="A276" s="222"/>
      <c r="B276" s="12" t="s">
        <v>568</v>
      </c>
      <c r="C276" s="12"/>
      <c r="D276" s="12"/>
      <c r="E276" s="12"/>
      <c r="F276" s="12"/>
      <c r="G276" s="31" t="s">
        <v>569</v>
      </c>
      <c r="H276" s="235">
        <f>PI()/4*G275^2*H242/H275</f>
        <v>7963.9373768501264</v>
      </c>
      <c r="I276" s="223" t="s">
        <v>439</v>
      </c>
    </row>
    <row r="277" spans="1:9" ht="18.75" customHeight="1" x14ac:dyDescent="0.25">
      <c r="A277" s="222"/>
      <c r="B277" s="12"/>
      <c r="C277" s="12"/>
      <c r="D277" s="12"/>
      <c r="E277" s="12"/>
      <c r="F277" s="12"/>
      <c r="G277" s="12"/>
      <c r="H277" s="12"/>
      <c r="I277" s="223"/>
    </row>
    <row r="278" spans="1:9" ht="18.75" customHeight="1" x14ac:dyDescent="0.25">
      <c r="A278" s="222"/>
      <c r="B278" s="12" t="s">
        <v>570</v>
      </c>
      <c r="C278" s="12"/>
      <c r="D278" s="12"/>
      <c r="E278" s="12"/>
      <c r="F278" s="12"/>
      <c r="G278" s="31" t="s">
        <v>571</v>
      </c>
      <c r="H278" s="154">
        <f>H276*H247/1000</f>
        <v>3185.5749507400506</v>
      </c>
      <c r="I278" s="236" t="s">
        <v>115</v>
      </c>
    </row>
    <row r="279" spans="1:9" ht="18.75" customHeight="1" x14ac:dyDescent="0.25">
      <c r="A279" s="222"/>
      <c r="B279" s="12" t="s">
        <v>572</v>
      </c>
      <c r="C279" s="12"/>
      <c r="D279" s="12"/>
      <c r="E279" s="12"/>
      <c r="F279" s="28"/>
      <c r="G279" s="31" t="s">
        <v>573</v>
      </c>
      <c r="H279" s="237">
        <f>0.85*H246*H252*H242/1000</f>
        <v>63.932142857142864</v>
      </c>
      <c r="I279" s="223" t="s">
        <v>115</v>
      </c>
    </row>
    <row r="280" spans="1:9" ht="18.75" customHeight="1" x14ac:dyDescent="0.25">
      <c r="A280" s="222"/>
      <c r="B280" s="146"/>
      <c r="C280" s="147"/>
      <c r="D280" s="28"/>
      <c r="E280" s="12"/>
      <c r="F280" s="238"/>
      <c r="G280" s="12"/>
      <c r="H280" s="12"/>
      <c r="I280" s="230"/>
    </row>
    <row r="281" spans="1:9" ht="18.75" customHeight="1" x14ac:dyDescent="0.25">
      <c r="A281" s="222"/>
      <c r="B281" s="146" t="s">
        <v>574</v>
      </c>
      <c r="C281" s="12"/>
      <c r="D281" s="12"/>
      <c r="E281" s="12"/>
      <c r="F281" s="12"/>
      <c r="G281" s="31" t="s">
        <v>575</v>
      </c>
      <c r="H281" s="146" t="s">
        <v>576</v>
      </c>
      <c r="I281" s="230"/>
    </row>
    <row r="282" spans="1:9" ht="18.75" customHeight="1" x14ac:dyDescent="0.25">
      <c r="A282" s="222"/>
      <c r="B282" s="146"/>
      <c r="C282" s="12"/>
      <c r="D282" s="12"/>
      <c r="E282" s="12"/>
      <c r="F282" s="12"/>
      <c r="G282" s="240">
        <f>H279</f>
        <v>63.932142857142864</v>
      </c>
      <c r="H282" s="152">
        <f>H278</f>
        <v>3185.5749507400506</v>
      </c>
      <c r="I282" s="230"/>
    </row>
    <row r="283" spans="1:9" ht="18.75" customHeight="1" x14ac:dyDescent="0.25">
      <c r="A283" s="222"/>
      <c r="B283" s="12"/>
      <c r="C283" s="12"/>
      <c r="D283" s="12"/>
      <c r="E283" s="12"/>
      <c r="F283" s="12"/>
      <c r="G283" s="31"/>
      <c r="H283" s="152"/>
      <c r="I283" s="236"/>
    </row>
    <row r="284" spans="1:9" ht="18.75" customHeight="1" x14ac:dyDescent="0.25">
      <c r="A284" s="222"/>
      <c r="B284" s="146" t="s">
        <v>577</v>
      </c>
      <c r="C284" s="12"/>
      <c r="D284" s="31"/>
      <c r="E284" s="12"/>
      <c r="F284" s="28"/>
      <c r="G284" s="31" t="s">
        <v>578</v>
      </c>
      <c r="H284" s="155">
        <f>H282/G282</f>
        <v>49.827439037328311</v>
      </c>
      <c r="I284" s="236" t="s">
        <v>49</v>
      </c>
    </row>
    <row r="285" spans="1:9" ht="18.75" customHeight="1" x14ac:dyDescent="0.25">
      <c r="A285" s="222"/>
      <c r="B285" s="12" t="s">
        <v>572</v>
      </c>
      <c r="C285" s="31"/>
      <c r="D285" s="28"/>
      <c r="E285" s="12"/>
      <c r="F285" s="28"/>
      <c r="G285" s="31" t="s">
        <v>579</v>
      </c>
      <c r="H285" s="154">
        <f>H279*H284</f>
        <v>3185.5749507400506</v>
      </c>
      <c r="I285" s="236" t="s">
        <v>115</v>
      </c>
    </row>
    <row r="286" spans="1:9" ht="18.75" customHeight="1" x14ac:dyDescent="0.25">
      <c r="A286" s="222"/>
      <c r="B286" s="12" t="s">
        <v>570</v>
      </c>
      <c r="C286" s="31"/>
      <c r="D286" s="28"/>
      <c r="E286" s="12"/>
      <c r="F286" s="28"/>
      <c r="G286" s="31" t="s">
        <v>580</v>
      </c>
      <c r="H286" s="154">
        <f>H276*H247/1000</f>
        <v>3185.5749507400506</v>
      </c>
      <c r="I286" s="236" t="s">
        <v>115</v>
      </c>
    </row>
    <row r="287" spans="1:9" ht="18.75" customHeight="1" x14ac:dyDescent="0.25">
      <c r="A287" s="222"/>
      <c r="B287" s="146"/>
      <c r="C287" s="12"/>
      <c r="D287" s="12"/>
      <c r="E287" s="12"/>
      <c r="F287" s="12"/>
      <c r="G287" s="28"/>
      <c r="H287" s="32"/>
      <c r="I287" s="229"/>
    </row>
    <row r="288" spans="1:9" ht="18.75" customHeight="1" x14ac:dyDescent="0.25">
      <c r="A288" s="222"/>
      <c r="B288" s="146" t="s">
        <v>581</v>
      </c>
      <c r="C288" s="12"/>
      <c r="D288" s="12"/>
      <c r="E288" s="12"/>
      <c r="F288" s="12"/>
      <c r="G288" s="28"/>
      <c r="H288" s="32"/>
      <c r="I288" s="229"/>
    </row>
    <row r="289" spans="1:9" ht="18.75" customHeight="1" x14ac:dyDescent="0.25">
      <c r="A289" s="222"/>
      <c r="B289" s="12"/>
      <c r="C289" s="146" t="s">
        <v>582</v>
      </c>
      <c r="D289" s="12"/>
      <c r="E289" s="31"/>
      <c r="F289" s="28"/>
      <c r="G289" s="32"/>
      <c r="H289" s="12"/>
      <c r="I289" s="230"/>
    </row>
    <row r="290" spans="1:9" ht="18.75" customHeight="1" x14ac:dyDescent="0.25">
      <c r="A290" s="222"/>
      <c r="B290" s="146"/>
      <c r="C290" s="12"/>
      <c r="D290" s="12" t="s">
        <v>583</v>
      </c>
      <c r="E290" s="12"/>
      <c r="F290" s="12" t="s">
        <v>584</v>
      </c>
      <c r="G290" s="31"/>
      <c r="H290" s="28"/>
      <c r="I290" s="230"/>
    </row>
    <row r="291" spans="1:9" ht="18.75" customHeight="1" x14ac:dyDescent="0.25">
      <c r="A291" s="222"/>
      <c r="B291" s="12"/>
      <c r="C291" s="12"/>
      <c r="D291" s="149">
        <f>(H245-H284)/H284*0.003</f>
        <v>1.9909064203457123E-2</v>
      </c>
      <c r="E291" s="28" t="str">
        <f>IF(D291&lt;F291,"&lt;","&gt;")</f>
        <v>&gt;</v>
      </c>
      <c r="F291" s="28">
        <f>H247/H248</f>
        <v>2E-3</v>
      </c>
      <c r="G291" s="12"/>
      <c r="H291" s="12"/>
      <c r="I291" s="230"/>
    </row>
    <row r="292" spans="1:9" ht="18.75" customHeight="1" x14ac:dyDescent="0.25">
      <c r="A292" s="222"/>
      <c r="B292" s="146" t="s">
        <v>585</v>
      </c>
      <c r="C292" s="12"/>
      <c r="D292" s="12"/>
      <c r="E292" s="12"/>
      <c r="F292" s="12"/>
      <c r="G292" s="29" t="s">
        <v>338</v>
      </c>
      <c r="H292" s="150" t="str">
        <f>IF(D291&lt;=F291,"Tekanan Terkontrol",IF(D291&lt;0.005,"Transisi",IF(D291&gt;0.005,"Tegangan Terkontrol","EROR")))</f>
        <v>Tegangan Terkontrol</v>
      </c>
      <c r="I292" s="223"/>
    </row>
    <row r="293" spans="1:9" ht="18.75" customHeight="1" x14ac:dyDescent="0.25">
      <c r="A293" s="222"/>
      <c r="B293" s="146"/>
      <c r="C293" s="12"/>
      <c r="D293" s="12"/>
      <c r="E293" s="12"/>
      <c r="F293" s="12"/>
      <c r="G293" s="29"/>
      <c r="H293" s="150"/>
      <c r="I293" s="223"/>
    </row>
    <row r="294" spans="1:9" ht="18.75" customHeight="1" x14ac:dyDescent="0.25">
      <c r="A294" s="222"/>
      <c r="B294" s="146" t="s">
        <v>586</v>
      </c>
      <c r="C294" s="12"/>
      <c r="D294" s="12"/>
      <c r="E294" s="12"/>
      <c r="F294" s="12"/>
      <c r="G294" s="31" t="str">
        <f>IF(D291&lt;=F291,"φ =",IF(D291&lt;0.005,"φ = 0,65 + 0,25 * (εs' - εs-yield)/(0,005 - εs-yield) =",IF(D291&gt;0.005,"φ =","EROR")))</f>
        <v>φ =</v>
      </c>
      <c r="H294" s="155">
        <f>IF(D291&lt;=F291,0.65,IF(D291&lt;0.005,0.65+0.25*(D291-F291)/(0.005-F291),IF(D291&gt;0.005,0.9,"EROR")))</f>
        <v>0.9</v>
      </c>
      <c r="I294" s="223"/>
    </row>
    <row r="295" spans="1:9" ht="18.75" customHeight="1" x14ac:dyDescent="0.25">
      <c r="A295" s="222"/>
      <c r="B295" s="146" t="s">
        <v>587</v>
      </c>
      <c r="C295" s="12"/>
      <c r="D295" s="12"/>
      <c r="E295" s="12"/>
      <c r="F295" s="12"/>
      <c r="G295" s="31" t="s">
        <v>588</v>
      </c>
      <c r="H295" s="154">
        <f>H285*(H245-H252*H284/2)/1000</f>
        <v>1145.7852049214098</v>
      </c>
      <c r="I295" s="223" t="s">
        <v>145</v>
      </c>
    </row>
    <row r="296" spans="1:9" ht="18.75" customHeight="1" x14ac:dyDescent="0.25">
      <c r="A296" s="222"/>
      <c r="B296" s="146"/>
      <c r="C296" s="12"/>
      <c r="D296" s="12"/>
      <c r="E296" s="12"/>
      <c r="F296" s="12"/>
      <c r="G296" s="31"/>
      <c r="H296" s="152"/>
      <c r="I296" s="223"/>
    </row>
    <row r="297" spans="1:9" ht="18.75" customHeight="1" x14ac:dyDescent="0.25">
      <c r="A297" s="222"/>
      <c r="B297" s="12"/>
      <c r="C297" s="12" t="s">
        <v>334</v>
      </c>
      <c r="D297" s="242" t="s">
        <v>589</v>
      </c>
      <c r="E297" s="28" t="s">
        <v>449</v>
      </c>
      <c r="F297" s="242" t="s">
        <v>590</v>
      </c>
      <c r="G297" s="12"/>
      <c r="H297" s="12"/>
      <c r="I297" s="230"/>
    </row>
    <row r="298" spans="1:9" ht="18.75" customHeight="1" x14ac:dyDescent="0.25">
      <c r="A298" s="222"/>
      <c r="B298" s="12"/>
      <c r="C298" s="12"/>
      <c r="D298" s="154">
        <f>H294*H295</f>
        <v>1031.2066844292688</v>
      </c>
      <c r="E298" s="28" t="str">
        <f>IF(D298&gt;F298,"&gt;","&lt;")</f>
        <v>&gt;</v>
      </c>
      <c r="F298" s="154">
        <f>H241</f>
        <v>724.12481288466506</v>
      </c>
      <c r="G298" s="29" t="s">
        <v>338</v>
      </c>
      <c r="H298" s="156" t="str">
        <f>IF(D298&gt;=F298,"[ OK ]","[ NOT OK ]")</f>
        <v>[ OK ]</v>
      </c>
      <c r="I298" s="230"/>
    </row>
    <row r="299" spans="1:9" ht="18.75" customHeight="1" x14ac:dyDescent="0.25">
      <c r="A299" s="168"/>
      <c r="B299" s="61"/>
      <c r="C299" s="2"/>
      <c r="D299" s="2"/>
      <c r="E299" s="1"/>
      <c r="F299" s="1"/>
      <c r="G299" s="1"/>
      <c r="H299" s="2"/>
      <c r="I299" s="211"/>
    </row>
    <row r="300" spans="1:9" ht="18.75" customHeight="1" x14ac:dyDescent="0.25">
      <c r="A300" s="165"/>
      <c r="B300" s="206" t="s">
        <v>705</v>
      </c>
      <c r="C300" s="207"/>
      <c r="D300" s="207"/>
      <c r="E300" s="207"/>
      <c r="F300" s="207"/>
      <c r="G300" s="207"/>
      <c r="H300" s="207"/>
      <c r="I300" s="208"/>
    </row>
    <row r="301" spans="1:9" ht="18.75" customHeight="1" x14ac:dyDescent="0.25">
      <c r="A301" s="168"/>
      <c r="B301" s="2" t="s">
        <v>494</v>
      </c>
      <c r="C301" s="2"/>
      <c r="D301" s="2"/>
      <c r="E301" s="2"/>
      <c r="F301" s="1"/>
      <c r="G301" s="3" t="s">
        <v>706</v>
      </c>
      <c r="H301" s="170">
        <f>'Process (3)'!I535</f>
        <v>259.19080322874999</v>
      </c>
      <c r="I301" s="171" t="s">
        <v>487</v>
      </c>
    </row>
    <row r="302" spans="1:9" ht="18.75" customHeight="1" x14ac:dyDescent="0.25">
      <c r="A302" s="168"/>
      <c r="B302" s="2" t="s">
        <v>512</v>
      </c>
      <c r="C302" s="2"/>
      <c r="D302" s="2"/>
      <c r="E302" s="2"/>
      <c r="F302" s="2"/>
      <c r="G302" s="3" t="s">
        <v>734</v>
      </c>
      <c r="H302" s="67">
        <f>H242</f>
        <v>3000</v>
      </c>
      <c r="I302" s="171" t="s">
        <v>49</v>
      </c>
    </row>
    <row r="303" spans="1:9" ht="18.75" customHeight="1" x14ac:dyDescent="0.25">
      <c r="A303" s="168"/>
      <c r="B303" s="2" t="s">
        <v>481</v>
      </c>
      <c r="C303" s="2"/>
      <c r="D303" s="2"/>
      <c r="E303" s="2"/>
      <c r="F303" s="1"/>
      <c r="G303" s="3" t="s">
        <v>482</v>
      </c>
      <c r="H303" s="170">
        <f>H244</f>
        <v>119.5</v>
      </c>
      <c r="I303" s="171" t="s">
        <v>0</v>
      </c>
    </row>
    <row r="304" spans="1:9" ht="18.75" customHeight="1" x14ac:dyDescent="0.25">
      <c r="A304" s="168"/>
      <c r="B304" s="2" t="s">
        <v>605</v>
      </c>
      <c r="C304" s="2"/>
      <c r="D304" s="2"/>
      <c r="E304" s="2"/>
      <c r="F304" s="2"/>
      <c r="G304" s="3" t="s">
        <v>723</v>
      </c>
      <c r="H304" s="170">
        <f>H245</f>
        <v>380.5</v>
      </c>
      <c r="I304" s="171" t="s">
        <v>49</v>
      </c>
    </row>
    <row r="305" spans="1:9" ht="18.75" customHeight="1" x14ac:dyDescent="0.25">
      <c r="A305" s="168"/>
      <c r="B305" s="2" t="s">
        <v>513</v>
      </c>
      <c r="C305" s="2"/>
      <c r="D305" s="2"/>
      <c r="E305" s="2"/>
      <c r="F305" s="2"/>
      <c r="G305" s="3" t="s">
        <v>514</v>
      </c>
      <c r="H305" s="67">
        <f>MAX(H302/H243,H243/H302)</f>
        <v>6</v>
      </c>
      <c r="I305" s="171"/>
    </row>
    <row r="306" spans="1:9" ht="18.75" customHeight="1" x14ac:dyDescent="0.25">
      <c r="A306" s="168"/>
      <c r="B306" s="1"/>
      <c r="C306" s="2"/>
      <c r="D306" s="2"/>
      <c r="E306" s="2"/>
      <c r="F306" s="2"/>
      <c r="G306" s="1"/>
      <c r="H306" s="210"/>
      <c r="I306" s="171"/>
    </row>
    <row r="307" spans="1:9" ht="18.75" customHeight="1" x14ac:dyDescent="0.25">
      <c r="A307" s="168"/>
      <c r="B307" s="2" t="s">
        <v>515</v>
      </c>
      <c r="C307" s="2"/>
      <c r="D307" s="2"/>
      <c r="E307" s="2"/>
      <c r="F307" s="2"/>
      <c r="G307" s="3" t="s">
        <v>516</v>
      </c>
      <c r="H307" s="170">
        <f>(1+2/H305)*SQRT(H246)*H302*H304/6*0.001</f>
        <v>1389.3895542047712</v>
      </c>
      <c r="I307" s="171" t="s">
        <v>115</v>
      </c>
    </row>
    <row r="308" spans="1:9" ht="18.75" customHeight="1" x14ac:dyDescent="0.25">
      <c r="A308" s="168"/>
      <c r="B308" s="2"/>
      <c r="C308" s="2"/>
      <c r="D308" s="2"/>
      <c r="E308" s="2"/>
      <c r="F308" s="2"/>
      <c r="G308" s="3" t="s">
        <v>517</v>
      </c>
      <c r="H308" s="170">
        <f>(40*H304/H302+2)*SQRT(H246)*H302*H304/12*0.001</f>
        <v>3685.3557925281561</v>
      </c>
      <c r="I308" s="171" t="s">
        <v>115</v>
      </c>
    </row>
    <row r="309" spans="1:9" ht="18.75" customHeight="1" x14ac:dyDescent="0.25">
      <c r="A309" s="168"/>
      <c r="B309" s="2"/>
      <c r="C309" s="2"/>
      <c r="D309" s="2"/>
      <c r="E309" s="2"/>
      <c r="F309" s="2"/>
      <c r="G309" s="3" t="s">
        <v>518</v>
      </c>
      <c r="H309" s="170">
        <f>1/3*SQRT(H246)*H302*H304*0.001</f>
        <v>2084.0843313071568</v>
      </c>
      <c r="I309" s="171" t="s">
        <v>115</v>
      </c>
    </row>
    <row r="310" spans="1:9" ht="18.75" customHeight="1" x14ac:dyDescent="0.25">
      <c r="A310" s="168"/>
      <c r="B310" s="2" t="s">
        <v>519</v>
      </c>
      <c r="C310" s="2"/>
      <c r="D310" s="2"/>
      <c r="E310" s="2"/>
      <c r="F310" s="2"/>
      <c r="G310" s="3" t="s">
        <v>520</v>
      </c>
      <c r="H310" s="170">
        <f>MIN(H307:H309)</f>
        <v>1389.3895542047712</v>
      </c>
      <c r="I310" s="171" t="s">
        <v>115</v>
      </c>
    </row>
    <row r="311" spans="1:9" ht="18.75" customHeight="1" x14ac:dyDescent="0.25">
      <c r="A311" s="168"/>
      <c r="B311" s="2" t="s">
        <v>446</v>
      </c>
      <c r="C311" s="2"/>
      <c r="D311" s="2"/>
      <c r="E311" s="2"/>
      <c r="F311" s="2"/>
      <c r="G311" s="3" t="s">
        <v>433</v>
      </c>
      <c r="H311" s="67">
        <v>0.75</v>
      </c>
      <c r="I311" s="171"/>
    </row>
    <row r="312" spans="1:9" ht="18.75" customHeight="1" x14ac:dyDescent="0.25">
      <c r="A312" s="168"/>
      <c r="B312" s="2" t="s">
        <v>521</v>
      </c>
      <c r="C312" s="2"/>
      <c r="D312" s="2"/>
      <c r="E312" s="2"/>
      <c r="F312" s="2"/>
      <c r="G312" s="3" t="s">
        <v>448</v>
      </c>
      <c r="H312" s="170">
        <f>H311*H310</f>
        <v>1042.0421656535784</v>
      </c>
      <c r="I312" s="171" t="s">
        <v>115</v>
      </c>
    </row>
    <row r="313" spans="1:9" ht="18.75" customHeight="1" x14ac:dyDescent="0.25">
      <c r="A313" s="168"/>
      <c r="B313" s="2" t="s">
        <v>522</v>
      </c>
      <c r="C313" s="2"/>
      <c r="D313" s="2"/>
      <c r="E313" s="1"/>
      <c r="F313" s="1"/>
      <c r="G313" s="1"/>
      <c r="H313" s="1"/>
      <c r="I313" s="211"/>
    </row>
    <row r="314" spans="1:9" ht="18.75" customHeight="1" x14ac:dyDescent="0.25">
      <c r="A314" s="168"/>
      <c r="B314" s="2"/>
      <c r="C314" s="2" t="s">
        <v>523</v>
      </c>
      <c r="D314" s="212" t="s">
        <v>524</v>
      </c>
      <c r="E314" s="89" t="s">
        <v>449</v>
      </c>
      <c r="F314" s="212" t="s">
        <v>525</v>
      </c>
      <c r="G314" s="2"/>
      <c r="H314" s="1"/>
      <c r="I314" s="198"/>
    </row>
    <row r="315" spans="1:9" ht="18.75" customHeight="1" x14ac:dyDescent="0.25">
      <c r="A315" s="168"/>
      <c r="B315" s="2"/>
      <c r="C315" s="2"/>
      <c r="D315" s="170">
        <f>H312</f>
        <v>1042.0421656535784</v>
      </c>
      <c r="E315" s="213" t="str">
        <f>IF(D315&lt;=F315,"&lt;","&gt;")</f>
        <v>&gt;</v>
      </c>
      <c r="F315" s="170">
        <f>H301</f>
        <v>259.19080322874999</v>
      </c>
      <c r="G315" s="214" t="s">
        <v>338</v>
      </c>
      <c r="H315" s="25" t="str">
        <f>IF(D315&gt;F315,"[ OK ]","[ NOT OK ]")</f>
        <v>[ OK ]</v>
      </c>
      <c r="I315" s="198"/>
    </row>
    <row r="316" spans="1:9" ht="18.75" customHeight="1" x14ac:dyDescent="0.25">
      <c r="A316" s="168"/>
      <c r="B316" s="2"/>
      <c r="C316" s="2"/>
      <c r="D316" s="2"/>
      <c r="E316" s="2"/>
      <c r="F316" s="1"/>
      <c r="G316" s="1"/>
      <c r="H316" s="1"/>
      <c r="I316" s="198"/>
    </row>
    <row r="317" spans="1:9" ht="18.75" customHeight="1" x14ac:dyDescent="0.25">
      <c r="A317" s="168"/>
      <c r="B317" s="2"/>
      <c r="C317" s="2"/>
      <c r="D317" s="2"/>
      <c r="E317" s="2"/>
      <c r="F317" s="2"/>
      <c r="G317" s="1"/>
      <c r="H317" s="1"/>
      <c r="I317" s="198"/>
    </row>
    <row r="318" spans="1:9" ht="18.75" customHeight="1" x14ac:dyDescent="0.25">
      <c r="A318" s="161" t="s">
        <v>851</v>
      </c>
      <c r="B318" s="199" t="s">
        <v>724</v>
      </c>
      <c r="C318" s="200"/>
      <c r="D318" s="200"/>
      <c r="E318" s="200"/>
      <c r="F318" s="200"/>
      <c r="G318" s="200"/>
      <c r="H318" s="200"/>
      <c r="I318" s="205"/>
    </row>
    <row r="319" spans="1:9" ht="18.75" customHeight="1" x14ac:dyDescent="0.25">
      <c r="A319" s="165"/>
      <c r="B319" s="206" t="s">
        <v>704</v>
      </c>
      <c r="C319" s="207"/>
      <c r="D319" s="207"/>
      <c r="E319" s="207"/>
      <c r="F319" s="207"/>
      <c r="G319" s="207"/>
      <c r="H319" s="207"/>
      <c r="I319" s="208"/>
    </row>
    <row r="320" spans="1:9" ht="18.75" customHeight="1" x14ac:dyDescent="0.25">
      <c r="A320" s="168"/>
      <c r="B320" s="2" t="s">
        <v>539</v>
      </c>
      <c r="C320" s="2"/>
      <c r="D320" s="2"/>
      <c r="E320" s="2"/>
      <c r="F320" s="2"/>
      <c r="G320" s="3" t="s">
        <v>702</v>
      </c>
      <c r="H320" s="170">
        <f>'Process (3)'!I540</f>
        <v>1321.943183703836</v>
      </c>
      <c r="I320" s="171" t="s">
        <v>417</v>
      </c>
    </row>
    <row r="321" spans="1:9" ht="18.75" customHeight="1" x14ac:dyDescent="0.25">
      <c r="A321" s="168"/>
      <c r="B321" s="2" t="s">
        <v>541</v>
      </c>
      <c r="C321" s="2"/>
      <c r="D321" s="2"/>
      <c r="E321" s="1"/>
      <c r="F321" s="1"/>
      <c r="G321" s="3" t="s">
        <v>735</v>
      </c>
      <c r="H321" s="67">
        <f>'Process (3)'!$I$395*1000</f>
        <v>6730</v>
      </c>
      <c r="I321" s="171" t="s">
        <v>49</v>
      </c>
    </row>
    <row r="322" spans="1:9" ht="18.75" customHeight="1" x14ac:dyDescent="0.25">
      <c r="A322" s="168"/>
      <c r="B322" s="2" t="s">
        <v>253</v>
      </c>
      <c r="C322" s="2"/>
      <c r="D322" s="2"/>
      <c r="E322" s="1"/>
      <c r="F322" s="1"/>
      <c r="G322" s="3" t="s">
        <v>720</v>
      </c>
      <c r="H322" s="67">
        <f>'Input (1)'!C55*1000</f>
        <v>500</v>
      </c>
      <c r="I322" s="171" t="s">
        <v>49</v>
      </c>
    </row>
    <row r="323" spans="1:9" ht="18.75" customHeight="1" x14ac:dyDescent="0.25">
      <c r="A323" s="168"/>
      <c r="B323" s="2" t="s">
        <v>542</v>
      </c>
      <c r="C323" s="2"/>
      <c r="D323" s="2"/>
      <c r="E323" s="1"/>
      <c r="F323" s="1"/>
      <c r="G323" s="3" t="s">
        <v>482</v>
      </c>
      <c r="H323" s="209">
        <f>'Input (1)'!$I$74+3/2*'Input (1)'!I17</f>
        <v>119.5</v>
      </c>
      <c r="I323" s="171" t="s">
        <v>49</v>
      </c>
    </row>
    <row r="324" spans="1:9" ht="18.75" customHeight="1" x14ac:dyDescent="0.25">
      <c r="A324" s="168"/>
      <c r="B324" s="2" t="s">
        <v>543</v>
      </c>
      <c r="C324" s="2"/>
      <c r="D324" s="2"/>
      <c r="E324" s="1"/>
      <c r="F324" s="1"/>
      <c r="G324" s="3" t="s">
        <v>484</v>
      </c>
      <c r="H324" s="209">
        <f>H322-H323</f>
        <v>380.5</v>
      </c>
      <c r="I324" s="171" t="s">
        <v>49</v>
      </c>
    </row>
    <row r="325" spans="1:9" ht="18.75" customHeight="1" x14ac:dyDescent="0.25">
      <c r="A325" s="168"/>
      <c r="B325" s="2" t="s">
        <v>544</v>
      </c>
      <c r="C325" s="2"/>
      <c r="D325" s="2"/>
      <c r="E325" s="1"/>
      <c r="F325" s="1"/>
      <c r="G325" s="219" t="s">
        <v>545</v>
      </c>
      <c r="H325" s="209">
        <f>'Input (1)'!$I$3</f>
        <v>30</v>
      </c>
      <c r="I325" s="171" t="s">
        <v>7</v>
      </c>
    </row>
    <row r="326" spans="1:9" ht="18.75" customHeight="1" x14ac:dyDescent="0.25">
      <c r="A326" s="168"/>
      <c r="B326" s="2" t="s">
        <v>546</v>
      </c>
      <c r="C326" s="2"/>
      <c r="D326" s="2"/>
      <c r="E326" s="1"/>
      <c r="F326" s="1"/>
      <c r="G326" s="3" t="s">
        <v>447</v>
      </c>
      <c r="H326" s="209">
        <f>'Input (1)'!$I$4</f>
        <v>400</v>
      </c>
      <c r="I326" s="171" t="s">
        <v>7</v>
      </c>
    </row>
    <row r="327" spans="1:9" ht="18.75" customHeight="1" x14ac:dyDescent="0.25">
      <c r="A327" s="168"/>
      <c r="B327" s="220" t="s">
        <v>9</v>
      </c>
      <c r="C327" s="2"/>
      <c r="D327" s="2"/>
      <c r="E327" s="1"/>
      <c r="F327" s="1"/>
      <c r="G327" s="3" t="s">
        <v>547</v>
      </c>
      <c r="H327" s="221">
        <v>200000</v>
      </c>
      <c r="I327" s="171" t="s">
        <v>7</v>
      </c>
    </row>
    <row r="328" spans="1:9" ht="18.75" customHeight="1" x14ac:dyDescent="0.25">
      <c r="A328" s="222"/>
      <c r="B328" s="12" t="s">
        <v>548</v>
      </c>
      <c r="C328" s="12"/>
      <c r="D328" s="12"/>
      <c r="E328" s="12"/>
      <c r="F328" s="12"/>
      <c r="G328" s="31" t="s">
        <v>549</v>
      </c>
      <c r="H328" s="153" t="str">
        <f>IF(H325&gt;=17,IF(H325&lt;=28,0.85,"-"),"-")</f>
        <v>-</v>
      </c>
      <c r="I328" s="223"/>
    </row>
    <row r="329" spans="1:9" ht="18.75" customHeight="1" x14ac:dyDescent="0.25">
      <c r="A329" s="222"/>
      <c r="B329" s="12" t="s">
        <v>550</v>
      </c>
      <c r="C329" s="12"/>
      <c r="D329" s="12"/>
      <c r="E329" s="12"/>
      <c r="F329" s="12"/>
      <c r="G329" s="31" t="s">
        <v>551</v>
      </c>
      <c r="H329" s="154">
        <f>IF(H325&gt;28,IF(H325&lt;55,0.85-0.05*(H325-28)/7,"-"),"-")</f>
        <v>0.83571428571428574</v>
      </c>
      <c r="I329" s="223"/>
    </row>
    <row r="330" spans="1:9" ht="18.75" customHeight="1" x14ac:dyDescent="0.25">
      <c r="A330" s="222"/>
      <c r="B330" s="12" t="s">
        <v>552</v>
      </c>
      <c r="C330" s="12"/>
      <c r="D330" s="12"/>
      <c r="E330" s="12"/>
      <c r="F330" s="12"/>
      <c r="G330" s="31" t="s">
        <v>549</v>
      </c>
      <c r="H330" s="154" t="str">
        <f>IF(H325&gt;=55,0.65,"-")</f>
        <v>-</v>
      </c>
      <c r="I330" s="223"/>
    </row>
    <row r="331" spans="1:9" ht="18.75" customHeight="1" x14ac:dyDescent="0.25">
      <c r="A331" s="222"/>
      <c r="B331" s="12" t="s">
        <v>427</v>
      </c>
      <c r="C331" s="12"/>
      <c r="D331" s="12"/>
      <c r="E331" s="12"/>
      <c r="F331" s="29" t="s">
        <v>338</v>
      </c>
      <c r="G331" s="31" t="s">
        <v>549</v>
      </c>
      <c r="H331" s="154">
        <f>MAX(H328:H330)</f>
        <v>0.83571428571428574</v>
      </c>
      <c r="I331" s="223"/>
    </row>
    <row r="332" spans="1:9" ht="18.75" customHeight="1" x14ac:dyDescent="0.25">
      <c r="A332" s="222"/>
      <c r="B332" s="12" t="s">
        <v>428</v>
      </c>
      <c r="C332" s="12"/>
      <c r="D332" s="12"/>
      <c r="E332" s="12"/>
      <c r="F332" s="29"/>
      <c r="G332" s="31"/>
      <c r="H332" s="28"/>
      <c r="I332" s="223"/>
    </row>
    <row r="333" spans="1:9" ht="18.75" customHeight="1" x14ac:dyDescent="0.25">
      <c r="A333" s="222"/>
      <c r="B333" s="12"/>
      <c r="C333" s="147"/>
      <c r="D333" s="12"/>
      <c r="E333" s="12"/>
      <c r="F333" s="12"/>
      <c r="G333" s="31" t="s">
        <v>429</v>
      </c>
      <c r="H333" s="224">
        <f>H331*0.85*H325/H326*(600/(600+H326))</f>
        <v>3.1966071428571427E-2</v>
      </c>
      <c r="I333" s="223"/>
    </row>
    <row r="334" spans="1:9" ht="18.75" customHeight="1" x14ac:dyDescent="0.25">
      <c r="A334" s="222"/>
      <c r="B334" s="12" t="s">
        <v>430</v>
      </c>
      <c r="C334" s="12"/>
      <c r="D334" s="148"/>
      <c r="E334" s="28"/>
      <c r="F334" s="146"/>
      <c r="G334" s="31" t="s">
        <v>431</v>
      </c>
      <c r="H334" s="224">
        <f>0.75*H333</f>
        <v>2.397455357142857E-2</v>
      </c>
      <c r="I334" s="223"/>
    </row>
    <row r="335" spans="1:9" ht="18.75" customHeight="1" x14ac:dyDescent="0.25">
      <c r="A335" s="222"/>
      <c r="B335" s="12" t="s">
        <v>432</v>
      </c>
      <c r="C335" s="12"/>
      <c r="D335" s="12"/>
      <c r="E335" s="146"/>
      <c r="F335" s="12"/>
      <c r="G335" s="3" t="s">
        <v>594</v>
      </c>
      <c r="H335" s="224">
        <v>2E-3</v>
      </c>
      <c r="I335" s="223"/>
    </row>
    <row r="336" spans="1:9" ht="18.75" customHeight="1" x14ac:dyDescent="0.25">
      <c r="A336" s="222"/>
      <c r="B336" s="12"/>
      <c r="C336" s="12"/>
      <c r="D336" s="12"/>
      <c r="E336" s="12"/>
      <c r="F336" s="12"/>
      <c r="G336" s="31"/>
      <c r="H336" s="225"/>
      <c r="I336" s="223"/>
    </row>
    <row r="337" spans="1:9" ht="18.75" customHeight="1" x14ac:dyDescent="0.25">
      <c r="A337" s="222"/>
      <c r="B337" s="12" t="s">
        <v>553</v>
      </c>
      <c r="C337" s="12"/>
      <c r="D337" s="12"/>
      <c r="E337" s="12"/>
      <c r="F337" s="31"/>
      <c r="G337" s="31" t="s">
        <v>554</v>
      </c>
      <c r="H337" s="155">
        <v>0.85</v>
      </c>
      <c r="I337" s="223"/>
    </row>
    <row r="338" spans="1:9" ht="18.75" customHeight="1" x14ac:dyDescent="0.25">
      <c r="A338" s="222"/>
      <c r="B338" s="12" t="s">
        <v>555</v>
      </c>
      <c r="C338" s="12"/>
      <c r="D338" s="12"/>
      <c r="E338" s="12"/>
      <c r="F338" s="31"/>
      <c r="G338" s="31" t="s">
        <v>556</v>
      </c>
      <c r="H338" s="154">
        <f>H320/H337</f>
        <v>1555.2272749456895</v>
      </c>
      <c r="I338" s="223" t="s">
        <v>145</v>
      </c>
    </row>
    <row r="339" spans="1:9" ht="18.75" customHeight="1" x14ac:dyDescent="0.25">
      <c r="A339" s="222"/>
      <c r="B339" s="12" t="s">
        <v>557</v>
      </c>
      <c r="C339" s="147"/>
      <c r="D339" s="12"/>
      <c r="E339" s="12"/>
      <c r="F339" s="12"/>
      <c r="G339" s="226" t="s">
        <v>558</v>
      </c>
      <c r="H339" s="154">
        <f>H338*10^6/(H321*H324^2)</f>
        <v>1.5961344736908174</v>
      </c>
      <c r="I339" s="227"/>
    </row>
    <row r="340" spans="1:9" ht="18.75" customHeight="1" x14ac:dyDescent="0.25">
      <c r="A340" s="222"/>
      <c r="B340" s="12" t="s">
        <v>559</v>
      </c>
      <c r="C340" s="12"/>
      <c r="D340" s="12"/>
      <c r="E340" s="12"/>
      <c r="F340" s="12"/>
      <c r="G340" s="31" t="s">
        <v>560</v>
      </c>
      <c r="H340" s="154">
        <f>H326/(0.85*H325)</f>
        <v>15.686274509803921</v>
      </c>
      <c r="I340" s="228"/>
    </row>
    <row r="341" spans="1:9" ht="18.75" customHeight="1" x14ac:dyDescent="0.25">
      <c r="A341" s="222"/>
      <c r="B341" s="12" t="s">
        <v>561</v>
      </c>
      <c r="C341" s="147"/>
      <c r="D341" s="12"/>
      <c r="E341" s="12"/>
      <c r="F341" s="12"/>
      <c r="G341" s="226" t="s">
        <v>562</v>
      </c>
      <c r="H341" s="224">
        <f>1/H340*(1-(1-2*H340*H339/H326)^0.5)</f>
        <v>4.1237085128460168E-3</v>
      </c>
      <c r="I341" s="227"/>
    </row>
    <row r="342" spans="1:9" ht="18.75" customHeight="1" x14ac:dyDescent="0.25">
      <c r="A342" s="222"/>
      <c r="B342" s="12" t="s">
        <v>434</v>
      </c>
      <c r="C342" s="12"/>
      <c r="D342" s="12"/>
      <c r="E342" s="12"/>
      <c r="F342" s="12"/>
      <c r="G342" s="149"/>
      <c r="H342" s="32"/>
      <c r="I342" s="229"/>
    </row>
    <row r="343" spans="1:9" ht="18.75" customHeight="1" x14ac:dyDescent="0.25">
      <c r="A343" s="222"/>
      <c r="B343" s="12"/>
      <c r="C343" s="12" t="s">
        <v>334</v>
      </c>
      <c r="D343" s="28" t="s">
        <v>435</v>
      </c>
      <c r="E343" s="28" t="s">
        <v>436</v>
      </c>
      <c r="F343" s="28" t="s">
        <v>437</v>
      </c>
      <c r="G343" s="31"/>
      <c r="H343" s="149"/>
      <c r="I343" s="230"/>
    </row>
    <row r="344" spans="1:9" ht="18.75" customHeight="1" x14ac:dyDescent="0.25">
      <c r="A344" s="222"/>
      <c r="B344" s="12"/>
      <c r="C344" s="12"/>
      <c r="D344" s="149">
        <f>H335</f>
        <v>2E-3</v>
      </c>
      <c r="E344" s="149">
        <f>H341</f>
        <v>4.1237085128460168E-3</v>
      </c>
      <c r="F344" s="149">
        <f>H334</f>
        <v>2.397455357142857E-2</v>
      </c>
      <c r="G344" s="29" t="s">
        <v>338</v>
      </c>
      <c r="H344" s="156" t="str">
        <f>IF(D344&lt;E344,(IF(E344&lt;F344,"[ OK ]","[ NOT OK ]")),"[ Pakai ρmin ]")</f>
        <v>[ OK ]</v>
      </c>
      <c r="I344" s="230"/>
    </row>
    <row r="345" spans="1:9" ht="18.75" customHeight="1" x14ac:dyDescent="0.25">
      <c r="A345" s="222"/>
      <c r="B345" s="12"/>
      <c r="C345" s="12"/>
      <c r="D345" s="12"/>
      <c r="E345" s="12"/>
      <c r="F345" s="12"/>
      <c r="G345" s="31"/>
      <c r="H345" s="28"/>
      <c r="I345" s="229"/>
    </row>
    <row r="346" spans="1:9" ht="18.75" customHeight="1" x14ac:dyDescent="0.25">
      <c r="A346" s="222"/>
      <c r="B346" s="12" t="s">
        <v>563</v>
      </c>
      <c r="C346" s="12"/>
      <c r="D346" s="12"/>
      <c r="E346" s="12"/>
      <c r="F346" s="12"/>
      <c r="G346" s="31" t="s">
        <v>564</v>
      </c>
      <c r="H346" s="224">
        <f>IF(D344&lt;E344,(IF(E344&lt;F344,E344,"[ NOT OK ]")),D344)</f>
        <v>4.1237085128460168E-3</v>
      </c>
      <c r="I346" s="228"/>
    </row>
    <row r="347" spans="1:9" ht="18.75" customHeight="1" x14ac:dyDescent="0.25">
      <c r="A347" s="222"/>
      <c r="B347" s="12"/>
      <c r="C347" s="12"/>
      <c r="D347" s="149"/>
      <c r="E347" s="149"/>
      <c r="F347" s="149"/>
      <c r="G347" s="156"/>
      <c r="H347" s="32"/>
      <c r="I347" s="229"/>
    </row>
    <row r="348" spans="1:9" ht="18.75" customHeight="1" x14ac:dyDescent="0.25">
      <c r="A348" s="222"/>
      <c r="B348" s="12" t="s">
        <v>438</v>
      </c>
      <c r="C348" s="12"/>
      <c r="D348" s="12"/>
      <c r="E348" s="12"/>
      <c r="F348" s="12"/>
      <c r="G348" s="31" t="s">
        <v>565</v>
      </c>
      <c r="H348" s="231">
        <f>H346*H321*H324</f>
        <v>10559.848429898129</v>
      </c>
      <c r="I348" s="223" t="s">
        <v>439</v>
      </c>
    </row>
    <row r="349" spans="1:9" ht="18.75" customHeight="1" x14ac:dyDescent="0.25">
      <c r="A349" s="222"/>
      <c r="B349" s="12" t="s">
        <v>440</v>
      </c>
      <c r="C349" s="12"/>
      <c r="D349" s="12"/>
      <c r="E349" s="12"/>
      <c r="F349" s="12"/>
      <c r="G349" s="31" t="s">
        <v>566</v>
      </c>
      <c r="H349" s="157">
        <f>PI()/4*'Input (1)'!I17^2*H321/H348</f>
        <v>84.592910119257581</v>
      </c>
      <c r="I349" s="223" t="s">
        <v>49</v>
      </c>
    </row>
    <row r="350" spans="1:9" ht="18.75" customHeight="1" x14ac:dyDescent="0.25">
      <c r="A350" s="222"/>
      <c r="B350" s="12" t="s">
        <v>441</v>
      </c>
      <c r="C350" s="12"/>
      <c r="D350" s="12"/>
      <c r="E350" s="12"/>
      <c r="F350" s="12"/>
      <c r="G350" s="31" t="s">
        <v>567</v>
      </c>
      <c r="H350" s="157">
        <f>3*H322</f>
        <v>1500</v>
      </c>
      <c r="I350" s="223" t="s">
        <v>49</v>
      </c>
    </row>
    <row r="351" spans="1:9" ht="18.75" customHeight="1" x14ac:dyDescent="0.25">
      <c r="A351" s="222"/>
      <c r="B351" s="12" t="s">
        <v>441</v>
      </c>
      <c r="C351" s="12"/>
      <c r="D351" s="12"/>
      <c r="E351" s="12"/>
      <c r="F351" s="12"/>
      <c r="G351" s="31" t="s">
        <v>442</v>
      </c>
      <c r="H351" s="157">
        <v>450</v>
      </c>
      <c r="I351" s="223" t="s">
        <v>49</v>
      </c>
    </row>
    <row r="352" spans="1:9" ht="18.75" customHeight="1" x14ac:dyDescent="0.25">
      <c r="A352" s="222"/>
      <c r="B352" s="12" t="s">
        <v>443</v>
      </c>
      <c r="C352" s="12"/>
      <c r="D352" s="12"/>
      <c r="E352" s="12"/>
      <c r="F352" s="12"/>
      <c r="G352" s="31" t="s">
        <v>245</v>
      </c>
      <c r="H352" s="157">
        <f>MIN(H349:H351)</f>
        <v>84.592910119257581</v>
      </c>
      <c r="I352" s="223" t="s">
        <v>49</v>
      </c>
    </row>
    <row r="353" spans="1:9" ht="18.75" customHeight="1" x14ac:dyDescent="0.25">
      <c r="A353" s="222"/>
      <c r="B353" s="12" t="s">
        <v>444</v>
      </c>
      <c r="C353" s="12"/>
      <c r="D353" s="12"/>
      <c r="E353" s="12"/>
      <c r="F353" s="12"/>
      <c r="G353" s="31" t="s">
        <v>245</v>
      </c>
      <c r="H353" s="232">
        <f>ROUNDDOWN(H352/25,0)*25</f>
        <v>75</v>
      </c>
      <c r="I353" s="223" t="s">
        <v>49</v>
      </c>
    </row>
    <row r="354" spans="1:9" ht="18.75" customHeight="1" x14ac:dyDescent="0.25">
      <c r="A354" s="222"/>
      <c r="B354" s="12" t="s">
        <v>445</v>
      </c>
      <c r="C354" s="12"/>
      <c r="D354" s="12"/>
      <c r="E354" s="12"/>
      <c r="F354" s="12"/>
      <c r="G354" s="233">
        <f>'Input (1)'!I17</f>
        <v>13</v>
      </c>
      <c r="H354" s="234">
        <f>H353</f>
        <v>75</v>
      </c>
      <c r="I354" s="223"/>
    </row>
    <row r="355" spans="1:9" ht="18.75" customHeight="1" x14ac:dyDescent="0.25">
      <c r="A355" s="222"/>
      <c r="B355" s="12" t="s">
        <v>568</v>
      </c>
      <c r="C355" s="12"/>
      <c r="D355" s="12"/>
      <c r="E355" s="12"/>
      <c r="F355" s="12"/>
      <c r="G355" s="31" t="s">
        <v>569</v>
      </c>
      <c r="H355" s="235">
        <f>PI()/4*G354^2*H321/H354</f>
        <v>11910.510788044743</v>
      </c>
      <c r="I355" s="223" t="s">
        <v>439</v>
      </c>
    </row>
    <row r="356" spans="1:9" ht="18.75" customHeight="1" x14ac:dyDescent="0.25">
      <c r="A356" s="222"/>
      <c r="B356" s="12"/>
      <c r="C356" s="12"/>
      <c r="D356" s="12"/>
      <c r="E356" s="12"/>
      <c r="F356" s="12"/>
      <c r="G356" s="12"/>
      <c r="H356" s="12"/>
      <c r="I356" s="223"/>
    </row>
    <row r="357" spans="1:9" ht="18.75" customHeight="1" x14ac:dyDescent="0.25">
      <c r="A357" s="222"/>
      <c r="B357" s="12" t="s">
        <v>570</v>
      </c>
      <c r="C357" s="12"/>
      <c r="D357" s="12"/>
      <c r="E357" s="12"/>
      <c r="F357" s="12"/>
      <c r="G357" s="31" t="s">
        <v>571</v>
      </c>
      <c r="H357" s="154">
        <f>H355*H326/1000</f>
        <v>4764.2043152178976</v>
      </c>
      <c r="I357" s="236" t="s">
        <v>115</v>
      </c>
    </row>
    <row r="358" spans="1:9" ht="18.75" customHeight="1" x14ac:dyDescent="0.25">
      <c r="A358" s="222"/>
      <c r="B358" s="12" t="s">
        <v>572</v>
      </c>
      <c r="C358" s="12"/>
      <c r="D358" s="12"/>
      <c r="E358" s="12"/>
      <c r="F358" s="28"/>
      <c r="G358" s="31" t="s">
        <v>573</v>
      </c>
      <c r="H358" s="237">
        <f>0.85*H325*H331*H321/1000</f>
        <v>143.42110714285715</v>
      </c>
      <c r="I358" s="223" t="s">
        <v>115</v>
      </c>
    </row>
    <row r="359" spans="1:9" ht="18.75" customHeight="1" x14ac:dyDescent="0.25">
      <c r="A359" s="222"/>
      <c r="B359" s="146"/>
      <c r="C359" s="147"/>
      <c r="D359" s="28"/>
      <c r="E359" s="12"/>
      <c r="F359" s="238"/>
      <c r="G359" s="12"/>
      <c r="H359" s="12"/>
      <c r="I359" s="230"/>
    </row>
    <row r="360" spans="1:9" ht="18.75" customHeight="1" x14ac:dyDescent="0.25">
      <c r="A360" s="222"/>
      <c r="B360" s="146" t="s">
        <v>574</v>
      </c>
      <c r="C360" s="12"/>
      <c r="D360" s="12"/>
      <c r="E360" s="12"/>
      <c r="F360" s="12"/>
      <c r="G360" s="31" t="s">
        <v>575</v>
      </c>
      <c r="H360" s="146" t="s">
        <v>576</v>
      </c>
      <c r="I360" s="230"/>
    </row>
    <row r="361" spans="1:9" ht="18.75" customHeight="1" x14ac:dyDescent="0.25">
      <c r="A361" s="222"/>
      <c r="B361" s="146"/>
      <c r="C361" s="12"/>
      <c r="D361" s="12"/>
      <c r="E361" s="12"/>
      <c r="F361" s="12"/>
      <c r="G361" s="240">
        <f>H358</f>
        <v>143.42110714285715</v>
      </c>
      <c r="H361" s="152">
        <f>H357</f>
        <v>4764.2043152178976</v>
      </c>
      <c r="I361" s="230"/>
    </row>
    <row r="362" spans="1:9" ht="18.75" customHeight="1" x14ac:dyDescent="0.25">
      <c r="A362" s="222"/>
      <c r="B362" s="12"/>
      <c r="C362" s="12"/>
      <c r="D362" s="12"/>
      <c r="E362" s="12"/>
      <c r="F362" s="12"/>
      <c r="G362" s="31"/>
      <c r="H362" s="152"/>
      <c r="I362" s="236"/>
    </row>
    <row r="363" spans="1:9" ht="18.75" customHeight="1" x14ac:dyDescent="0.25">
      <c r="A363" s="222"/>
      <c r="B363" s="146" t="s">
        <v>577</v>
      </c>
      <c r="C363" s="12"/>
      <c r="D363" s="31"/>
      <c r="E363" s="12"/>
      <c r="F363" s="28"/>
      <c r="G363" s="31" t="s">
        <v>578</v>
      </c>
      <c r="H363" s="155">
        <f>H361/G361</f>
        <v>33.218292691552207</v>
      </c>
      <c r="I363" s="236" t="s">
        <v>49</v>
      </c>
    </row>
    <row r="364" spans="1:9" ht="18.75" customHeight="1" x14ac:dyDescent="0.25">
      <c r="A364" s="222"/>
      <c r="B364" s="12" t="s">
        <v>572</v>
      </c>
      <c r="C364" s="31"/>
      <c r="D364" s="28"/>
      <c r="E364" s="12"/>
      <c r="F364" s="28"/>
      <c r="G364" s="31" t="s">
        <v>579</v>
      </c>
      <c r="H364" s="154">
        <f>H358*H363</f>
        <v>4764.2043152178976</v>
      </c>
      <c r="I364" s="236" t="s">
        <v>115</v>
      </c>
    </row>
    <row r="365" spans="1:9" ht="18.75" customHeight="1" x14ac:dyDescent="0.25">
      <c r="A365" s="222"/>
      <c r="B365" s="12" t="s">
        <v>570</v>
      </c>
      <c r="C365" s="31"/>
      <c r="D365" s="28"/>
      <c r="E365" s="12"/>
      <c r="F365" s="28"/>
      <c r="G365" s="31" t="s">
        <v>580</v>
      </c>
      <c r="H365" s="154">
        <f>H355*H326/1000</f>
        <v>4764.2043152178976</v>
      </c>
      <c r="I365" s="236" t="s">
        <v>115</v>
      </c>
    </row>
    <row r="366" spans="1:9" ht="18.75" customHeight="1" x14ac:dyDescent="0.25">
      <c r="A366" s="222"/>
      <c r="B366" s="146"/>
      <c r="C366" s="12"/>
      <c r="D366" s="12"/>
      <c r="E366" s="12"/>
      <c r="F366" s="12"/>
      <c r="G366" s="28"/>
      <c r="H366" s="32"/>
      <c r="I366" s="229"/>
    </row>
    <row r="367" spans="1:9" ht="18.75" customHeight="1" x14ac:dyDescent="0.25">
      <c r="A367" s="222"/>
      <c r="B367" s="146" t="s">
        <v>581</v>
      </c>
      <c r="C367" s="12"/>
      <c r="D367" s="12"/>
      <c r="E367" s="12"/>
      <c r="F367" s="12"/>
      <c r="G367" s="28"/>
      <c r="H367" s="32"/>
      <c r="I367" s="229"/>
    </row>
    <row r="368" spans="1:9" ht="18.75" customHeight="1" x14ac:dyDescent="0.25">
      <c r="A368" s="222"/>
      <c r="B368" s="12"/>
      <c r="C368" s="146" t="s">
        <v>582</v>
      </c>
      <c r="D368" s="12"/>
      <c r="E368" s="31"/>
      <c r="F368" s="28"/>
      <c r="G368" s="32"/>
      <c r="H368" s="12"/>
      <c r="I368" s="230"/>
    </row>
    <row r="369" spans="1:9" ht="18.75" customHeight="1" x14ac:dyDescent="0.25">
      <c r="A369" s="222"/>
      <c r="B369" s="146"/>
      <c r="C369" s="12"/>
      <c r="D369" s="12" t="s">
        <v>583</v>
      </c>
      <c r="E369" s="12"/>
      <c r="F369" s="12" t="s">
        <v>584</v>
      </c>
      <c r="G369" s="31"/>
      <c r="H369" s="28"/>
      <c r="I369" s="230"/>
    </row>
    <row r="370" spans="1:9" ht="18.75" customHeight="1" x14ac:dyDescent="0.25">
      <c r="A370" s="222"/>
      <c r="B370" s="12"/>
      <c r="C370" s="12"/>
      <c r="D370" s="149">
        <f>(H324-H363)/H363*0.003</f>
        <v>3.1363596305185683E-2</v>
      </c>
      <c r="E370" s="28" t="str">
        <f>IF(D370&lt;F370,"&lt;","&gt;")</f>
        <v>&gt;</v>
      </c>
      <c r="F370" s="28">
        <f>H326/H327</f>
        <v>2E-3</v>
      </c>
      <c r="G370" s="12"/>
      <c r="H370" s="12"/>
      <c r="I370" s="230"/>
    </row>
    <row r="371" spans="1:9" ht="18.75" customHeight="1" x14ac:dyDescent="0.25">
      <c r="A371" s="222"/>
      <c r="B371" s="146" t="s">
        <v>585</v>
      </c>
      <c r="C371" s="12"/>
      <c r="D371" s="12"/>
      <c r="E371" s="12"/>
      <c r="F371" s="12"/>
      <c r="G371" s="29" t="s">
        <v>338</v>
      </c>
      <c r="H371" s="150" t="str">
        <f>IF(D370&lt;=F370,"Tekanan Terkontrol",IF(D370&lt;0.005,"Transisi",IF(D370&gt;0.005,"Tegangan Terkontrol","EROR")))</f>
        <v>Tegangan Terkontrol</v>
      </c>
      <c r="I371" s="223"/>
    </row>
    <row r="372" spans="1:9" ht="18.75" customHeight="1" x14ac:dyDescent="0.25">
      <c r="A372" s="222"/>
      <c r="B372" s="146"/>
      <c r="C372" s="12"/>
      <c r="D372" s="12"/>
      <c r="E372" s="12"/>
      <c r="F372" s="12"/>
      <c r="G372" s="29"/>
      <c r="H372" s="150"/>
      <c r="I372" s="223"/>
    </row>
    <row r="373" spans="1:9" ht="18.75" customHeight="1" x14ac:dyDescent="0.25">
      <c r="A373" s="222"/>
      <c r="B373" s="146" t="s">
        <v>586</v>
      </c>
      <c r="C373" s="12"/>
      <c r="D373" s="12"/>
      <c r="E373" s="12"/>
      <c r="F373" s="12"/>
      <c r="G373" s="31" t="str">
        <f>IF(D370&lt;=F370,"φ =",IF(D370&lt;0.005,"φ = 0,65 + 0,25 * (εs' - εs-yield)/(0,005 - εs-yield) =",IF(D370&gt;0.005,"φ =","EROR")))</f>
        <v>φ =</v>
      </c>
      <c r="H373" s="155">
        <f>IF(D370&lt;=F370,0.65,IF(D370&lt;0.005,0.65+0.25*(D370-F370)/(0.005-F370),IF(D370&gt;0.005,0.9,"EROR")))</f>
        <v>0.9</v>
      </c>
      <c r="I373" s="223"/>
    </row>
    <row r="374" spans="1:9" ht="18.75" customHeight="1" x14ac:dyDescent="0.25">
      <c r="A374" s="222"/>
      <c r="B374" s="146" t="s">
        <v>587</v>
      </c>
      <c r="C374" s="12"/>
      <c r="D374" s="12"/>
      <c r="E374" s="12"/>
      <c r="F374" s="12"/>
      <c r="G374" s="31" t="s">
        <v>588</v>
      </c>
      <c r="H374" s="154">
        <f>H364*(H324-H331*H363/2)/1000</f>
        <v>1746.6501997758533</v>
      </c>
      <c r="I374" s="223" t="s">
        <v>145</v>
      </c>
    </row>
    <row r="375" spans="1:9" ht="18.75" customHeight="1" x14ac:dyDescent="0.25">
      <c r="A375" s="222"/>
      <c r="B375" s="146"/>
      <c r="C375" s="12"/>
      <c r="D375" s="12"/>
      <c r="E375" s="12"/>
      <c r="F375" s="12"/>
      <c r="G375" s="31"/>
      <c r="H375" s="152"/>
      <c r="I375" s="223"/>
    </row>
    <row r="376" spans="1:9" ht="18.75" customHeight="1" x14ac:dyDescent="0.25">
      <c r="A376" s="222"/>
      <c r="B376" s="12"/>
      <c r="C376" s="12" t="s">
        <v>334</v>
      </c>
      <c r="D376" s="242" t="s">
        <v>589</v>
      </c>
      <c r="E376" s="28" t="s">
        <v>449</v>
      </c>
      <c r="F376" s="242" t="s">
        <v>590</v>
      </c>
      <c r="G376" s="12"/>
      <c r="H376" s="12"/>
      <c r="I376" s="230"/>
    </row>
    <row r="377" spans="1:9" ht="18.75" customHeight="1" x14ac:dyDescent="0.25">
      <c r="A377" s="222"/>
      <c r="B377" s="12"/>
      <c r="C377" s="12"/>
      <c r="D377" s="154">
        <f>H373*H374</f>
        <v>1571.9851797982681</v>
      </c>
      <c r="E377" s="28" t="str">
        <f>IF(D377&gt;F377,"&gt;","&lt;")</f>
        <v>&gt;</v>
      </c>
      <c r="F377" s="154">
        <f>H320</f>
        <v>1321.943183703836</v>
      </c>
      <c r="G377" s="29" t="s">
        <v>338</v>
      </c>
      <c r="H377" s="156" t="str">
        <f>IF(D377&gt;=F377,"[ OK ]","[ NOT OK ]")</f>
        <v>[ OK ]</v>
      </c>
      <c r="I377" s="230"/>
    </row>
    <row r="378" spans="1:9" ht="18.75" customHeight="1" x14ac:dyDescent="0.25">
      <c r="A378" s="168"/>
      <c r="B378" s="61"/>
      <c r="C378" s="2"/>
      <c r="D378" s="2"/>
      <c r="E378" s="1"/>
      <c r="F378" s="1"/>
      <c r="G378" s="1"/>
      <c r="H378" s="2"/>
      <c r="I378" s="211"/>
    </row>
    <row r="379" spans="1:9" ht="18.75" customHeight="1" x14ac:dyDescent="0.25">
      <c r="A379" s="165"/>
      <c r="B379" s="206" t="s">
        <v>705</v>
      </c>
      <c r="C379" s="207"/>
      <c r="D379" s="207"/>
      <c r="E379" s="207"/>
      <c r="F379" s="207"/>
      <c r="G379" s="207"/>
      <c r="H379" s="207"/>
      <c r="I379" s="208"/>
    </row>
    <row r="380" spans="1:9" ht="18.75" customHeight="1" x14ac:dyDescent="0.25">
      <c r="A380" s="168"/>
      <c r="B380" s="2" t="s">
        <v>494</v>
      </c>
      <c r="C380" s="2"/>
      <c r="D380" s="2"/>
      <c r="E380" s="2"/>
      <c r="F380" s="1"/>
      <c r="G380" s="3" t="s">
        <v>706</v>
      </c>
      <c r="H380" s="170">
        <f>'Process (3)'!I539</f>
        <v>581.45136857649595</v>
      </c>
      <c r="I380" s="171" t="s">
        <v>487</v>
      </c>
    </row>
    <row r="381" spans="1:9" ht="18.75" customHeight="1" x14ac:dyDescent="0.25">
      <c r="A381" s="168"/>
      <c r="B381" s="2" t="s">
        <v>512</v>
      </c>
      <c r="C381" s="2"/>
      <c r="D381" s="2"/>
      <c r="E381" s="2"/>
      <c r="F381" s="2"/>
      <c r="G381" s="3" t="s">
        <v>719</v>
      </c>
      <c r="H381" s="67">
        <f>H321</f>
        <v>6730</v>
      </c>
      <c r="I381" s="171" t="s">
        <v>49</v>
      </c>
    </row>
    <row r="382" spans="1:9" ht="18.75" customHeight="1" x14ac:dyDescent="0.25">
      <c r="A382" s="168"/>
      <c r="B382" s="2" t="s">
        <v>481</v>
      </c>
      <c r="C382" s="2"/>
      <c r="D382" s="2"/>
      <c r="E382" s="2"/>
      <c r="F382" s="1"/>
      <c r="G382" s="3" t="s">
        <v>482</v>
      </c>
      <c r="H382" s="170">
        <f>H323</f>
        <v>119.5</v>
      </c>
      <c r="I382" s="171" t="s">
        <v>0</v>
      </c>
    </row>
    <row r="383" spans="1:9" ht="18.75" customHeight="1" x14ac:dyDescent="0.25">
      <c r="A383" s="168"/>
      <c r="B383" s="2" t="s">
        <v>605</v>
      </c>
      <c r="C383" s="2"/>
      <c r="D383" s="2"/>
      <c r="E383" s="2"/>
      <c r="F383" s="2"/>
      <c r="G383" s="3" t="s">
        <v>723</v>
      </c>
      <c r="H383" s="170">
        <f>H324</f>
        <v>380.5</v>
      </c>
      <c r="I383" s="171" t="s">
        <v>49</v>
      </c>
    </row>
    <row r="384" spans="1:9" ht="18.75" customHeight="1" x14ac:dyDescent="0.25">
      <c r="A384" s="168"/>
      <c r="B384" s="2" t="s">
        <v>513</v>
      </c>
      <c r="C384" s="2"/>
      <c r="D384" s="2"/>
      <c r="E384" s="2"/>
      <c r="F384" s="2"/>
      <c r="G384" s="3" t="s">
        <v>514</v>
      </c>
      <c r="H384" s="67">
        <f>MAX(H381/H322,H322/H381)</f>
        <v>13.46</v>
      </c>
      <c r="I384" s="171"/>
    </row>
    <row r="385" spans="1:13" ht="18.75" customHeight="1" x14ac:dyDescent="0.25">
      <c r="A385" s="168"/>
      <c r="B385" s="1"/>
      <c r="C385" s="2"/>
      <c r="D385" s="2"/>
      <c r="E385" s="2"/>
      <c r="F385" s="2"/>
      <c r="G385" s="1"/>
      <c r="H385" s="210"/>
      <c r="I385" s="171"/>
    </row>
    <row r="386" spans="1:13" ht="18.75" customHeight="1" x14ac:dyDescent="0.25">
      <c r="A386" s="168"/>
      <c r="B386" s="2" t="s">
        <v>515</v>
      </c>
      <c r="C386" s="2"/>
      <c r="D386" s="2"/>
      <c r="E386" s="2"/>
      <c r="F386" s="2"/>
      <c r="G386" s="3" t="s">
        <v>516</v>
      </c>
      <c r="H386" s="170">
        <f>(1+2/H384)*SQRT(H325)*H381*H383/6*0.001</f>
        <v>2684.9953135007204</v>
      </c>
      <c r="I386" s="171" t="s">
        <v>115</v>
      </c>
    </row>
    <row r="387" spans="1:13" ht="18.75" customHeight="1" x14ac:dyDescent="0.25">
      <c r="A387" s="168"/>
      <c r="B387" s="2"/>
      <c r="C387" s="2"/>
      <c r="D387" s="2"/>
      <c r="E387" s="2"/>
      <c r="F387" s="2"/>
      <c r="G387" s="3" t="s">
        <v>517</v>
      </c>
      <c r="H387" s="170">
        <f>(40*H383/H381+2)*SQRT(H325)*H381*H383/12*0.001</f>
        <v>4980.9615518241053</v>
      </c>
      <c r="I387" s="171" t="s">
        <v>115</v>
      </c>
    </row>
    <row r="388" spans="1:13" ht="18.75" customHeight="1" x14ac:dyDescent="0.25">
      <c r="A388" s="168"/>
      <c r="B388" s="2"/>
      <c r="C388" s="2"/>
      <c r="D388" s="2"/>
      <c r="E388" s="2"/>
      <c r="F388" s="2"/>
      <c r="G388" s="3" t="s">
        <v>518</v>
      </c>
      <c r="H388" s="170">
        <f>1/3*SQRT(H325)*H381*H383*0.001</f>
        <v>4675.2958498990556</v>
      </c>
      <c r="I388" s="171" t="s">
        <v>115</v>
      </c>
    </row>
    <row r="389" spans="1:13" ht="18.75" customHeight="1" x14ac:dyDescent="0.25">
      <c r="A389" s="168"/>
      <c r="B389" s="2" t="s">
        <v>519</v>
      </c>
      <c r="C389" s="2"/>
      <c r="D389" s="2"/>
      <c r="E389" s="2"/>
      <c r="F389" s="2"/>
      <c r="G389" s="3" t="s">
        <v>520</v>
      </c>
      <c r="H389" s="170">
        <f>MIN(H386:H388)</f>
        <v>2684.9953135007204</v>
      </c>
      <c r="I389" s="171" t="s">
        <v>115</v>
      </c>
    </row>
    <row r="390" spans="1:13" ht="18.75" customHeight="1" x14ac:dyDescent="0.25">
      <c r="A390" s="168"/>
      <c r="B390" s="2" t="s">
        <v>446</v>
      </c>
      <c r="C390" s="2"/>
      <c r="D390" s="2"/>
      <c r="E390" s="2"/>
      <c r="F390" s="2"/>
      <c r="G390" s="3" t="s">
        <v>433</v>
      </c>
      <c r="H390" s="67">
        <v>0.75</v>
      </c>
      <c r="I390" s="171"/>
    </row>
    <row r="391" spans="1:13" ht="18.75" customHeight="1" x14ac:dyDescent="0.25">
      <c r="A391" s="168"/>
      <c r="B391" s="2" t="s">
        <v>521</v>
      </c>
      <c r="C391" s="2"/>
      <c r="D391" s="2"/>
      <c r="E391" s="2"/>
      <c r="F391" s="2"/>
      <c r="G391" s="3" t="s">
        <v>448</v>
      </c>
      <c r="H391" s="170">
        <f>H390*H389</f>
        <v>2013.7464851255404</v>
      </c>
      <c r="I391" s="171" t="s">
        <v>115</v>
      </c>
    </row>
    <row r="392" spans="1:13" ht="18.75" customHeight="1" x14ac:dyDescent="0.25">
      <c r="A392" s="168"/>
      <c r="B392" s="2" t="s">
        <v>522</v>
      </c>
      <c r="C392" s="2"/>
      <c r="D392" s="2"/>
      <c r="E392" s="1"/>
      <c r="F392" s="1"/>
      <c r="G392" s="1"/>
      <c r="H392" s="1"/>
      <c r="I392" s="211"/>
    </row>
    <row r="393" spans="1:13" ht="18.75" customHeight="1" x14ac:dyDescent="0.25">
      <c r="A393" s="168"/>
      <c r="B393" s="2"/>
      <c r="C393" s="2" t="s">
        <v>523</v>
      </c>
      <c r="D393" s="212" t="s">
        <v>524</v>
      </c>
      <c r="E393" s="89" t="s">
        <v>449</v>
      </c>
      <c r="F393" s="212" t="s">
        <v>525</v>
      </c>
      <c r="G393" s="2"/>
      <c r="H393" s="1"/>
      <c r="I393" s="198"/>
    </row>
    <row r="394" spans="1:13" ht="18.75" customHeight="1" x14ac:dyDescent="0.25">
      <c r="A394" s="168"/>
      <c r="B394" s="2"/>
      <c r="C394" s="2"/>
      <c r="D394" s="170">
        <f>H391</f>
        <v>2013.7464851255404</v>
      </c>
      <c r="E394" s="213" t="str">
        <f>IF(D394&lt;=F394,"&lt;","&gt;")</f>
        <v>&gt;</v>
      </c>
      <c r="F394" s="170">
        <f>H380</f>
        <v>581.45136857649595</v>
      </c>
      <c r="G394" s="214" t="s">
        <v>338</v>
      </c>
      <c r="H394" s="25" t="str">
        <f>IF(D394&gt;F394,"[ OK ]","[ NOT OK ]")</f>
        <v>[ OK ]</v>
      </c>
      <c r="I394" s="198"/>
    </row>
    <row r="395" spans="1:13" ht="18.75" customHeight="1" x14ac:dyDescent="0.25">
      <c r="A395" s="168"/>
      <c r="B395" s="2"/>
      <c r="C395" s="2"/>
      <c r="D395" s="2"/>
      <c r="E395" s="2"/>
      <c r="F395" s="1"/>
      <c r="G395" s="1"/>
      <c r="H395" s="1"/>
      <c r="I395" s="198"/>
    </row>
    <row r="396" spans="1:13" ht="18.75" customHeight="1" x14ac:dyDescent="0.25">
      <c r="A396" s="251"/>
      <c r="B396" s="305"/>
      <c r="C396" s="305"/>
      <c r="D396" s="305"/>
      <c r="E396" s="305"/>
      <c r="F396" s="305"/>
      <c r="G396" s="306"/>
      <c r="H396" s="306"/>
      <c r="I396" s="307"/>
    </row>
    <row r="397" spans="1:13" s="12" customFormat="1" ht="18.75" customHeight="1" x14ac:dyDescent="0.25">
      <c r="A397" s="310" t="s">
        <v>852</v>
      </c>
      <c r="B397" s="311" t="s">
        <v>853</v>
      </c>
      <c r="C397" s="312"/>
      <c r="D397" s="312"/>
      <c r="E397" s="312"/>
      <c r="F397" s="312"/>
      <c r="G397" s="313"/>
      <c r="H397" s="312"/>
      <c r="I397" s="314"/>
      <c r="J397" s="33"/>
      <c r="K397" s="33"/>
      <c r="L397" s="33"/>
      <c r="M397" s="33"/>
    </row>
    <row r="398" spans="1:13" s="1" customFormat="1" ht="18.75" customHeight="1" x14ac:dyDescent="0.25">
      <c r="A398" s="168"/>
      <c r="B398" s="5" t="s">
        <v>752</v>
      </c>
      <c r="G398" s="7" t="s">
        <v>828</v>
      </c>
      <c r="H398" s="6">
        <f>('Input (1)'!C48+'Input (1)'!C49)*1000-'Input (1)'!I74-0.5*'Input (1)'!I18</f>
        <v>1289</v>
      </c>
      <c r="I398" s="315" t="s">
        <v>49</v>
      </c>
    </row>
    <row r="399" spans="1:13" s="1" customFormat="1" ht="18.75" customHeight="1" x14ac:dyDescent="0.25">
      <c r="A399" s="168"/>
      <c r="B399" s="5" t="s">
        <v>753</v>
      </c>
      <c r="G399" s="7" t="s">
        <v>754</v>
      </c>
      <c r="H399" s="52">
        <f>1000*H398</f>
        <v>1289000</v>
      </c>
      <c r="I399" s="315" t="s">
        <v>467</v>
      </c>
    </row>
    <row r="400" spans="1:13" s="1" customFormat="1" ht="18.75" customHeight="1" x14ac:dyDescent="0.25">
      <c r="A400" s="168"/>
      <c r="B400" s="5" t="s">
        <v>755</v>
      </c>
      <c r="G400" s="50" t="s">
        <v>756</v>
      </c>
      <c r="H400" s="52">
        <v>1.4</v>
      </c>
      <c r="I400" s="315"/>
    </row>
    <row r="401" spans="1:13" s="1" customFormat="1" ht="18.75" customHeight="1" x14ac:dyDescent="0.25">
      <c r="A401" s="168"/>
      <c r="B401" s="5" t="s">
        <v>757</v>
      </c>
      <c r="G401" s="50" t="s">
        <v>758</v>
      </c>
      <c r="H401" s="52">
        <v>0.75</v>
      </c>
      <c r="I401" s="315"/>
    </row>
    <row r="402" spans="1:13" s="1" customFormat="1" ht="18.75" customHeight="1" x14ac:dyDescent="0.25">
      <c r="A402" s="168"/>
      <c r="B402" s="5" t="s">
        <v>759</v>
      </c>
      <c r="G402" s="7"/>
      <c r="H402" s="35"/>
      <c r="I402" s="315"/>
    </row>
    <row r="403" spans="1:13" s="1" customFormat="1" ht="18.75" customHeight="1" x14ac:dyDescent="0.25">
      <c r="A403" s="168"/>
      <c r="C403" s="1" t="s">
        <v>334</v>
      </c>
      <c r="D403" s="52" t="s">
        <v>829</v>
      </c>
      <c r="E403" s="35" t="s">
        <v>760</v>
      </c>
      <c r="F403" s="6">
        <v>1</v>
      </c>
      <c r="G403" s="7"/>
      <c r="H403" s="35"/>
      <c r="I403" s="315"/>
    </row>
    <row r="404" spans="1:13" s="1" customFormat="1" ht="18.75" customHeight="1" x14ac:dyDescent="0.25">
      <c r="A404" s="168"/>
      <c r="D404" s="4">
        <f>0.5*'Input (1)'!F42*1000/H398</f>
        <v>0.38789759503491078</v>
      </c>
      <c r="E404" s="35" t="str">
        <f>IF(D404&lt;F404,"&lt;","&gt;")</f>
        <v>&lt;</v>
      </c>
      <c r="F404" s="6">
        <f>F403</f>
        <v>1</v>
      </c>
      <c r="G404" s="316" t="s">
        <v>338</v>
      </c>
      <c r="H404" s="14" t="str">
        <f>IF(D404&lt;F404,"[ OK ]","[ UBAH DIMENSI PENAMPANG ]")</f>
        <v>[ OK ]</v>
      </c>
      <c r="I404" s="315"/>
    </row>
    <row r="405" spans="1:13" s="1" customFormat="1" ht="18.75" customHeight="1" x14ac:dyDescent="0.25">
      <c r="A405" s="168"/>
      <c r="G405" s="7"/>
      <c r="H405" s="35"/>
      <c r="I405" s="315"/>
    </row>
    <row r="406" spans="1:13" s="1" customFormat="1" ht="18.75" customHeight="1" x14ac:dyDescent="0.25">
      <c r="A406" s="317"/>
      <c r="B406" s="318" t="s">
        <v>761</v>
      </c>
      <c r="C406" s="319"/>
      <c r="D406" s="319"/>
      <c r="E406" s="319"/>
      <c r="F406" s="319"/>
      <c r="G406" s="320"/>
      <c r="H406" s="321"/>
      <c r="I406" s="322"/>
    </row>
    <row r="407" spans="1:13" s="12" customFormat="1" ht="18.75" customHeight="1" x14ac:dyDescent="0.25">
      <c r="A407" s="222"/>
      <c r="B407" s="32" t="s">
        <v>548</v>
      </c>
      <c r="G407" s="31" t="s">
        <v>549</v>
      </c>
      <c r="H407" s="153" t="str">
        <f>IF('Input (1)'!I3&gt;=17,IF('Input (1)'!I3&lt;=28,0.85,"-"),"-")</f>
        <v>-</v>
      </c>
      <c r="I407" s="223"/>
      <c r="J407" s="33"/>
      <c r="K407" s="33"/>
      <c r="L407" s="33"/>
      <c r="M407" s="33"/>
    </row>
    <row r="408" spans="1:13" s="12" customFormat="1" ht="18.75" customHeight="1" x14ac:dyDescent="0.25">
      <c r="A408" s="222"/>
      <c r="B408" s="32" t="s">
        <v>550</v>
      </c>
      <c r="G408" s="31" t="s">
        <v>551</v>
      </c>
      <c r="H408" s="154">
        <f>IF('Input (1)'!I3&gt;28,IF('Input (1)'!I3&lt;55,0.85-0.05*('Input (1)'!I3-28)/7,"-"),"-")</f>
        <v>0.83571428571428574</v>
      </c>
      <c r="I408" s="223"/>
      <c r="J408" s="33"/>
      <c r="K408" s="33"/>
      <c r="L408" s="33"/>
      <c r="M408" s="33"/>
    </row>
    <row r="409" spans="1:13" s="12" customFormat="1" ht="18.75" customHeight="1" x14ac:dyDescent="0.25">
      <c r="A409" s="222"/>
      <c r="B409" s="32" t="s">
        <v>552</v>
      </c>
      <c r="G409" s="31" t="s">
        <v>549</v>
      </c>
      <c r="H409" s="154" t="str">
        <f>IF('Input (1)'!I3&gt;=55,0.65,"-")</f>
        <v>-</v>
      </c>
      <c r="I409" s="223"/>
      <c r="J409" s="33"/>
      <c r="K409" s="33"/>
      <c r="L409" s="33"/>
      <c r="M409" s="33"/>
    </row>
    <row r="410" spans="1:13" s="12" customFormat="1" ht="18.75" customHeight="1" x14ac:dyDescent="0.25">
      <c r="A410" s="222"/>
      <c r="B410" s="32" t="s">
        <v>427</v>
      </c>
      <c r="F410" s="29" t="s">
        <v>338</v>
      </c>
      <c r="G410" s="31" t="s">
        <v>549</v>
      </c>
      <c r="H410" s="154">
        <f>MAX(H407:H409)</f>
        <v>0.83571428571428574</v>
      </c>
      <c r="I410" s="223"/>
      <c r="J410" s="33"/>
      <c r="K410" s="33"/>
      <c r="L410" s="33"/>
      <c r="M410" s="33"/>
    </row>
    <row r="411" spans="1:13" s="12" customFormat="1" ht="18.75" customHeight="1" x14ac:dyDescent="0.25">
      <c r="A411" s="222"/>
      <c r="B411" s="32" t="s">
        <v>428</v>
      </c>
      <c r="F411" s="29"/>
      <c r="G411" s="31"/>
      <c r="H411" s="28"/>
      <c r="I411" s="223"/>
      <c r="J411" s="33"/>
      <c r="K411" s="33"/>
      <c r="L411" s="33"/>
      <c r="M411" s="33"/>
    </row>
    <row r="412" spans="1:13" s="12" customFormat="1" ht="18.75" customHeight="1" x14ac:dyDescent="0.25">
      <c r="A412" s="222"/>
      <c r="B412" s="32"/>
      <c r="C412" s="147"/>
      <c r="G412" s="31" t="s">
        <v>429</v>
      </c>
      <c r="H412" s="224">
        <f>H410*0.85*'Input (1)'!I3/'Input (1)'!I4*600/(600+'Input (1)'!I4)</f>
        <v>3.1966071428571427E-2</v>
      </c>
      <c r="I412" s="223"/>
      <c r="J412" s="33"/>
      <c r="K412" s="33"/>
      <c r="L412" s="33"/>
      <c r="M412" s="33"/>
    </row>
    <row r="413" spans="1:13" s="12" customFormat="1" ht="18.75" customHeight="1" x14ac:dyDescent="0.25">
      <c r="A413" s="222"/>
      <c r="B413" s="32" t="s">
        <v>430</v>
      </c>
      <c r="D413" s="148"/>
      <c r="E413" s="28"/>
      <c r="F413" s="146"/>
      <c r="G413" s="31" t="s">
        <v>431</v>
      </c>
      <c r="H413" s="224">
        <f>0.75*H412</f>
        <v>2.397455357142857E-2</v>
      </c>
      <c r="I413" s="223"/>
      <c r="J413" s="33"/>
      <c r="K413" s="33"/>
      <c r="L413" s="33"/>
      <c r="M413" s="33"/>
    </row>
    <row r="414" spans="1:13" s="12" customFormat="1" ht="18.75" customHeight="1" x14ac:dyDescent="0.25">
      <c r="A414" s="222"/>
      <c r="B414" s="32" t="s">
        <v>432</v>
      </c>
      <c r="E414" s="146"/>
      <c r="G414" s="31" t="s">
        <v>830</v>
      </c>
      <c r="H414" s="224">
        <v>2E-3</v>
      </c>
      <c r="I414" s="223"/>
      <c r="J414" s="33"/>
      <c r="K414" s="33"/>
      <c r="L414" s="33"/>
      <c r="M414" s="33"/>
    </row>
    <row r="415" spans="1:13" s="12" customFormat="1" ht="18.75" customHeight="1" x14ac:dyDescent="0.25">
      <c r="A415" s="222"/>
      <c r="B415" s="32" t="s">
        <v>559</v>
      </c>
      <c r="G415" s="31" t="s">
        <v>560</v>
      </c>
      <c r="H415" s="154">
        <f>'Input (1)'!I4/0.85/'Input (1)'!I3</f>
        <v>15.686274509803923</v>
      </c>
      <c r="I415" s="223"/>
      <c r="J415" s="33"/>
      <c r="K415" s="33"/>
      <c r="L415" s="33"/>
      <c r="M415" s="33"/>
    </row>
    <row r="416" spans="1:13" s="12" customFormat="1" ht="18.75" customHeight="1" x14ac:dyDescent="0.25">
      <c r="A416" s="222"/>
      <c r="B416" s="32" t="s">
        <v>586</v>
      </c>
      <c r="F416" s="31"/>
      <c r="G416" s="31" t="s">
        <v>554</v>
      </c>
      <c r="H416" s="155">
        <f>H401</f>
        <v>0.75</v>
      </c>
      <c r="I416" s="223"/>
      <c r="J416" s="33"/>
      <c r="K416" s="33"/>
      <c r="L416" s="33"/>
      <c r="M416" s="33"/>
    </row>
    <row r="417" spans="1:13" s="12" customFormat="1" ht="18.75" customHeight="1" x14ac:dyDescent="0.25">
      <c r="A417" s="222"/>
      <c r="B417" s="32" t="s">
        <v>762</v>
      </c>
      <c r="F417" s="31"/>
      <c r="J417" s="33"/>
      <c r="K417" s="33"/>
      <c r="L417" s="33"/>
      <c r="M417" s="33"/>
    </row>
    <row r="418" spans="1:13" s="12" customFormat="1" ht="18.75" customHeight="1" x14ac:dyDescent="0.25">
      <c r="A418" s="222"/>
      <c r="B418" s="32"/>
      <c r="C418" s="147"/>
      <c r="G418" s="31" t="s">
        <v>831</v>
      </c>
      <c r="H418" s="154">
        <f>'Process (3)'!I374*0.5*'Input (1)'!F42/'Input (1)'!I58</f>
        <v>201.33942774566472</v>
      </c>
      <c r="I418" s="223" t="s">
        <v>145</v>
      </c>
      <c r="J418" s="33"/>
      <c r="K418" s="33"/>
      <c r="L418" s="33"/>
      <c r="M418" s="33"/>
    </row>
    <row r="419" spans="1:13" s="12" customFormat="1" ht="18.75" customHeight="1" x14ac:dyDescent="0.25">
      <c r="A419" s="222"/>
      <c r="B419" s="32" t="s">
        <v>763</v>
      </c>
      <c r="C419" s="147"/>
      <c r="G419" s="226" t="s">
        <v>764</v>
      </c>
      <c r="H419" s="154">
        <f>H418*10^6/(H416*1000*H398^2)</f>
        <v>0.16157037457098222</v>
      </c>
      <c r="I419" s="223"/>
      <c r="J419" s="33"/>
      <c r="K419" s="33"/>
      <c r="L419" s="33"/>
      <c r="M419" s="33"/>
    </row>
    <row r="420" spans="1:13" s="12" customFormat="1" ht="18.75" customHeight="1" x14ac:dyDescent="0.25">
      <c r="A420" s="222"/>
      <c r="B420" s="32" t="s">
        <v>561</v>
      </c>
      <c r="C420" s="147"/>
      <c r="G420" s="226" t="s">
        <v>562</v>
      </c>
      <c r="H420" s="224">
        <v>4.2247274803368579E-4</v>
      </c>
      <c r="I420" s="223"/>
      <c r="J420" s="33"/>
      <c r="K420" s="33"/>
      <c r="L420" s="33"/>
      <c r="M420" s="33"/>
    </row>
    <row r="421" spans="1:13" s="12" customFormat="1" ht="18.75" customHeight="1" x14ac:dyDescent="0.25">
      <c r="A421" s="222"/>
      <c r="B421" s="32"/>
      <c r="C421" s="147"/>
      <c r="G421" s="226"/>
      <c r="H421" s="149"/>
      <c r="I421" s="223"/>
      <c r="J421" s="33"/>
      <c r="K421" s="33"/>
      <c r="L421" s="33"/>
      <c r="M421" s="33"/>
    </row>
    <row r="422" spans="1:13" s="12" customFormat="1" ht="18.75" customHeight="1" x14ac:dyDescent="0.25">
      <c r="A422" s="222"/>
      <c r="B422" s="32" t="s">
        <v>434</v>
      </c>
      <c r="G422" s="31"/>
      <c r="H422" s="149"/>
      <c r="I422" s="223"/>
      <c r="J422" s="33"/>
      <c r="K422" s="33"/>
      <c r="L422" s="33"/>
      <c r="M422" s="33"/>
    </row>
    <row r="423" spans="1:13" s="12" customFormat="1" ht="18.75" customHeight="1" x14ac:dyDescent="0.25">
      <c r="A423" s="222"/>
      <c r="C423" s="12" t="s">
        <v>334</v>
      </c>
      <c r="D423" s="323" t="s">
        <v>765</v>
      </c>
      <c r="E423" s="323" t="s">
        <v>436</v>
      </c>
      <c r="F423" s="323" t="s">
        <v>766</v>
      </c>
      <c r="G423" s="31"/>
      <c r="H423" s="149"/>
      <c r="I423" s="223"/>
      <c r="J423" s="33"/>
      <c r="K423" s="33"/>
      <c r="L423" s="33"/>
      <c r="M423" s="33"/>
    </row>
    <row r="424" spans="1:13" s="12" customFormat="1" ht="18.75" customHeight="1" x14ac:dyDescent="0.25">
      <c r="A424" s="222"/>
      <c r="D424" s="149">
        <f>MIN(H414:H414)</f>
        <v>2E-3</v>
      </c>
      <c r="E424" s="149">
        <f>H420</f>
        <v>4.2247274803368579E-4</v>
      </c>
      <c r="F424" s="149">
        <f>H413</f>
        <v>2.397455357142857E-2</v>
      </c>
      <c r="G424" s="29" t="s">
        <v>338</v>
      </c>
      <c r="H424" s="156" t="str">
        <f>IF(D424&lt;E424,(IF(E424&lt;F424,"[ OK ]","[ PERBESAR DIMENSI ]")),"[ Pakai ρmin ]")</f>
        <v>[ Pakai ρmin ]</v>
      </c>
      <c r="I424" s="223"/>
      <c r="J424" s="33"/>
      <c r="K424" s="33"/>
      <c r="L424" s="33"/>
      <c r="M424" s="33"/>
    </row>
    <row r="425" spans="1:13" s="12" customFormat="1" ht="18.75" customHeight="1" x14ac:dyDescent="0.25">
      <c r="A425" s="222"/>
      <c r="F425" s="31"/>
      <c r="G425" s="31"/>
      <c r="H425" s="152"/>
      <c r="I425" s="223"/>
      <c r="J425" s="33"/>
      <c r="K425" s="33"/>
      <c r="L425" s="33"/>
      <c r="M425" s="33"/>
    </row>
    <row r="426" spans="1:13" s="12" customFormat="1" ht="18.75" customHeight="1" x14ac:dyDescent="0.25">
      <c r="A426" s="222"/>
      <c r="B426" s="32" t="s">
        <v>767</v>
      </c>
      <c r="C426" s="147"/>
      <c r="G426" s="226" t="s">
        <v>768</v>
      </c>
      <c r="H426" s="224">
        <f>IF(D424&lt;E424,(IF(E424&lt;F424,E424,"[ PERBESAR DIMENSI ]")),D424)</f>
        <v>2E-3</v>
      </c>
      <c r="I426" s="223"/>
      <c r="J426" s="33"/>
      <c r="K426" s="33"/>
      <c r="L426" s="33"/>
      <c r="M426" s="33"/>
    </row>
    <row r="427" spans="1:13" s="12" customFormat="1" ht="18.75" customHeight="1" x14ac:dyDescent="0.25">
      <c r="A427" s="222"/>
      <c r="B427" s="32" t="s">
        <v>438</v>
      </c>
      <c r="C427" s="28"/>
      <c r="D427" s="31"/>
      <c r="E427" s="28"/>
      <c r="G427" s="31" t="s">
        <v>769</v>
      </c>
      <c r="H427" s="154">
        <f>H426*1000*H398</f>
        <v>2578</v>
      </c>
      <c r="I427" s="223" t="s">
        <v>439</v>
      </c>
      <c r="J427" s="33"/>
      <c r="K427" s="33"/>
      <c r="L427" s="33"/>
      <c r="M427" s="33"/>
    </row>
    <row r="428" spans="1:13" s="1" customFormat="1" ht="18.75" customHeight="1" x14ac:dyDescent="0.25">
      <c r="A428" s="168"/>
      <c r="G428" s="7"/>
      <c r="H428" s="35"/>
      <c r="I428" s="315"/>
    </row>
    <row r="429" spans="1:13" s="1" customFormat="1" ht="18.75" customHeight="1" x14ac:dyDescent="0.25">
      <c r="A429" s="317"/>
      <c r="B429" s="318" t="s">
        <v>770</v>
      </c>
      <c r="C429" s="319"/>
      <c r="D429" s="319"/>
      <c r="E429" s="319"/>
      <c r="F429" s="319"/>
      <c r="G429" s="320"/>
      <c r="H429" s="321"/>
      <c r="I429" s="322"/>
    </row>
    <row r="430" spans="1:13" s="12" customFormat="1" ht="18.75" customHeight="1" x14ac:dyDescent="0.25">
      <c r="A430" s="222"/>
      <c r="B430" s="32" t="s">
        <v>771</v>
      </c>
      <c r="G430" s="31" t="s">
        <v>832</v>
      </c>
      <c r="H430" s="155">
        <f>'Process (3)'!I374/'Input (1)'!I58</f>
        <v>402.67885549132944</v>
      </c>
      <c r="I430" s="223" t="s">
        <v>487</v>
      </c>
      <c r="J430" s="33"/>
      <c r="K430" s="33"/>
      <c r="L430" s="33"/>
      <c r="M430" s="33"/>
    </row>
    <row r="431" spans="1:13" s="12" customFormat="1" ht="18.75" customHeight="1" x14ac:dyDescent="0.25">
      <c r="A431" s="222"/>
      <c r="B431" s="32" t="s">
        <v>772</v>
      </c>
      <c r="F431" s="31"/>
      <c r="G431" s="31" t="s">
        <v>554</v>
      </c>
      <c r="H431" s="155">
        <f>H416</f>
        <v>0.75</v>
      </c>
      <c r="I431" s="223"/>
      <c r="J431" s="33"/>
      <c r="K431" s="33"/>
      <c r="L431" s="33"/>
      <c r="M431" s="33"/>
    </row>
    <row r="432" spans="1:13" s="1" customFormat="1" ht="18.75" customHeight="1" x14ac:dyDescent="0.25">
      <c r="A432" s="168"/>
      <c r="B432" s="5" t="s">
        <v>773</v>
      </c>
      <c r="G432" s="7" t="s">
        <v>774</v>
      </c>
      <c r="H432" s="6">
        <f>H430/H431</f>
        <v>536.90514065510592</v>
      </c>
      <c r="I432" s="223" t="s">
        <v>487</v>
      </c>
    </row>
    <row r="433" spans="1:13" s="1" customFormat="1" ht="18.75" customHeight="1" x14ac:dyDescent="0.25">
      <c r="A433" s="168"/>
      <c r="B433" s="5" t="s">
        <v>775</v>
      </c>
      <c r="E433" s="7" t="s">
        <v>776</v>
      </c>
      <c r="G433" s="7" t="s">
        <v>777</v>
      </c>
      <c r="H433" s="6">
        <f>0.2*'Input (1)'!I3*H399/1000</f>
        <v>7734</v>
      </c>
      <c r="I433" s="223" t="s">
        <v>487</v>
      </c>
    </row>
    <row r="434" spans="1:13" s="1" customFormat="1" ht="18.75" customHeight="1" x14ac:dyDescent="0.25">
      <c r="A434" s="168"/>
      <c r="B434" s="5"/>
      <c r="E434" s="7" t="s">
        <v>778</v>
      </c>
      <c r="G434" s="7" t="s">
        <v>779</v>
      </c>
      <c r="H434" s="6">
        <f>(3.3+0.08*'Input (1)'!I3)*H399/1000</f>
        <v>7347.2999999999993</v>
      </c>
      <c r="I434" s="223" t="s">
        <v>487</v>
      </c>
    </row>
    <row r="435" spans="1:13" s="1" customFormat="1" ht="18.75" customHeight="1" x14ac:dyDescent="0.25">
      <c r="A435" s="168"/>
      <c r="B435" s="5"/>
      <c r="E435" s="7" t="s">
        <v>780</v>
      </c>
      <c r="G435" s="7" t="s">
        <v>781</v>
      </c>
      <c r="H435" s="6">
        <f>11*H399/1000</f>
        <v>14179</v>
      </c>
      <c r="I435" s="223" t="s">
        <v>487</v>
      </c>
    </row>
    <row r="436" spans="1:13" s="1" customFormat="1" ht="18.75" customHeight="1" x14ac:dyDescent="0.25">
      <c r="A436" s="168"/>
      <c r="B436" s="5"/>
      <c r="G436" s="7" t="s">
        <v>782</v>
      </c>
      <c r="H436" s="6">
        <f>MIN(H433:H435)</f>
        <v>7347.2999999999993</v>
      </c>
      <c r="I436" s="223" t="s">
        <v>487</v>
      </c>
    </row>
    <row r="437" spans="1:13" s="1" customFormat="1" ht="18.75" customHeight="1" x14ac:dyDescent="0.25">
      <c r="A437" s="168"/>
      <c r="B437" s="5" t="s">
        <v>783</v>
      </c>
      <c r="G437" s="7"/>
      <c r="H437" s="35"/>
      <c r="I437" s="315"/>
    </row>
    <row r="438" spans="1:13" s="1" customFormat="1" ht="18.75" customHeight="1" x14ac:dyDescent="0.25">
      <c r="A438" s="168"/>
      <c r="B438" s="5"/>
      <c r="C438" s="1" t="s">
        <v>334</v>
      </c>
      <c r="D438" s="52" t="s">
        <v>784</v>
      </c>
      <c r="E438" s="35" t="s">
        <v>760</v>
      </c>
      <c r="F438" s="6" t="s">
        <v>785</v>
      </c>
      <c r="G438" s="7"/>
      <c r="H438" s="35"/>
      <c r="I438" s="315"/>
    </row>
    <row r="439" spans="1:13" s="1" customFormat="1" ht="18.75" customHeight="1" x14ac:dyDescent="0.25">
      <c r="A439" s="168"/>
      <c r="B439" s="5"/>
      <c r="D439" s="4">
        <f>H432</f>
        <v>536.90514065510592</v>
      </c>
      <c r="E439" s="35" t="str">
        <f>IF(D439&lt;F439,"&lt;","&gt;")</f>
        <v>&lt;</v>
      </c>
      <c r="F439" s="6">
        <f>H436</f>
        <v>7347.2999999999993</v>
      </c>
      <c r="G439" s="316" t="s">
        <v>338</v>
      </c>
      <c r="H439" s="14" t="str">
        <f>IF(D439&lt;F439,"[ OK ]","[ UBAH DIMENSI PENAMPANG ]")</f>
        <v>[ OK ]</v>
      </c>
      <c r="I439" s="315"/>
    </row>
    <row r="440" spans="1:13" s="1" customFormat="1" ht="18.75" customHeight="1" x14ac:dyDescent="0.25">
      <c r="A440" s="168"/>
      <c r="B440" s="5"/>
      <c r="G440" s="7"/>
      <c r="H440" s="35"/>
      <c r="I440" s="315"/>
    </row>
    <row r="441" spans="1:13" s="12" customFormat="1" ht="18.75" customHeight="1" x14ac:dyDescent="0.25">
      <c r="A441" s="222"/>
      <c r="B441" s="32" t="s">
        <v>438</v>
      </c>
      <c r="C441" s="28"/>
      <c r="D441" s="31"/>
      <c r="E441" s="28"/>
      <c r="G441" s="31" t="s">
        <v>786</v>
      </c>
      <c r="H441" s="154">
        <f>D439*1000/('Input (1)'!I4*H400)</f>
        <v>958.7591797412606</v>
      </c>
      <c r="I441" s="223" t="s">
        <v>439</v>
      </c>
      <c r="J441" s="33"/>
      <c r="K441" s="33"/>
      <c r="L441" s="33"/>
      <c r="M441" s="33"/>
    </row>
    <row r="442" spans="1:13" s="1" customFormat="1" ht="18.75" customHeight="1" x14ac:dyDescent="0.25">
      <c r="A442" s="168"/>
      <c r="G442" s="7"/>
      <c r="H442" s="35"/>
      <c r="I442" s="315"/>
    </row>
    <row r="443" spans="1:13" s="1" customFormat="1" ht="18.75" customHeight="1" x14ac:dyDescent="0.25">
      <c r="A443" s="317"/>
      <c r="B443" s="318" t="s">
        <v>787</v>
      </c>
      <c r="C443" s="319"/>
      <c r="D443" s="319"/>
      <c r="E443" s="319"/>
      <c r="F443" s="319"/>
      <c r="G443" s="320"/>
      <c r="H443" s="321"/>
      <c r="I443" s="322"/>
    </row>
    <row r="444" spans="1:13" s="1" customFormat="1" ht="18.75" customHeight="1" x14ac:dyDescent="0.25">
      <c r="A444" s="168"/>
      <c r="B444" s="5" t="s">
        <v>788</v>
      </c>
      <c r="E444" s="7" t="s">
        <v>776</v>
      </c>
      <c r="G444" s="7" t="s">
        <v>833</v>
      </c>
      <c r="H444" s="154">
        <f>H427</f>
        <v>2578</v>
      </c>
      <c r="I444" s="223" t="s">
        <v>439</v>
      </c>
    </row>
    <row r="445" spans="1:13" s="1" customFormat="1" ht="18.75" customHeight="1" x14ac:dyDescent="0.25">
      <c r="A445" s="168"/>
      <c r="B445" s="5"/>
      <c r="E445" s="7" t="s">
        <v>778</v>
      </c>
      <c r="G445" s="7" t="s">
        <v>834</v>
      </c>
      <c r="H445" s="154">
        <f>2/3*H441</f>
        <v>639.17278649417369</v>
      </c>
      <c r="I445" s="223" t="s">
        <v>439</v>
      </c>
    </row>
    <row r="446" spans="1:13" s="1" customFormat="1" ht="18.75" customHeight="1" x14ac:dyDescent="0.25">
      <c r="A446" s="168"/>
      <c r="B446" s="5"/>
      <c r="E446" s="7" t="s">
        <v>780</v>
      </c>
      <c r="G446" s="7" t="s">
        <v>789</v>
      </c>
      <c r="H446" s="154">
        <f>0.04*'Input (1)'!I3/'Input (1)'!I4*H399</f>
        <v>3867</v>
      </c>
      <c r="I446" s="223" t="s">
        <v>439</v>
      </c>
    </row>
    <row r="447" spans="1:13" s="1" customFormat="1" ht="18.75" customHeight="1" x14ac:dyDescent="0.25">
      <c r="A447" s="168"/>
      <c r="B447" s="5"/>
      <c r="G447" s="7" t="s">
        <v>790</v>
      </c>
      <c r="H447" s="154">
        <f>MAX(H444:H446)</f>
        <v>3867</v>
      </c>
      <c r="I447" s="223" t="s">
        <v>439</v>
      </c>
    </row>
    <row r="448" spans="1:13" s="12" customFormat="1" ht="18.75" customHeight="1" x14ac:dyDescent="0.25">
      <c r="A448" s="222"/>
      <c r="B448" s="32" t="s">
        <v>791</v>
      </c>
      <c r="G448" s="31" t="s">
        <v>835</v>
      </c>
      <c r="H448" s="155">
        <f>'Input (1)'!I74+0.5*'Input (1)'!I18</f>
        <v>111</v>
      </c>
      <c r="I448" s="223" t="s">
        <v>49</v>
      </c>
      <c r="J448" s="33"/>
      <c r="K448" s="33"/>
      <c r="L448" s="33"/>
      <c r="M448" s="33"/>
    </row>
    <row r="449" spans="1:13" s="12" customFormat="1" ht="18.75" customHeight="1" x14ac:dyDescent="0.25">
      <c r="A449" s="222"/>
      <c r="B449" s="32" t="s">
        <v>792</v>
      </c>
      <c r="G449" s="31" t="s">
        <v>793</v>
      </c>
      <c r="H449" s="155">
        <f>(1000-2*H448)/(25+'Input (1)'!I18)+1</f>
        <v>17.553191489361701</v>
      </c>
      <c r="I449" s="223"/>
      <c r="J449" s="33"/>
      <c r="K449" s="33"/>
      <c r="L449" s="33"/>
      <c r="M449" s="33"/>
    </row>
    <row r="450" spans="1:13" s="12" customFormat="1" ht="18.75" customHeight="1" x14ac:dyDescent="0.25">
      <c r="A450" s="222"/>
      <c r="B450" s="32" t="s">
        <v>794</v>
      </c>
      <c r="G450" s="31" t="s">
        <v>795</v>
      </c>
      <c r="H450" s="157">
        <f>IF((1000-ROUNDDOWN(H449,0)*'Input (1)'!I18-2*H448)/(ROUNDDOWN(H449,0)-1)&gt;25,ROUNDDOWN(H449,0),(ROUNDDOWN(H449,0)-1))</f>
        <v>17</v>
      </c>
      <c r="I450" s="223" t="s">
        <v>796</v>
      </c>
      <c r="J450" s="33"/>
      <c r="K450" s="33"/>
      <c r="L450" s="33"/>
      <c r="M450" s="33"/>
    </row>
    <row r="451" spans="1:13" s="12" customFormat="1" ht="18.75" customHeight="1" x14ac:dyDescent="0.25">
      <c r="A451" s="222"/>
      <c r="B451" s="32" t="s">
        <v>797</v>
      </c>
      <c r="G451" s="31" t="s">
        <v>798</v>
      </c>
      <c r="H451" s="155">
        <f>(1000-2*H448)/(H450-1)</f>
        <v>48.625</v>
      </c>
      <c r="I451" s="223" t="s">
        <v>49</v>
      </c>
      <c r="J451" s="33"/>
      <c r="K451" s="33"/>
      <c r="L451" s="33"/>
      <c r="M451" s="33"/>
    </row>
    <row r="452" spans="1:13" s="12" customFormat="1" ht="18.75" customHeight="1" x14ac:dyDescent="0.25">
      <c r="A452" s="222"/>
      <c r="B452" s="32" t="s">
        <v>799</v>
      </c>
      <c r="E452" s="28"/>
      <c r="G452" s="31" t="s">
        <v>800</v>
      </c>
      <c r="H452" s="324">
        <f>H447/(1/4*PI()*'Input (1)'!I18^2)</f>
        <v>10.172763056799326</v>
      </c>
      <c r="I452" s="325"/>
      <c r="J452" s="33"/>
      <c r="K452" s="33"/>
      <c r="L452" s="33"/>
      <c r="M452" s="33"/>
    </row>
    <row r="453" spans="1:13" s="12" customFormat="1" ht="18.75" customHeight="1" x14ac:dyDescent="0.25">
      <c r="A453" s="222"/>
      <c r="B453" s="32" t="s">
        <v>445</v>
      </c>
      <c r="C453" s="147"/>
      <c r="D453" s="28"/>
      <c r="E453" s="238"/>
      <c r="G453" s="326">
        <f>ROUNDUP(H452,0)</f>
        <v>11</v>
      </c>
      <c r="H453" s="327">
        <f>'Input (1)'!I18</f>
        <v>22</v>
      </c>
      <c r="I453" s="325"/>
      <c r="J453" s="33"/>
      <c r="K453" s="33"/>
      <c r="L453" s="33"/>
      <c r="M453" s="33"/>
    </row>
    <row r="454" spans="1:13" s="12" customFormat="1" ht="18.75" customHeight="1" x14ac:dyDescent="0.25">
      <c r="A454" s="222"/>
      <c r="B454" s="32" t="s">
        <v>568</v>
      </c>
      <c r="G454" s="31" t="s">
        <v>801</v>
      </c>
      <c r="H454" s="235">
        <f>G453*PI()/4*H453^2</f>
        <v>4181.4598219280142</v>
      </c>
      <c r="I454" s="223" t="s">
        <v>439</v>
      </c>
      <c r="J454" s="33"/>
      <c r="K454" s="33"/>
      <c r="L454" s="33"/>
      <c r="M454" s="33"/>
    </row>
    <row r="455" spans="1:13" s="12" customFormat="1" ht="18.75" customHeight="1" x14ac:dyDescent="0.25">
      <c r="A455" s="222"/>
      <c r="B455" s="32" t="s">
        <v>802</v>
      </c>
      <c r="G455" s="31" t="s">
        <v>803</v>
      </c>
      <c r="H455" s="157">
        <f>ROUNDUP(G453/H450,0)</f>
        <v>1</v>
      </c>
      <c r="I455" s="236"/>
      <c r="J455" s="33"/>
      <c r="K455" s="33"/>
      <c r="L455" s="33"/>
      <c r="M455" s="33"/>
    </row>
    <row r="456" spans="1:13" s="12" customFormat="1" ht="18.75" customHeight="1" x14ac:dyDescent="0.25">
      <c r="A456" s="222"/>
      <c r="B456" s="32"/>
      <c r="C456" s="12" t="s">
        <v>804</v>
      </c>
      <c r="D456" s="31" t="s">
        <v>805</v>
      </c>
      <c r="E456" s="28" t="s">
        <v>806</v>
      </c>
      <c r="G456" s="29" t="s">
        <v>338</v>
      </c>
      <c r="H456" s="156" t="str">
        <f>IF(H455&lt;3,"[ OK ]","[ NOT OK ]")</f>
        <v>[ OK ]</v>
      </c>
      <c r="I456" s="236"/>
      <c r="J456" s="33"/>
      <c r="K456" s="33"/>
      <c r="L456" s="33"/>
      <c r="M456" s="33"/>
    </row>
    <row r="457" spans="1:13" s="1" customFormat="1" ht="18.75" customHeight="1" x14ac:dyDescent="0.25">
      <c r="A457" s="168"/>
      <c r="B457" s="5"/>
      <c r="G457" s="7"/>
      <c r="H457" s="35"/>
      <c r="I457" s="315"/>
    </row>
    <row r="458" spans="1:13" s="1" customFormat="1" ht="18.75" customHeight="1" x14ac:dyDescent="0.25">
      <c r="A458" s="168"/>
      <c r="B458" s="5"/>
      <c r="G458" s="7"/>
      <c r="H458" s="35"/>
      <c r="I458" s="315"/>
    </row>
    <row r="459" spans="1:13" s="1" customFormat="1" ht="18.75" customHeight="1" x14ac:dyDescent="0.25">
      <c r="A459" s="168"/>
      <c r="B459" s="5" t="s">
        <v>807</v>
      </c>
      <c r="E459" s="7"/>
      <c r="G459" s="7" t="s">
        <v>836</v>
      </c>
      <c r="H459" s="154">
        <f>0.5*(H447)</f>
        <v>1933.5</v>
      </c>
      <c r="I459" s="223" t="s">
        <v>439</v>
      </c>
    </row>
    <row r="460" spans="1:13" s="12" customFormat="1" ht="18.75" customHeight="1" x14ac:dyDescent="0.25">
      <c r="A460" s="222"/>
      <c r="B460" s="32" t="s">
        <v>799</v>
      </c>
      <c r="E460" s="28"/>
      <c r="G460" s="31" t="s">
        <v>839</v>
      </c>
      <c r="H460" s="155">
        <f>H459/(1/4*PI()*'Input (1)'!I19^2)</f>
        <v>6.8194145699319595</v>
      </c>
      <c r="I460" s="325"/>
      <c r="J460" s="33"/>
      <c r="K460" s="33"/>
      <c r="L460" s="33"/>
      <c r="M460" s="33"/>
    </row>
    <row r="461" spans="1:13" s="1" customFormat="1" ht="18.75" customHeight="1" x14ac:dyDescent="0.25">
      <c r="A461" s="168"/>
      <c r="B461" s="5" t="s">
        <v>808</v>
      </c>
      <c r="G461" s="7" t="s">
        <v>809</v>
      </c>
      <c r="H461" s="6">
        <f>H460/G453</f>
        <v>0.61994677908472362</v>
      </c>
      <c r="I461" s="315"/>
    </row>
    <row r="462" spans="1:13" s="12" customFormat="1" ht="18.75" customHeight="1" x14ac:dyDescent="0.25">
      <c r="A462" s="222"/>
      <c r="B462" s="32" t="s">
        <v>445</v>
      </c>
      <c r="C462" s="147"/>
      <c r="D462" s="28"/>
      <c r="E462" s="238"/>
      <c r="F462" s="328">
        <f>G453</f>
        <v>11</v>
      </c>
      <c r="G462" s="329">
        <f>ROUNDUP(H461,0)</f>
        <v>1</v>
      </c>
      <c r="H462" s="327">
        <f>'Input (1)'!I19</f>
        <v>19</v>
      </c>
      <c r="I462" s="325"/>
      <c r="J462" s="33"/>
      <c r="K462" s="33"/>
      <c r="L462" s="33"/>
      <c r="M462" s="33"/>
    </row>
    <row r="463" spans="1:13" s="1" customFormat="1" ht="18.75" customHeight="1" x14ac:dyDescent="0.25">
      <c r="A463" s="168"/>
      <c r="B463" s="5" t="s">
        <v>810</v>
      </c>
      <c r="G463" s="7" t="s">
        <v>811</v>
      </c>
      <c r="H463" s="52">
        <f>ROUNDDOWN((2/3*H398)/G462/10,0)*10</f>
        <v>850</v>
      </c>
      <c r="I463" s="315" t="s">
        <v>49</v>
      </c>
    </row>
    <row r="464" spans="1:13" s="1" customFormat="1" ht="18.75" customHeight="1" x14ac:dyDescent="0.25">
      <c r="A464" s="168"/>
      <c r="B464" s="5"/>
      <c r="G464" s="7"/>
      <c r="H464" s="35"/>
      <c r="I464" s="315"/>
    </row>
    <row r="465" spans="1:9" s="1" customFormat="1" ht="18.75" customHeight="1" x14ac:dyDescent="0.25">
      <c r="A465" s="168"/>
      <c r="B465" s="5"/>
      <c r="G465" s="7"/>
      <c r="H465" s="35"/>
      <c r="I465" s="315"/>
    </row>
    <row r="466" spans="1:9" s="1" customFormat="1" ht="18.75" customHeight="1" x14ac:dyDescent="0.25">
      <c r="A466" s="317"/>
      <c r="B466" s="318" t="s">
        <v>812</v>
      </c>
      <c r="C466" s="319"/>
      <c r="D466" s="319"/>
      <c r="E466" s="319"/>
      <c r="F466" s="319"/>
      <c r="G466" s="320"/>
      <c r="H466" s="321"/>
      <c r="I466" s="322"/>
    </row>
    <row r="467" spans="1:9" s="1" customFormat="1" ht="18.75" customHeight="1" x14ac:dyDescent="0.25">
      <c r="A467" s="168"/>
      <c r="G467" s="7"/>
      <c r="H467" s="35"/>
      <c r="I467" s="315"/>
    </row>
    <row r="468" spans="1:9" s="1" customFormat="1" ht="18.75" customHeight="1" x14ac:dyDescent="0.25">
      <c r="A468" s="168"/>
      <c r="G468" s="7"/>
      <c r="H468" s="35"/>
      <c r="I468" s="315"/>
    </row>
    <row r="469" spans="1:9" s="1" customFormat="1" ht="18.75" customHeight="1" x14ac:dyDescent="0.25">
      <c r="A469" s="168"/>
      <c r="G469" s="7"/>
      <c r="H469" s="35"/>
      <c r="I469" s="315"/>
    </row>
    <row r="470" spans="1:9" s="1" customFormat="1" ht="18.75" customHeight="1" x14ac:dyDescent="0.25">
      <c r="A470" s="168"/>
      <c r="G470" s="7"/>
      <c r="H470" s="35"/>
      <c r="I470" s="315"/>
    </row>
    <row r="471" spans="1:9" s="1" customFormat="1" ht="18.75" customHeight="1" x14ac:dyDescent="0.25">
      <c r="A471" s="168"/>
      <c r="G471" s="7"/>
      <c r="H471" s="35"/>
      <c r="I471" s="315"/>
    </row>
    <row r="472" spans="1:9" s="1" customFormat="1" ht="18.75" customHeight="1" x14ac:dyDescent="0.25">
      <c r="A472" s="168"/>
      <c r="G472" s="7"/>
      <c r="H472" s="35"/>
      <c r="I472" s="315"/>
    </row>
    <row r="473" spans="1:9" s="1" customFormat="1" ht="18.75" customHeight="1" x14ac:dyDescent="0.25">
      <c r="A473" s="168"/>
      <c r="G473" s="7"/>
      <c r="H473" s="35"/>
      <c r="I473" s="315"/>
    </row>
    <row r="474" spans="1:9" s="1" customFormat="1" ht="18.75" customHeight="1" x14ac:dyDescent="0.25">
      <c r="A474" s="168"/>
      <c r="G474" s="7"/>
      <c r="H474" s="35"/>
      <c r="I474" s="315"/>
    </row>
    <row r="475" spans="1:9" s="1" customFormat="1" ht="18.75" customHeight="1" x14ac:dyDescent="0.25">
      <c r="A475" s="168"/>
      <c r="G475" s="7"/>
      <c r="H475" s="35"/>
      <c r="I475" s="315"/>
    </row>
    <row r="476" spans="1:9" s="1" customFormat="1" ht="18.75" customHeight="1" x14ac:dyDescent="0.25">
      <c r="A476" s="168"/>
      <c r="G476" s="7"/>
      <c r="H476" s="35"/>
      <c r="I476" s="315"/>
    </row>
    <row r="477" spans="1:9" s="1" customFormat="1" ht="18.75" customHeight="1" x14ac:dyDescent="0.25">
      <c r="A477" s="168"/>
      <c r="G477" s="7"/>
      <c r="H477" s="35"/>
      <c r="I477" s="315"/>
    </row>
    <row r="478" spans="1:9" s="1" customFormat="1" ht="18.75" customHeight="1" x14ac:dyDescent="0.25">
      <c r="A478" s="168"/>
      <c r="G478" s="7"/>
      <c r="H478" s="35"/>
      <c r="I478" s="315"/>
    </row>
    <row r="479" spans="1:9" s="1" customFormat="1" ht="18.75" customHeight="1" x14ac:dyDescent="0.25">
      <c r="A479" s="168"/>
      <c r="B479" s="5" t="s">
        <v>813</v>
      </c>
      <c r="G479" s="7"/>
      <c r="H479" s="35"/>
      <c r="I479" s="315"/>
    </row>
    <row r="480" spans="1:9" s="1" customFormat="1" ht="18.75" customHeight="1" x14ac:dyDescent="0.25">
      <c r="A480" s="168"/>
      <c r="B480" s="5"/>
      <c r="E480" s="7" t="s">
        <v>776</v>
      </c>
      <c r="G480" s="7" t="s">
        <v>814</v>
      </c>
      <c r="H480" s="335">
        <f>1/3*H454*H398</f>
        <v>1796633.9034884034</v>
      </c>
      <c r="I480" s="223" t="s">
        <v>815</v>
      </c>
    </row>
    <row r="481" spans="1:9" s="1" customFormat="1" ht="18.75" customHeight="1" x14ac:dyDescent="0.25">
      <c r="A481" s="168"/>
      <c r="B481" s="5"/>
      <c r="E481" s="7" t="s">
        <v>778</v>
      </c>
      <c r="G481" s="7" t="s">
        <v>816</v>
      </c>
      <c r="H481" s="335">
        <f>4*H454*H453</f>
        <v>367968.46432966524</v>
      </c>
      <c r="I481" s="223" t="s">
        <v>815</v>
      </c>
    </row>
    <row r="482" spans="1:9" s="1" customFormat="1" ht="18.75" customHeight="1" x14ac:dyDescent="0.25">
      <c r="A482" s="168"/>
      <c r="B482" s="5"/>
      <c r="G482" s="7" t="s">
        <v>817</v>
      </c>
      <c r="H482" s="335">
        <f>MAX(H480:H481)</f>
        <v>1796633.9034884034</v>
      </c>
      <c r="I482" s="223" t="s">
        <v>815</v>
      </c>
    </row>
    <row r="483" spans="1:9" s="1" customFormat="1" ht="18.75" customHeight="1" x14ac:dyDescent="0.25">
      <c r="A483" s="168"/>
      <c r="B483" s="5" t="s">
        <v>818</v>
      </c>
      <c r="G483" s="7" t="s">
        <v>819</v>
      </c>
      <c r="H483" s="157">
        <f>H482/H454</f>
        <v>429.66666666666669</v>
      </c>
      <c r="I483" s="223" t="s">
        <v>49</v>
      </c>
    </row>
    <row r="484" spans="1:9" s="1" customFormat="1" ht="18.75" customHeight="1" x14ac:dyDescent="0.25">
      <c r="A484" s="168"/>
      <c r="B484" s="5" t="s">
        <v>820</v>
      </c>
      <c r="G484" s="7" t="s">
        <v>821</v>
      </c>
      <c r="H484" s="157">
        <v>150</v>
      </c>
      <c r="I484" s="223" t="s">
        <v>49</v>
      </c>
    </row>
    <row r="485" spans="1:9" s="1" customFormat="1" ht="18.75" customHeight="1" x14ac:dyDescent="0.25">
      <c r="A485" s="168"/>
      <c r="B485" s="5" t="s">
        <v>822</v>
      </c>
      <c r="G485" s="7" t="s">
        <v>823</v>
      </c>
      <c r="H485" s="157">
        <f>ROUNDUP(MAX(H483:H484)/25,0)*25</f>
        <v>450</v>
      </c>
      <c r="I485" s="223" t="s">
        <v>49</v>
      </c>
    </row>
    <row r="486" spans="1:9" s="1" customFormat="1" ht="18.75" customHeight="1" x14ac:dyDescent="0.25">
      <c r="A486" s="168"/>
      <c r="B486" s="5"/>
      <c r="G486" s="7"/>
      <c r="H486" s="35"/>
      <c r="I486" s="315"/>
    </row>
    <row r="487" spans="1:9" s="1" customFormat="1" ht="18.75" customHeight="1" x14ac:dyDescent="0.25">
      <c r="A487" s="168"/>
      <c r="B487" s="5" t="s">
        <v>824</v>
      </c>
      <c r="G487" s="7" t="s">
        <v>825</v>
      </c>
      <c r="H487" s="52">
        <f>12*H453</f>
        <v>264</v>
      </c>
      <c r="I487" s="315" t="s">
        <v>49</v>
      </c>
    </row>
    <row r="488" spans="1:9" s="1" customFormat="1" ht="18.75" customHeight="1" x14ac:dyDescent="0.25">
      <c r="A488" s="168"/>
      <c r="B488" s="5" t="s">
        <v>826</v>
      </c>
      <c r="G488" s="7" t="s">
        <v>827</v>
      </c>
      <c r="H488" s="52">
        <f>ROUNDUP(H487/25,0)*25</f>
        <v>275</v>
      </c>
      <c r="I488" s="315" t="s">
        <v>49</v>
      </c>
    </row>
    <row r="489" spans="1:9" s="1" customFormat="1" ht="18.75" customHeight="1" x14ac:dyDescent="0.25">
      <c r="A489" s="168"/>
      <c r="B489" s="5"/>
      <c r="G489" s="7"/>
      <c r="H489" s="35"/>
      <c r="I489" s="330"/>
    </row>
    <row r="490" spans="1:9" s="1" customFormat="1" ht="18.75" customHeight="1" x14ac:dyDescent="0.25">
      <c r="A490" s="251"/>
      <c r="B490" s="331"/>
      <c r="C490" s="306"/>
      <c r="D490" s="306"/>
      <c r="E490" s="306"/>
      <c r="F490" s="306"/>
      <c r="G490" s="332"/>
      <c r="H490" s="333"/>
      <c r="I490" s="334"/>
    </row>
  </sheetData>
  <mergeCells count="1">
    <mergeCell ref="B1:F1"/>
  </mergeCells>
  <conditionalFormatting sqref="H456 H439 H404 H394 H377 H344 H315 H298 H265 H236 H219 H157 H140 H78 H61 H28">
    <cfRule type="containsText" dxfId="26" priority="1" operator="containsText" text="[ NOT OK ]">
      <formula>NOT(ISERROR(SEARCH("[ NOT OK ]",H28)))</formula>
    </cfRule>
    <cfRule type="containsText" dxfId="25" priority="2" operator="containsText" text="[ OK ]">
      <formula>NOT(ISERROR(SEARCH("[ OK ]",H28)))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About</vt:lpstr>
      <vt:lpstr>Input (1)</vt:lpstr>
      <vt:lpstr>Table</vt:lpstr>
      <vt:lpstr>Respon Spektrum</vt:lpstr>
      <vt:lpstr>Input (2)</vt:lpstr>
      <vt:lpstr>Process (1)</vt:lpstr>
      <vt:lpstr>Process (2)</vt:lpstr>
      <vt:lpstr>Process (3)</vt:lpstr>
      <vt:lpstr>Process (4)</vt:lpstr>
      <vt:lpstr>Process (5)</vt:lpstr>
      <vt:lpstr>Process (6)</vt:lpstr>
      <vt:lpstr>Output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indra raj suweda</cp:lastModifiedBy>
  <cp:lastPrinted>2021-07-12T14:33:02Z</cp:lastPrinted>
  <dcterms:created xsi:type="dcterms:W3CDTF">2015-06-05T18:17:20Z</dcterms:created>
  <dcterms:modified xsi:type="dcterms:W3CDTF">2022-11-15T12:08:05Z</dcterms:modified>
</cp:coreProperties>
</file>